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wrk\22_pse\3022-61 UE-170033 - 2017 GRC\dir\_exh\"/>
    </mc:Choice>
  </mc:AlternateContent>
  <bookViews>
    <workbookView xWindow="14505" yWindow="-15" windowWidth="14310" windowHeight="7395" tabRatio="903"/>
  </bookViews>
  <sheets>
    <sheet name="BGM-3 (1) Lead" sheetId="196" r:id="rId1"/>
    <sheet name="BGM-3 (2) Detail " sheetId="86" r:id="rId2"/>
    <sheet name="BGM-3 (3) Param" sheetId="127" r:id="rId3"/>
    <sheet name="BGM-3 (4) Rstng Adj" sheetId="126" r:id="rId4"/>
    <sheet name="BGM-3 (5) PF Adj." sheetId="87" r:id="rId5"/>
    <sheet name="Work Papers==&gt;" sheetId="195" r:id="rId6"/>
    <sheet name="Power Cost Bridge to A-1" sheetId="174" r:id="rId7"/>
    <sheet name="Exh.A-1" sheetId="192" r:id="rId8"/>
    <sheet name="JAP-07" sheetId="193" r:id="rId9"/>
    <sheet name="For Prod Adj Expense" sheetId="21" r:id="rId10"/>
    <sheet name="For Prod Adj Ratebase" sheetId="183" r:id="rId11"/>
    <sheet name="Verify Pwr Costs" sheetId="166" r:id="rId12"/>
    <sheet name="RJR Prod O&amp;M" sheetId="186" r:id="rId13"/>
    <sheet name="PKW RY PC1" sheetId="175" r:id="rId14"/>
    <sheet name="Centralia Equity Kicker" sheetId="176" r:id="rId15"/>
    <sheet name="Trans Ratebase" sheetId="159" r:id="rId16"/>
    <sheet name="Trans OATT Revenue" sheetId="191" r:id="rId17"/>
    <sheet name="Restating Print Macros" sheetId="33" state="veryHidden" r:id="rId18"/>
    <sheet name="Module13" sheetId="34" state="veryHidden" r:id="rId19"/>
    <sheet name="Module14" sheetId="35" state="veryHidden" r:id="rId20"/>
    <sheet name="Module15" sheetId="36" state="veryHidden" r:id="rId21"/>
    <sheet name="Module1" sheetId="37" state="very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__www1" localSheetId="12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7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_www1" localSheetId="12" hidden="1">{#N/A,#N/A,FALSE,"schA"}</definedName>
    <definedName name="_1__123Graph_ABUDG6_D_ESCRPR" hidden="1">[1]Quant!$D$71:$O$71</definedName>
    <definedName name="_2__123Graph_ABUDG6_Dtons_inv" localSheetId="7" hidden="1">[3]Quant!#REF!</definedName>
    <definedName name="_2__123Graph_ABUDG6_Dtons_inv" localSheetId="12" hidden="1">[3]Quant!#REF!</definedName>
    <definedName name="_2__123Graph_ABUDG6_Dtons_inv" hidden="1">[3]Quant!#REF!</definedName>
    <definedName name="_3__123Graph_ABUDG6_Dtons_inv" localSheetId="7" hidden="1">[4]Quant!#REF!</definedName>
    <definedName name="_3__123Graph_ABUDG6_Dtons_inv" localSheetId="12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7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7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7" hidden="1">'[5]Area D 2011'!#REF!</definedName>
    <definedName name="_7__123Graph_CBUDG6_D_ESCRPR" hidden="1">'[5]Area D 2011'!#REF!</definedName>
    <definedName name="_7__123Graph_DBUDG6_D_ESCRPR" localSheetId="7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7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7" hidden="1">#REF!</definedName>
    <definedName name="_Fill" hidden="1">#REF!</definedName>
    <definedName name="_Key1" localSheetId="7" hidden="1">#REF!</definedName>
    <definedName name="_Key1" localSheetId="12" hidden="1">#REF!</definedName>
    <definedName name="_Key1" hidden="1">#REF!</definedName>
    <definedName name="_Key2" localSheetId="7" hidden="1">#REF!</definedName>
    <definedName name="_Key2" localSheetId="12" hidden="1">#REF!</definedName>
    <definedName name="_Key2" hidden="1">#REF!</definedName>
    <definedName name="_Order1" hidden="1">255</definedName>
    <definedName name="_Order2" hidden="1">255</definedName>
    <definedName name="_Parse_In" localSheetId="7" hidden="1">#REF!</definedName>
    <definedName name="_Parse_In" localSheetId="12" hidden="1">#REF!</definedName>
    <definedName name="_Parse_In" hidden="1">#REF!</definedName>
    <definedName name="_six6" localSheetId="12" hidden="1">{#N/A,#N/A,FALSE,"CRPT";#N/A,#N/A,FALSE,"TREND";#N/A,#N/A,FALSE,"%Curve"}</definedName>
    <definedName name="_www1" localSheetId="12" hidden="1">{#N/A,#N/A,FALSE,"schA"}</definedName>
    <definedName name="a" localSheetId="12" hidden="1">{#N/A,#N/A,FALSE,"Coversheet";#N/A,#N/A,FALSE,"QA"}</definedName>
    <definedName name="aaa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b" localSheetId="12" hidden="1">{#N/A,#N/A,FALSE,"Coversheet";#N/A,#N/A,FALSE,"QA"}</definedName>
    <definedName name="b" hidden="1">{#N/A,#N/A,FALSE,"Coversheet";#N/A,#N/A,FALSE,"QA"}</definedName>
    <definedName name="BL" localSheetId="12" hidden="1">{#N/A,#N/A,FALSE,"Cover Sheet";"Use of Equipment",#N/A,FALSE,"Area C";"Equipment Hours",#N/A,FALSE,"All";"Summary",#N/A,FALSE,"All"}</definedName>
    <definedName name="blet" localSheetId="12" hidden="1">{#N/A,#N/A,FALSE,"Cover Sheet";"Use of Equipment",#N/A,FALSE,"Area C";"Equipment Hours",#N/A,FALSE,"All";"Summary",#N/A,FALSE,"All"}</definedName>
    <definedName name="bleth" localSheetId="12" hidden="1">{#N/A,#N/A,FALSE,"Cover Sheet";"Use of Equipment",#N/A,FALSE,"Area C";"Equipment Hours",#N/A,FALSE,"All";"Summary",#N/A,FALSE,"All"}</definedName>
    <definedName name="Case_Name">'BGM-3 (4) Rstng Adj'!$B$8</definedName>
    <definedName name="DELETE01" localSheetId="12" hidden="1">{#N/A,#N/A,FALSE,"Coversheet";#N/A,#N/A,FALSE,"QA"}</definedName>
    <definedName name="DELETE01" hidden="1">{#N/A,#N/A,FALSE,"Coversheet";#N/A,#N/A,FALSE,"QA"}</definedName>
    <definedName name="DELETE02" localSheetId="12" hidden="1">{#N/A,#N/A,FALSE,"Schedule F";#N/A,#N/A,FALSE,"Schedule G"}</definedName>
    <definedName name="DELETE02" hidden="1">{#N/A,#N/A,FALSE,"Schedule F";#N/A,#N/A,FALSE,"Schedule G"}</definedName>
    <definedName name="Delete06" localSheetId="12" hidden="1">{#N/A,#N/A,FALSE,"Coversheet";#N/A,#N/A,FALSE,"QA"}</definedName>
    <definedName name="Delete06" hidden="1">{#N/A,#N/A,FALSE,"Coversheet";#N/A,#N/A,FALSE,"QA"}</definedName>
    <definedName name="Delete09" localSheetId="12" hidden="1">{#N/A,#N/A,FALSE,"Coversheet";#N/A,#N/A,FALSE,"QA"}</definedName>
    <definedName name="Delete09" hidden="1">{#N/A,#N/A,FALSE,"Coversheet";#N/A,#N/A,FALSE,"QA"}</definedName>
    <definedName name="Delete1" localSheetId="12" hidden="1">{#N/A,#N/A,FALSE,"Coversheet";#N/A,#N/A,FALSE,"QA"}</definedName>
    <definedName name="Delete1" hidden="1">{#N/A,#N/A,FALSE,"Coversheet";#N/A,#N/A,FALSE,"QA"}</definedName>
    <definedName name="Delete10" localSheetId="12" hidden="1">{#N/A,#N/A,FALSE,"Schedule F";#N/A,#N/A,FALSE,"Schedule G"}</definedName>
    <definedName name="Delete10" hidden="1">{#N/A,#N/A,FALSE,"Schedule F";#N/A,#N/A,FALSE,"Schedule G"}</definedName>
    <definedName name="Delete21" localSheetId="12" hidden="1">{#N/A,#N/A,FALSE,"Coversheet";#N/A,#N/A,FALSE,"QA"}</definedName>
    <definedName name="Delete21" hidden="1">{#N/A,#N/A,FALSE,"Coversheet";#N/A,#N/A,FALSE,"QA"}</definedName>
    <definedName name="DFIT" localSheetId="12" hidden="1">{#N/A,#N/A,FALSE,"Coversheet";#N/A,#N/A,FALSE,"QA"}</definedName>
    <definedName name="DFIT" hidden="1">{#N/A,#N/A,FALSE,"Coversheet";#N/A,#N/A,FALSE,"QA"}</definedName>
    <definedName name="ee" localSheetId="12" hidden="1">{#N/A,#N/A,FALSE,"Month ";#N/A,#N/A,FALSE,"YTD";#N/A,#N/A,FALSE,"12 mo ended"}</definedName>
    <definedName name="Estimate" localSheetId="12" hidden="1">{#N/A,#N/A,FALSE,"Summ";#N/A,#N/A,FALSE,"General"}</definedName>
    <definedName name="ex" localSheetId="12" hidden="1">{#N/A,#N/A,FALSE,"Summ";#N/A,#N/A,FALSE,"General"}</definedName>
    <definedName name="fdasfdas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2" hidden="1">{#N/A,#N/A,FALSE,"Month ";#N/A,#N/A,FALSE,"YTD";#N/A,#N/A,FALSE,"12 mo ended"}</definedName>
    <definedName name="gary" localSheetId="12" hidden="1">{#N/A,#N/A,FALSE,"Cover Sheet";"Use of Equipment",#N/A,FALSE,"Area C";"Equipment Hours",#N/A,FALSE,"All";"Summary",#N/A,FALSE,"All"}</definedName>
    <definedName name="HTML_Control" localSheetId="12" hidden="1">{"'Sheet1'!$A$1:$J$121"}</definedName>
    <definedName name="ID_Gas">'[7]DEBT CALC'!#REF!</definedName>
    <definedName name="Jane" localSheetId="1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3.01_Deficiency" localSheetId="2">'BGM-3 (3) Param'!$A$2:$C$25</definedName>
    <definedName name="k_3.02_COC" localSheetId="2">'BGM-3 (3) Param'!$D$2:$H$23</definedName>
    <definedName name="k_3.03_ConvFact">'BGM-3 (3) Param'!$I$2:$M$22</definedName>
    <definedName name="k_6.01_RevAndExp">'BGM-3 (4) Rstng Adj'!$A$2:$E$49</definedName>
    <definedName name="k_6.02_Temp_Norm">'BGM-3 (4) Rstng Adj'!$F$2:$L$53</definedName>
    <definedName name="k_6.03_Pass_through_Rev_Exp">'BGM-3 (4) Rstng Adj'!$M$2:$Q$51</definedName>
    <definedName name="k_6.04_Federal_Income_Tax">'BGM-3 (4) Rstng Adj'!$R$2:$U$37</definedName>
    <definedName name="k_6.05_Tax_Benefit_Interest">'BGM-3 (4) Rstng Adj'!$V$2:$Y$23</definedName>
    <definedName name="k_6.06_Depreciation_Study">'BGM-3 (4) Rstng Adj'!$Z$2:$AD$42</definedName>
    <definedName name="k_6.07_Norm_Injuries_Damages">'BGM-3 (4) Rstng Adj'!$AE$2:$AI$20</definedName>
    <definedName name="k_6.08_Bad_Debts">'BGM-3 (4) Rstng Adj'!$AJ$2:$AR$29</definedName>
    <definedName name="k_6.09_Incentive_Pay">'BGM-3 (4) Rstng Adj'!$AS$2:$AW$30</definedName>
    <definedName name="k_6.10_Directors_Officers_Insurance">'BGM-3 (4) Rstng Adj'!$AX$2:$BB$21</definedName>
    <definedName name="k_6.11_Int_Customer_Deposits">'BGM-3 (4) Rstng Adj'!$BC$2:$BF$15</definedName>
    <definedName name="k_6.12_Rate_Case_Expenses">'BGM-3 (4) Rstng Adj'!$BG$2:$BJ$31</definedName>
    <definedName name="k_6.13_Defferred_Gains_Losses">'BGM-3 (4) Rstng Adj'!$BK$2:$BN$31</definedName>
    <definedName name="k_6.14_Property_Liability_Insurance">'BGM-3 (4) Rstng Adj'!$BO$2:$BS$20</definedName>
    <definedName name="k_6.15_Pension_Plan">'BGM-3 (4) Rstng Adj'!$BT$2:$BX$20</definedName>
    <definedName name="k_6.16_Wage_Increase">'BGM-3 (4) Rstng Adj'!$BY$2:$CC$29</definedName>
    <definedName name="k_6.17_Investment_Plan">'BGM-3 (4) Rstng Adj'!$CD$2:$CH$35</definedName>
    <definedName name="k_6.18_Employee_Insurance">'BGM-3 (4) Rstng Adj'!$CI$2:$CM$24</definedName>
    <definedName name="k_6.19_EnvironmRemediation">'BGM-3 (4) Rstng Adj'!$CN$2:$CR$28</definedName>
    <definedName name="k_6.20_PaymentProc_Cost">'BGM-3 (4) Rstng Adj'!$CS$2:$CW$33</definedName>
    <definedName name="k_6.21_SoKservCent">'BGM-3 (4) Rstng Adj'!$CX$2:$DB$36</definedName>
    <definedName name="k_6.22_ExcTax">'BGM-3 (4) Rstng Adj'!$DC$2:$DG$23</definedName>
    <definedName name="k_7.01_Power_Costs">'BGM-3 (5) PF Adj.'!$A$2:$E$34</definedName>
    <definedName name="k_7.01_Power_Costs_p2">'Power Cost Bridge to A-1'!$A$1:$N$29</definedName>
    <definedName name="k_7.02_Montana">'BGM-3 (5) PF Adj.'!$F$2:$J$28</definedName>
    <definedName name="k_7.03_Wild_Hors_Sol">'BGM-3 (5) PF Adj.'!$K$2:$O$35</definedName>
    <definedName name="k_7.04_ASC_815">'BGM-3 (5) PF Adj.'!$P$2:$T$21</definedName>
    <definedName name="k_7.05_storm">'BGM-3 (5) PF Adj.'!$U$2:$Y$64</definedName>
    <definedName name="k_7.06_Reg_Asset">'BGM-3 (5) PF Adj.'!$Z$2:$AD$66</definedName>
    <definedName name="k_7.07_Glacier_Bat_St">'BGM-3 (5) PF Adj.'!$AE$2:$AI$31</definedName>
    <definedName name="k_7.08_EIM">'BGM-3 (5) PF Adj.'!$AJ$2:$AN$31</definedName>
    <definedName name="k_7.09_GoldendaleCU">'BGM-3 (5) PF Adj.'!$AO$2:$AS$42</definedName>
    <definedName name="k_7.10_MintFarm_CU">'BGM-3 (5) PF Adj.'!$AT$2:$AX$22</definedName>
    <definedName name="k_7.11_White_River">'BGM-3 (5) PF Adj.'!$AY$2:$BC$30</definedName>
    <definedName name="k_7.12_Hydro_Grants">'BGM-3 (5) PF Adj.'!$BD$2:$BH$25</definedName>
    <definedName name="k_7.13_Productn_Adj">'BGM-3 (5) PF Adj.'!$BI$2:$BM$97</definedName>
    <definedName name="k_A_1">'Exh.A-1'!$A$1:$G$45</definedName>
    <definedName name="k_Docket_Number">'BGM-3 (2) Detail '!$AX$2</definedName>
    <definedName name="k_FITrate">'BGM-3 (3) Param'!$L$20</definedName>
    <definedName name="keep_KJB_4_Electric_Summary">'BGM-3 (2) Detail '!$AX$3</definedName>
    <definedName name="keep_STATE_UTILITY_TAX">'BGM-3 (3) Param'!$M$15</definedName>
    <definedName name="keep_TESTYEAR">'BGM-3 (4) Rstng Adj'!$B$7</definedName>
    <definedName name="keep_WUTC_FILING_FEE">'BGM-3 (3) Param'!$M$14</definedName>
    <definedName name="kp_Summary">'BGM-3 (2) Detail '!$AT$2:$AX$62</definedName>
    <definedName name="kp_SumPg1">'BGM-3 (2) Detail '!$C$2:$I$62</definedName>
    <definedName name="kp_SumPg2">'BGM-3 (2) Detail '!$J$2:$Q$62</definedName>
    <definedName name="kp_SumPg3">'BGM-3 (2) Detail '!$R$2:$Y$62</definedName>
    <definedName name="kp_SumPg4">'BGM-3 (2) Detail '!$AD$2:$AK$63</definedName>
    <definedName name="kp_SumPg5">'BGM-3 (2) Detail '!$AL$2:$AS$62</definedName>
    <definedName name="l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2" hidden="1">{#N/A,#N/A,FALSE,"Coversheet";#N/A,#N/A,FALSE,"QA"}</definedName>
    <definedName name="Miller" localSheetId="12" hidden="1">{#N/A,#N/A,FALSE,"Expenditures";#N/A,#N/A,FALSE,"Property Placed In-Service";#N/A,#N/A,FALSE,"CWIP Balances"}</definedName>
    <definedName name="new" localSheetId="12" hidden="1">{#N/A,#N/A,FALSE,"Summ";#N/A,#N/A,FALSE,"General"}</definedName>
    <definedName name="NOYT" localSheetId="12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'BGM-3 (1) Lead'!$A$1:$AE$56</definedName>
    <definedName name="_xlnm.Print_Area" localSheetId="1">'BGM-3 (2) Detail '!$A$2:$AZ$62</definedName>
    <definedName name="_xlnm.Print_Area" localSheetId="2">'BGM-3 (3) Param'!$A$2:$M$38</definedName>
    <definedName name="_xlnm.Print_Area" localSheetId="4">'BGM-3 (5) PF Adj.'!$A$3:$BR$35</definedName>
    <definedName name="_xlnm.Print_Area" localSheetId="7">'Exh.A-1'!$A$1:$G$45</definedName>
    <definedName name="_xlnm.Print_Area" localSheetId="9">'For Prod Adj Expense'!$A$1:$I$136</definedName>
    <definedName name="_xlnm.Print_Area" localSheetId="10">'For Prod Adj Ratebase'!$A$1:$I$20</definedName>
    <definedName name="_xlnm.Print_Area" localSheetId="8">'JAP-07'!$A$1:$P$386</definedName>
    <definedName name="_xlnm.Print_Area" localSheetId="13">'PKW RY PC1'!$A$1:$Q$19</definedName>
    <definedName name="_xlnm.Print_Area" localSheetId="6">'Power Cost Bridge to A-1'!$A$1:$N$29</definedName>
    <definedName name="_xlnm.Print_Area" localSheetId="12">'RJR Prod O&amp;M'!$A$1:$L$38</definedName>
    <definedName name="Print_for_Checking">'[7]ADJ SUMMARY'!#REF!:'[7]ADJ SUMMARY'!#REF!</definedName>
    <definedName name="_xlnm.Print_Titles" localSheetId="0">'BGM-3 (1) Lead'!$A:$G</definedName>
    <definedName name="_xlnm.Print_Titles" localSheetId="1">'BGM-3 (2) Detail '!$A:$B</definedName>
    <definedName name="_xlnm.Print_Titles" localSheetId="4">'BGM-3 (5) PF Adj.'!$2:$11</definedName>
    <definedName name="_xlnm.Print_Titles" localSheetId="8">'JAP-07'!$A:$E</definedName>
    <definedName name="qqq" localSheetId="12" hidden="1">{#N/A,#N/A,FALSE,"schA"}</definedName>
    <definedName name="rec_weco_gl_contract_aug99" localSheetId="1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RC_Adjustment_Print">#REF!</definedName>
    <definedName name="RRC_Rate_Print">#REF!</definedName>
    <definedName name="six" localSheetId="12" hidden="1">{#N/A,#N/A,FALSE,"Drill Sites";"WP 212",#N/A,FALSE,"MWAG EOR";"WP 213",#N/A,FALSE,"MWAG EOR";#N/A,#N/A,FALSE,"Misc. Facility";#N/A,#N/A,FALSE,"WWTP"}</definedName>
    <definedName name="sue" localSheetId="12" hidden="1">{#N/A,#N/A,FALSE,"Cover Sheet";"Use of Equipment",#N/A,FALSE,"Area C";"Equipment Hours",#N/A,FALSE,"All";"Summary",#N/A,FALSE,"All"}</definedName>
    <definedName name="Summary">#REF!</definedName>
    <definedName name="susan" localSheetId="12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P" localSheetId="12" hidden="1">{#N/A,#N/A,FALSE,"Summ";#N/A,#N/A,FALSE,"General"}</definedName>
    <definedName name="Temp1" localSheetId="12" hidden="1">{#N/A,#N/A,FALSE,"CESTSUM";#N/A,#N/A,FALSE,"est sum A";#N/A,#N/A,FALSE,"est detail A"}</definedName>
    <definedName name="u" localSheetId="12" hidden="1">{#N/A,#N/A,FALSE,"Coversheet";#N/A,#N/A,FALSE,"QA"}</definedName>
    <definedName name="v" localSheetId="12" hidden="1">{#N/A,#N/A,FALSE,"Coversheet";#N/A,#N/A,FALSE,"QA"}</definedName>
    <definedName name="w" localSheetId="12" hidden="1">{#N/A,#N/A,FALSE,"Schedule F";#N/A,#N/A,FALSE,"Schedule G"}</definedName>
    <definedName name="WA_Gas">'[7]DEBT CALC'!#REF!</definedName>
    <definedName name="we" localSheetId="12" hidden="1">{#N/A,#N/A,FALSE,"Pg 6b CustCount_Gas";#N/A,#N/A,FALSE,"QA";#N/A,#N/A,FALSE,"Report";#N/A,#N/A,FALSE,"forecast"}</definedName>
    <definedName name="WH" localSheetId="12" hidden="1">{#N/A,#N/A,FALSE,"Coversheet";#N/A,#N/A,FALSE,"QA"}</definedName>
    <definedName name="wrn.1._.Bi._.Monthly._.CR." localSheetId="12" hidden="1">{#N/A,#N/A,FALSE,"Drill Sites";"WP 212",#N/A,FALSE,"MWAG EOR";"WP 213",#N/A,FALSE,"MWAG EOR";#N/A,#N/A,FALSE,"Misc. Facility";#N/A,#N/A,FALSE,"WWTP"}</definedName>
    <definedName name="wrn.AAI." localSheetId="12" hidden="1">{#N/A,#N/A,FALSE,"CRPT";#N/A,#N/A,FALSE,"TREND";#N/A,#N/A,FALSE,"%Curve"}</definedName>
    <definedName name="wrn.AAI._.Report." localSheetId="12" hidden="1">{#N/A,#N/A,FALSE,"CRPT";#N/A,#N/A,FALSE,"TREND";#N/A,#N/A,FALSE,"% CURVE"}</definedName>
    <definedName name="wrn.Annual._.Cost._.Adjustment." localSheetId="1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2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2" hidden="1">{#N/A,#N/A,FALSE,"Cost Adjustment 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2" hidden="1">{#N/A,#N/A,TRUE,"Depreciation Summary";#N/A,#N/A,TRUE,"18, 21 &amp; 22 Depreciation";#N/A,#N/A,TRUE,"11 &amp; 12 Depreciation"}</definedName>
    <definedName name="wrn.ECR." localSheetId="12" hidden="1">{#N/A,#N/A,FALSE,"schA"}</definedName>
    <definedName name="wrn.ESTIMATE." localSheetId="12" hidden="1">{#N/A,#N/A,FALSE,"CESTSUM";#N/A,#N/A,FALSE,"est sum A";#N/A,#N/A,FALSE,"est detail A"}</definedName>
    <definedName name="wrn.Forecast." localSheetId="1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2" hidden="1">{#N/A,#N/A,FALSE,"SUMMARY";#N/A,#N/A,FALSE,"AE7616";#N/A,#N/A,FALSE,"AE7617";#N/A,#N/A,FALSE,"AE7618";#N/A,#N/A,FALSE,"AE7619"}</definedName>
    <definedName name="wrn.Incentive._.Overhead." localSheetId="12" hidden="1">{#N/A,#N/A,FALSE,"Coversheet";#N/A,#N/A,FALSE,"QA"}</definedName>
    <definedName name="wrn.Incentive._.Overhead." hidden="1">{#N/A,#N/A,FALSE,"Coversheet";#N/A,#N/A,FALSE,"QA"}</definedName>
    <definedName name="wrn.limit_reports." localSheetId="12" hidden="1">{#N/A,#N/A,FALSE,"Schedule F";#N/A,#N/A,FALSE,"Schedule G"}</definedName>
    <definedName name="wrn.limit_reports." hidden="1">{#N/A,#N/A,FALSE,"Schedule F";#N/A,#N/A,FALSE,"Schedule G"}</definedName>
    <definedName name="wrn.MARGIN_WO_QTR." localSheetId="1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2" hidden="1">{#N/A,#N/A,FALSE,"Cover Sheet";"Use of Equipment",#N/A,FALSE,"Area C";"Equipment Hours",#N/A,FALSE,"All";"Summary",#N/A,FALSE,"All"}</definedName>
    <definedName name="wrn.Miscellaneous._.Schedules." localSheetId="1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1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2" hidden="1">{#N/A,#N/A,FALSE,"BASE";#N/A,#N/A,FALSE,"LOOPS";#N/A,#N/A,FALSE,"PLC"}</definedName>
    <definedName name="wrn.SCHEDULE." localSheetId="12" hidden="1">{#N/A,#N/A,FALSE,"7617 Fab";#N/A,#N/A,FALSE,"7617 NSK"}</definedName>
    <definedName name="wrn.Semi._.Annual._.Cost._.Adj." localSheetId="1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2" hidden="1">{#N/A,#N/A,FALSE,"SUMMARY";#N/A,#N/A,FALSE,"AE7616";#N/A,#N/A,FALSE,"AE7617";#N/A,#N/A,FALSE,"AE7618";#N/A,#N/A,FALSE,"AE7619";#N/A,#N/A,FALSE,"Target Materials"}</definedName>
    <definedName name="wrn.Small._.Tools._.Overhead." localSheetId="12" hidden="1">{#N/A,#N/A,FALSE,"2002 Small Tool OH";#N/A,#N/A,FALSE,"QA"}</definedName>
    <definedName name="wrn.Small._.Tools._.Overhead." hidden="1">{#N/A,#N/A,FALSE,"2002 Small Tool OH";#N/A,#N/A,FALSE,"QA"}</definedName>
    <definedName name="wrn.Summary." localSheetId="12" hidden="1">{#N/A,#N/A,FALSE,"Summ";#N/A,#N/A,FALSE,"General"}</definedName>
    <definedName name="wrn.test." localSheetId="1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2" hidden="1">{#N/A,#N/A,FALSE,"Expenditures";#N/A,#N/A,FALSE,"Property Placed In-Service";#N/A,#N/A,FALSE,"CWIP Balances"}</definedName>
    <definedName name="www" localSheetId="12" hidden="1">{#N/A,#N/A,FALSE,"schA"}</definedName>
    <definedName name="x" localSheetId="12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12" hidden="1">{#N/A,#N/A,FALSE,"Coversheet";#N/A,#N/A,FALSE,"QA"}</definedName>
    <definedName name="zzz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71027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DJ28" i="126" l="1"/>
  <c r="AC45" i="86" l="1"/>
  <c r="AC39" i="86"/>
  <c r="AC57" i="86" s="1"/>
  <c r="AC59" i="86" s="1"/>
  <c r="AC62" i="86" s="1"/>
  <c r="AC51" i="86" s="1"/>
  <c r="AC30" i="86"/>
  <c r="AC21" i="86"/>
  <c r="AC47" i="86" l="1"/>
  <c r="AJ7" i="86"/>
  <c r="I54" i="196" l="1"/>
  <c r="R54" i="196"/>
  <c r="AJ14" i="196"/>
  <c r="BK26" i="87"/>
  <c r="BL26" i="87" s="1"/>
  <c r="BM26" i="87" s="1"/>
  <c r="BI26" i="87"/>
  <c r="BC26" i="87"/>
  <c r="AY26" i="87"/>
  <c r="AR26" i="87"/>
  <c r="AS26" i="87" s="1"/>
  <c r="AQ26" i="87"/>
  <c r="AO26" i="87"/>
  <c r="AN26" i="87"/>
  <c r="AM26" i="87"/>
  <c r="AL26" i="87"/>
  <c r="AJ26" i="87"/>
  <c r="AI26" i="87"/>
  <c r="AE26" i="87"/>
  <c r="AD26" i="87"/>
  <c r="AC26" i="87"/>
  <c r="AB26" i="87"/>
  <c r="AA26" i="87"/>
  <c r="Z26" i="87"/>
  <c r="X26" i="87"/>
  <c r="W26" i="87"/>
  <c r="Y26" i="87" s="1"/>
  <c r="U26" i="87"/>
  <c r="K26" i="87"/>
  <c r="J26" i="87"/>
  <c r="F26" i="87"/>
  <c r="U27" i="87" l="1"/>
  <c r="DJ32" i="126" l="1"/>
  <c r="DO15" i="126" l="1"/>
  <c r="DP16" i="126" s="1"/>
  <c r="AB21" i="86" l="1"/>
  <c r="AB30" i="86"/>
  <c r="AB40" i="86"/>
  <c r="AB45" i="86" s="1"/>
  <c r="Y53" i="196"/>
  <c r="W28" i="196"/>
  <c r="AB47" i="86" l="1"/>
  <c r="W15" i="196"/>
  <c r="AC13" i="126" l="1"/>
  <c r="DK33" i="126"/>
  <c r="DL36" i="126" s="1"/>
  <c r="DL38" i="126" s="1"/>
  <c r="Z40" i="86" l="1"/>
  <c r="Z45" i="86" s="1"/>
  <c r="W32" i="196"/>
  <c r="Y32" i="196" s="1"/>
  <c r="BP14" i="87"/>
  <c r="R33" i="196"/>
  <c r="Y34" i="196"/>
  <c r="P34" i="196" s="1"/>
  <c r="AQ45" i="86"/>
  <c r="AQ39" i="86"/>
  <c r="AQ30" i="86"/>
  <c r="AQ21" i="86"/>
  <c r="AR61" i="86"/>
  <c r="AA62" i="86"/>
  <c r="AA51" i="86"/>
  <c r="AA64" i="86" s="1"/>
  <c r="AA30" i="86"/>
  <c r="Z30" i="86"/>
  <c r="AA21" i="86"/>
  <c r="Z21" i="86"/>
  <c r="BQ14" i="87"/>
  <c r="BN14" i="87"/>
  <c r="BN7" i="87"/>
  <c r="A25" i="87"/>
  <c r="A26" i="87" s="1"/>
  <c r="A27" i="87" s="1"/>
  <c r="A28" i="87" s="1"/>
  <c r="A29" i="87" s="1"/>
  <c r="A30" i="87" s="1"/>
  <c r="A31" i="87" s="1"/>
  <c r="A32" i="87" s="1"/>
  <c r="A33" i="87" s="1"/>
  <c r="A34" i="87" s="1"/>
  <c r="DQ18" i="126"/>
  <c r="W33" i="196" s="1"/>
  <c r="Y33" i="196" s="1"/>
  <c r="R24" i="196"/>
  <c r="Z47" i="86" l="1"/>
  <c r="Z49" i="86" s="1"/>
  <c r="AA40" i="86"/>
  <c r="AQ47" i="86"/>
  <c r="AQ49" i="86" s="1"/>
  <c r="BR14" i="87"/>
  <c r="DQ19" i="126"/>
  <c r="DQ20" i="126" s="1"/>
  <c r="P33" i="196" s="1"/>
  <c r="AA53" i="196" l="1"/>
  <c r="AQ57" i="86"/>
  <c r="AQ62" i="86" s="1"/>
  <c r="AQ51" i="86" s="1"/>
  <c r="AQ64" i="86" s="1"/>
  <c r="AA45" i="86"/>
  <c r="AA47" i="86" l="1"/>
  <c r="AA49" i="86" s="1"/>
  <c r="R53" i="196" l="1"/>
  <c r="P53" i="196"/>
  <c r="AA51" i="196"/>
  <c r="W51" i="196"/>
  <c r="P32" i="196"/>
  <c r="Y54" i="196"/>
  <c r="P54" i="196" s="1"/>
  <c r="Y51" i="196" l="1"/>
  <c r="P51" i="196" s="1"/>
  <c r="Y50" i="196"/>
  <c r="P50" i="196" s="1"/>
  <c r="R50" i="196"/>
  <c r="Y49" i="196"/>
  <c r="P49" i="196" s="1"/>
  <c r="R49" i="196"/>
  <c r="Y48" i="196"/>
  <c r="P48" i="196" s="1"/>
  <c r="R48" i="196"/>
  <c r="Y47" i="196"/>
  <c r="P47" i="196" s="1"/>
  <c r="R47" i="196"/>
  <c r="Y46" i="196"/>
  <c r="P46" i="196" s="1"/>
  <c r="R46" i="196"/>
  <c r="Y45" i="196"/>
  <c r="P45" i="196" s="1"/>
  <c r="R45" i="196"/>
  <c r="Y44" i="196"/>
  <c r="P44" i="196" s="1"/>
  <c r="Y43" i="196"/>
  <c r="R43" i="196"/>
  <c r="Y42" i="196"/>
  <c r="P42" i="196" s="1"/>
  <c r="R42" i="196"/>
  <c r="Y41" i="196"/>
  <c r="P41" i="196" s="1"/>
  <c r="R41" i="196"/>
  <c r="Y40" i="196"/>
  <c r="R40" i="196"/>
  <c r="Y11" i="196"/>
  <c r="Y12" i="196"/>
  <c r="Y13" i="196"/>
  <c r="Y15" i="196"/>
  <c r="Y16" i="196"/>
  <c r="Y17" i="196"/>
  <c r="Y18" i="196"/>
  <c r="Y19" i="196"/>
  <c r="Y20" i="196"/>
  <c r="Y21" i="196"/>
  <c r="Y22" i="196"/>
  <c r="Y23" i="196"/>
  <c r="Y25" i="196"/>
  <c r="Y26" i="196"/>
  <c r="Y27" i="196"/>
  <c r="Y28" i="196"/>
  <c r="Y29" i="196"/>
  <c r="Y30" i="196"/>
  <c r="Y31" i="196"/>
  <c r="R19" i="196"/>
  <c r="R29" i="196"/>
  <c r="R31" i="196"/>
  <c r="R11" i="196"/>
  <c r="R12" i="196"/>
  <c r="P13" i="196"/>
  <c r="R13" i="196"/>
  <c r="R14" i="196"/>
  <c r="R16" i="196"/>
  <c r="P17" i="196"/>
  <c r="R17" i="196"/>
  <c r="R18" i="196"/>
  <c r="R20" i="196"/>
  <c r="P22" i="196"/>
  <c r="R22" i="196"/>
  <c r="R23" i="196"/>
  <c r="R25" i="196"/>
  <c r="R26" i="196"/>
  <c r="R27" i="196"/>
  <c r="R28" i="196"/>
  <c r="R10" i="196"/>
  <c r="Y10" i="196"/>
  <c r="B10" i="196"/>
  <c r="R21" i="196" l="1"/>
  <c r="P15" i="196"/>
  <c r="R44" i="196"/>
  <c r="B11" i="196"/>
  <c r="B12" i="196" l="1"/>
  <c r="B13" i="196" l="1"/>
  <c r="B14" i="196" l="1"/>
  <c r="B15" i="196" s="1"/>
  <c r="B16" i="196" s="1"/>
  <c r="B17" i="196" l="1"/>
  <c r="B18" i="196" l="1"/>
  <c r="B19" i="196" l="1"/>
  <c r="B20" i="196" l="1"/>
  <c r="B21" i="196" s="1"/>
  <c r="B22" i="196" s="1"/>
  <c r="B23" i="196" s="1"/>
  <c r="B24" i="196" s="1"/>
  <c r="B25" i="196" l="1"/>
  <c r="B26" i="196" s="1"/>
  <c r="B27" i="196" s="1"/>
  <c r="B28" i="196" s="1"/>
  <c r="B29" i="196" s="1"/>
  <c r="B30" i="196" s="1"/>
  <c r="B31" i="196" s="1"/>
  <c r="B32" i="196" s="1"/>
  <c r="B33" i="196" s="1"/>
  <c r="B34" i="196" l="1"/>
  <c r="B35" i="196" l="1"/>
  <c r="B37" i="196" s="1"/>
  <c r="B40" i="196" l="1"/>
  <c r="B41" i="196" s="1"/>
  <c r="B42" i="196" s="1"/>
  <c r="B43" i="196" s="1"/>
  <c r="B44" i="196" s="1"/>
  <c r="B45" i="196" s="1"/>
  <c r="B46" i="196" s="1"/>
  <c r="B47" i="196" s="1"/>
  <c r="B48" i="196" s="1"/>
  <c r="B49" i="196" s="1"/>
  <c r="B50" i="196" s="1"/>
  <c r="B51" i="196" s="1"/>
  <c r="B52" i="196" s="1"/>
  <c r="B53" i="196" s="1"/>
  <c r="F52" i="21"/>
  <c r="B54" i="196" l="1"/>
  <c r="B56" i="196" s="1"/>
  <c r="F42" i="21"/>
  <c r="H8" i="183"/>
  <c r="C8" i="183"/>
  <c r="B8" i="183"/>
  <c r="AV7" i="86" l="1"/>
  <c r="E410" i="193" l="1"/>
  <c r="F408" i="193"/>
  <c r="O407" i="193"/>
  <c r="J407" i="193"/>
  <c r="G407" i="193"/>
  <c r="C407" i="193"/>
  <c r="C406" i="193"/>
  <c r="C405" i="193"/>
  <c r="O404" i="193"/>
  <c r="C404" i="193"/>
  <c r="E402" i="193"/>
  <c r="M407" i="193" s="1"/>
  <c r="E401" i="193"/>
  <c r="M406" i="193" s="1"/>
  <c r="E400" i="193"/>
  <c r="N405" i="193" s="1"/>
  <c r="E399" i="193"/>
  <c r="M404" i="193" s="1"/>
  <c r="E396" i="193"/>
  <c r="W386" i="193"/>
  <c r="E386" i="193"/>
  <c r="B385" i="193"/>
  <c r="T383" i="193"/>
  <c r="S383" i="193"/>
  <c r="R383" i="193"/>
  <c r="P383" i="193"/>
  <c r="O383" i="193"/>
  <c r="N383" i="193"/>
  <c r="M383" i="193"/>
  <c r="L383" i="193"/>
  <c r="K383" i="193"/>
  <c r="J383" i="193"/>
  <c r="I383" i="193"/>
  <c r="H383" i="193"/>
  <c r="G383" i="193"/>
  <c r="B383" i="193"/>
  <c r="T382" i="193"/>
  <c r="S382" i="193"/>
  <c r="R382" i="193"/>
  <c r="P382" i="193"/>
  <c r="O382" i="193"/>
  <c r="N382" i="193"/>
  <c r="M382" i="193"/>
  <c r="L382" i="193"/>
  <c r="K382" i="193"/>
  <c r="J382" i="193"/>
  <c r="I382" i="193"/>
  <c r="H382" i="193"/>
  <c r="G382" i="193"/>
  <c r="B382" i="193"/>
  <c r="T381" i="193"/>
  <c r="S381" i="193"/>
  <c r="R381" i="193"/>
  <c r="P381" i="193"/>
  <c r="O381" i="193"/>
  <c r="N381" i="193"/>
  <c r="M381" i="193"/>
  <c r="L381" i="193"/>
  <c r="K381" i="193"/>
  <c r="J381" i="193"/>
  <c r="I381" i="193"/>
  <c r="H381" i="193"/>
  <c r="G381" i="193"/>
  <c r="E381" i="193"/>
  <c r="B381" i="193"/>
  <c r="T380" i="193"/>
  <c r="S380" i="193"/>
  <c r="R380" i="193"/>
  <c r="P380" i="193"/>
  <c r="O380" i="193"/>
  <c r="N380" i="193"/>
  <c r="M380" i="193"/>
  <c r="L380" i="193"/>
  <c r="K380" i="193"/>
  <c r="J380" i="193"/>
  <c r="I380" i="193"/>
  <c r="H380" i="193"/>
  <c r="G380" i="193"/>
  <c r="B380" i="193"/>
  <c r="T379" i="193"/>
  <c r="S379" i="193"/>
  <c r="R379" i="193"/>
  <c r="P379" i="193"/>
  <c r="O379" i="193"/>
  <c r="N379" i="193"/>
  <c r="M379" i="193"/>
  <c r="L379" i="193"/>
  <c r="K379" i="193"/>
  <c r="J379" i="193"/>
  <c r="I379" i="193"/>
  <c r="H379" i="193"/>
  <c r="G379" i="193"/>
  <c r="B379" i="193"/>
  <c r="T378" i="193"/>
  <c r="S378" i="193"/>
  <c r="R378" i="193"/>
  <c r="P378" i="193"/>
  <c r="O378" i="193"/>
  <c r="N378" i="193"/>
  <c r="M378" i="193"/>
  <c r="L378" i="193"/>
  <c r="K378" i="193"/>
  <c r="J378" i="193"/>
  <c r="I378" i="193"/>
  <c r="H378" i="193"/>
  <c r="G378" i="193"/>
  <c r="B378" i="193"/>
  <c r="B375" i="193"/>
  <c r="C374" i="193"/>
  <c r="B374" i="193" s="1"/>
  <c r="T373" i="193"/>
  <c r="S373" i="193"/>
  <c r="R373" i="193"/>
  <c r="P373" i="193"/>
  <c r="O373" i="193"/>
  <c r="N373" i="193"/>
  <c r="M373" i="193"/>
  <c r="L373" i="193"/>
  <c r="K373" i="193"/>
  <c r="J373" i="193"/>
  <c r="I373" i="193"/>
  <c r="H373" i="193"/>
  <c r="G373" i="193"/>
  <c r="B373" i="193"/>
  <c r="T372" i="193"/>
  <c r="S372" i="193"/>
  <c r="R372" i="193"/>
  <c r="P372" i="193"/>
  <c r="O372" i="193"/>
  <c r="N372" i="193"/>
  <c r="M372" i="193"/>
  <c r="L372" i="193"/>
  <c r="K372" i="193"/>
  <c r="J372" i="193"/>
  <c r="I372" i="193"/>
  <c r="H372" i="193"/>
  <c r="G372" i="193"/>
  <c r="B372" i="193"/>
  <c r="T371" i="193"/>
  <c r="S371" i="193"/>
  <c r="R371" i="193"/>
  <c r="P371" i="193"/>
  <c r="O371" i="193"/>
  <c r="N371" i="193"/>
  <c r="M371" i="193"/>
  <c r="L371" i="193"/>
  <c r="K371" i="193"/>
  <c r="J371" i="193"/>
  <c r="I371" i="193"/>
  <c r="H371" i="193"/>
  <c r="G371" i="193"/>
  <c r="B371" i="193"/>
  <c r="T370" i="193"/>
  <c r="S370" i="193"/>
  <c r="R370" i="193"/>
  <c r="P370" i="193"/>
  <c r="O370" i="193"/>
  <c r="N370" i="193"/>
  <c r="M370" i="193"/>
  <c r="L370" i="193"/>
  <c r="K370" i="193"/>
  <c r="J370" i="193"/>
  <c r="I370" i="193"/>
  <c r="H370" i="193"/>
  <c r="G370" i="193"/>
  <c r="B370" i="193"/>
  <c r="T369" i="193"/>
  <c r="S369" i="193"/>
  <c r="R369" i="193"/>
  <c r="P369" i="193"/>
  <c r="O369" i="193"/>
  <c r="N369" i="193"/>
  <c r="M369" i="193"/>
  <c r="L369" i="193"/>
  <c r="K369" i="193"/>
  <c r="J369" i="193"/>
  <c r="I369" i="193"/>
  <c r="H369" i="193"/>
  <c r="G369" i="193"/>
  <c r="B369" i="193"/>
  <c r="T368" i="193"/>
  <c r="S368" i="193"/>
  <c r="R368" i="193"/>
  <c r="P368" i="193"/>
  <c r="O368" i="193"/>
  <c r="N368" i="193"/>
  <c r="M368" i="193"/>
  <c r="L368" i="193"/>
  <c r="K368" i="193"/>
  <c r="J368" i="193"/>
  <c r="I368" i="193"/>
  <c r="H368" i="193"/>
  <c r="G368" i="193"/>
  <c r="B368" i="193"/>
  <c r="B366" i="193"/>
  <c r="C365" i="193"/>
  <c r="B365" i="193" s="1"/>
  <c r="T364" i="193"/>
  <c r="S364" i="193"/>
  <c r="R364" i="193"/>
  <c r="P364" i="193"/>
  <c r="O364" i="193"/>
  <c r="N364" i="193"/>
  <c r="M364" i="193"/>
  <c r="L364" i="193"/>
  <c r="K364" i="193"/>
  <c r="J364" i="193"/>
  <c r="I364" i="193"/>
  <c r="H364" i="193"/>
  <c r="G364" i="193"/>
  <c r="E364" i="193"/>
  <c r="B364" i="193"/>
  <c r="T363" i="193"/>
  <c r="S363" i="193"/>
  <c r="R363" i="193"/>
  <c r="P363" i="193"/>
  <c r="O363" i="193"/>
  <c r="N363" i="193"/>
  <c r="M363" i="193"/>
  <c r="L363" i="193"/>
  <c r="K363" i="193"/>
  <c r="J363" i="193"/>
  <c r="I363" i="193"/>
  <c r="H363" i="193"/>
  <c r="G363" i="193"/>
  <c r="E363" i="193"/>
  <c r="B363" i="193"/>
  <c r="T362" i="193"/>
  <c r="S362" i="193"/>
  <c r="R362" i="193"/>
  <c r="P362" i="193"/>
  <c r="O362" i="193"/>
  <c r="N362" i="193"/>
  <c r="M362" i="193"/>
  <c r="L362" i="193"/>
  <c r="K362" i="193"/>
  <c r="J362" i="193"/>
  <c r="I362" i="193"/>
  <c r="H362" i="193"/>
  <c r="G362" i="193"/>
  <c r="E362" i="193"/>
  <c r="B362" i="193"/>
  <c r="T361" i="193"/>
  <c r="S361" i="193"/>
  <c r="R361" i="193"/>
  <c r="P361" i="193"/>
  <c r="O361" i="193"/>
  <c r="N361" i="193"/>
  <c r="M361" i="193"/>
  <c r="L361" i="193"/>
  <c r="K361" i="193"/>
  <c r="J361" i="193"/>
  <c r="I361" i="193"/>
  <c r="H361" i="193"/>
  <c r="G361" i="193"/>
  <c r="E361" i="193"/>
  <c r="B361" i="193"/>
  <c r="T360" i="193"/>
  <c r="S360" i="193"/>
  <c r="R360" i="193"/>
  <c r="P360" i="193"/>
  <c r="O360" i="193"/>
  <c r="N360" i="193"/>
  <c r="M360" i="193"/>
  <c r="L360" i="193"/>
  <c r="K360" i="193"/>
  <c r="J360" i="193"/>
  <c r="I360" i="193"/>
  <c r="H360" i="193"/>
  <c r="G360" i="193"/>
  <c r="E360" i="193"/>
  <c r="B360" i="193"/>
  <c r="T359" i="193"/>
  <c r="S359" i="193"/>
  <c r="R359" i="193"/>
  <c r="P359" i="193"/>
  <c r="O359" i="193"/>
  <c r="N359" i="193"/>
  <c r="M359" i="193"/>
  <c r="L359" i="193"/>
  <c r="K359" i="193"/>
  <c r="J359" i="193"/>
  <c r="I359" i="193"/>
  <c r="H359" i="193"/>
  <c r="G359" i="193"/>
  <c r="E359" i="193"/>
  <c r="B359" i="193"/>
  <c r="B357" i="193"/>
  <c r="C356" i="193"/>
  <c r="B356" i="193" s="1"/>
  <c r="T355" i="193"/>
  <c r="S355" i="193"/>
  <c r="R355" i="193"/>
  <c r="P355" i="193"/>
  <c r="O355" i="193"/>
  <c r="N355" i="193"/>
  <c r="M355" i="193"/>
  <c r="L355" i="193"/>
  <c r="K355" i="193"/>
  <c r="J355" i="193"/>
  <c r="I355" i="193"/>
  <c r="H355" i="193"/>
  <c r="G355" i="193"/>
  <c r="B355" i="193"/>
  <c r="T354" i="193"/>
  <c r="S354" i="193"/>
  <c r="R354" i="193"/>
  <c r="P354" i="193"/>
  <c r="O354" i="193"/>
  <c r="N354" i="193"/>
  <c r="M354" i="193"/>
  <c r="L354" i="193"/>
  <c r="K354" i="193"/>
  <c r="J354" i="193"/>
  <c r="I354" i="193"/>
  <c r="H354" i="193"/>
  <c r="G354" i="193"/>
  <c r="B354" i="193"/>
  <c r="T353" i="193"/>
  <c r="S353" i="193"/>
  <c r="R353" i="193"/>
  <c r="P353" i="193"/>
  <c r="O353" i="193"/>
  <c r="N353" i="193"/>
  <c r="M353" i="193"/>
  <c r="L353" i="193"/>
  <c r="K353" i="193"/>
  <c r="J353" i="193"/>
  <c r="I353" i="193"/>
  <c r="H353" i="193"/>
  <c r="G353" i="193"/>
  <c r="B353" i="193"/>
  <c r="T352" i="193"/>
  <c r="S352" i="193"/>
  <c r="R352" i="193"/>
  <c r="P352" i="193"/>
  <c r="O352" i="193"/>
  <c r="N352" i="193"/>
  <c r="M352" i="193"/>
  <c r="L352" i="193"/>
  <c r="K352" i="193"/>
  <c r="J352" i="193"/>
  <c r="I352" i="193"/>
  <c r="H352" i="193"/>
  <c r="G352" i="193"/>
  <c r="B352" i="193"/>
  <c r="T351" i="193"/>
  <c r="S351" i="193"/>
  <c r="R351" i="193"/>
  <c r="P351" i="193"/>
  <c r="O351" i="193"/>
  <c r="N351" i="193"/>
  <c r="M351" i="193"/>
  <c r="L351" i="193"/>
  <c r="K351" i="193"/>
  <c r="J351" i="193"/>
  <c r="I351" i="193"/>
  <c r="H351" i="193"/>
  <c r="G351" i="193"/>
  <c r="B351" i="193"/>
  <c r="T350" i="193"/>
  <c r="S350" i="193"/>
  <c r="R350" i="193"/>
  <c r="P350" i="193"/>
  <c r="O350" i="193"/>
  <c r="N350" i="193"/>
  <c r="M350" i="193"/>
  <c r="L350" i="193"/>
  <c r="K350" i="193"/>
  <c r="J350" i="193"/>
  <c r="I350" i="193"/>
  <c r="H350" i="193"/>
  <c r="G350" i="193"/>
  <c r="B350" i="193"/>
  <c r="B348" i="193"/>
  <c r="C347" i="193"/>
  <c r="B347" i="193" s="1"/>
  <c r="T346" i="193"/>
  <c r="S346" i="193"/>
  <c r="R346" i="193"/>
  <c r="P346" i="193"/>
  <c r="O346" i="193"/>
  <c r="N346" i="193"/>
  <c r="M346" i="193"/>
  <c r="L346" i="193"/>
  <c r="K346" i="193"/>
  <c r="J346" i="193"/>
  <c r="I346" i="193"/>
  <c r="H346" i="193"/>
  <c r="G346" i="193"/>
  <c r="B346" i="193"/>
  <c r="T345" i="193"/>
  <c r="S345" i="193"/>
  <c r="R345" i="193"/>
  <c r="P345" i="193"/>
  <c r="O345" i="193"/>
  <c r="N345" i="193"/>
  <c r="M345" i="193"/>
  <c r="L345" i="193"/>
  <c r="K345" i="193"/>
  <c r="J345" i="193"/>
  <c r="I345" i="193"/>
  <c r="H345" i="193"/>
  <c r="G345" i="193"/>
  <c r="B345" i="193"/>
  <c r="T344" i="193"/>
  <c r="S344" i="193"/>
  <c r="R344" i="193"/>
  <c r="P344" i="193"/>
  <c r="O344" i="193"/>
  <c r="N344" i="193"/>
  <c r="M344" i="193"/>
  <c r="L344" i="193"/>
  <c r="K344" i="193"/>
  <c r="J344" i="193"/>
  <c r="I344" i="193"/>
  <c r="H344" i="193"/>
  <c r="G344" i="193"/>
  <c r="B344" i="193"/>
  <c r="T343" i="193"/>
  <c r="S343" i="193"/>
  <c r="R343" i="193"/>
  <c r="P343" i="193"/>
  <c r="O343" i="193"/>
  <c r="N343" i="193"/>
  <c r="M343" i="193"/>
  <c r="L343" i="193"/>
  <c r="K343" i="193"/>
  <c r="J343" i="193"/>
  <c r="I343" i="193"/>
  <c r="H343" i="193"/>
  <c r="G343" i="193"/>
  <c r="B343" i="193"/>
  <c r="T342" i="193"/>
  <c r="S342" i="193"/>
  <c r="R342" i="193"/>
  <c r="P342" i="193"/>
  <c r="O342" i="193"/>
  <c r="N342" i="193"/>
  <c r="M342" i="193"/>
  <c r="L342" i="193"/>
  <c r="K342" i="193"/>
  <c r="J342" i="193"/>
  <c r="I342" i="193"/>
  <c r="H342" i="193"/>
  <c r="G342" i="193"/>
  <c r="B342" i="193"/>
  <c r="T341" i="193"/>
  <c r="S341" i="193"/>
  <c r="R341" i="193"/>
  <c r="P341" i="193"/>
  <c r="O341" i="193"/>
  <c r="N341" i="193"/>
  <c r="M341" i="193"/>
  <c r="L341" i="193"/>
  <c r="K341" i="193"/>
  <c r="J341" i="193"/>
  <c r="I341" i="193"/>
  <c r="H341" i="193"/>
  <c r="G341" i="193"/>
  <c r="B341" i="193"/>
  <c r="B339" i="193"/>
  <c r="C338" i="193"/>
  <c r="B338" i="193" s="1"/>
  <c r="T337" i="193"/>
  <c r="S337" i="193"/>
  <c r="R337" i="193"/>
  <c r="P337" i="193"/>
  <c r="O337" i="193"/>
  <c r="N337" i="193"/>
  <c r="M337" i="193"/>
  <c r="L337" i="193"/>
  <c r="K337" i="193"/>
  <c r="J337" i="193"/>
  <c r="I337" i="193"/>
  <c r="H337" i="193"/>
  <c r="G337" i="193"/>
  <c r="B337" i="193"/>
  <c r="T336" i="193"/>
  <c r="S336" i="193"/>
  <c r="R336" i="193"/>
  <c r="P336" i="193"/>
  <c r="O336" i="193"/>
  <c r="N336" i="193"/>
  <c r="M336" i="193"/>
  <c r="L336" i="193"/>
  <c r="K336" i="193"/>
  <c r="J336" i="193"/>
  <c r="I336" i="193"/>
  <c r="H336" i="193"/>
  <c r="G336" i="193"/>
  <c r="B336" i="193"/>
  <c r="T335" i="193"/>
  <c r="S335" i="193"/>
  <c r="R335" i="193"/>
  <c r="P335" i="193"/>
  <c r="O335" i="193"/>
  <c r="N335" i="193"/>
  <c r="M335" i="193"/>
  <c r="L335" i="193"/>
  <c r="K335" i="193"/>
  <c r="J335" i="193"/>
  <c r="I335" i="193"/>
  <c r="H335" i="193"/>
  <c r="G335" i="193"/>
  <c r="B335" i="193"/>
  <c r="T334" i="193"/>
  <c r="S334" i="193"/>
  <c r="R334" i="193"/>
  <c r="P334" i="193"/>
  <c r="O334" i="193"/>
  <c r="N334" i="193"/>
  <c r="M334" i="193"/>
  <c r="L334" i="193"/>
  <c r="K334" i="193"/>
  <c r="J334" i="193"/>
  <c r="I334" i="193"/>
  <c r="H334" i="193"/>
  <c r="G334" i="193"/>
  <c r="B334" i="193"/>
  <c r="T333" i="193"/>
  <c r="S333" i="193"/>
  <c r="R333" i="193"/>
  <c r="P333" i="193"/>
  <c r="O333" i="193"/>
  <c r="N333" i="193"/>
  <c r="M333" i="193"/>
  <c r="L333" i="193"/>
  <c r="K333" i="193"/>
  <c r="J333" i="193"/>
  <c r="I333" i="193"/>
  <c r="H333" i="193"/>
  <c r="G333" i="193"/>
  <c r="B333" i="193"/>
  <c r="T332" i="193"/>
  <c r="S332" i="193"/>
  <c r="R332" i="193"/>
  <c r="P332" i="193"/>
  <c r="O332" i="193"/>
  <c r="N332" i="193"/>
  <c r="M332" i="193"/>
  <c r="L332" i="193"/>
  <c r="K332" i="193"/>
  <c r="J332" i="193"/>
  <c r="I332" i="193"/>
  <c r="H332" i="193"/>
  <c r="G332" i="193"/>
  <c r="B332" i="193"/>
  <c r="B330" i="193"/>
  <c r="C329" i="193"/>
  <c r="B329" i="193" s="1"/>
  <c r="T328" i="193"/>
  <c r="S328" i="193"/>
  <c r="R328" i="193"/>
  <c r="P328" i="193"/>
  <c r="O328" i="193"/>
  <c r="N328" i="193"/>
  <c r="M328" i="193"/>
  <c r="L328" i="193"/>
  <c r="K328" i="193"/>
  <c r="J328" i="193"/>
  <c r="I328" i="193"/>
  <c r="H328" i="193"/>
  <c r="G328" i="193"/>
  <c r="E328" i="193"/>
  <c r="B328" i="193"/>
  <c r="T327" i="193"/>
  <c r="S327" i="193"/>
  <c r="R327" i="193"/>
  <c r="P327" i="193"/>
  <c r="O327" i="193"/>
  <c r="N327" i="193"/>
  <c r="M327" i="193"/>
  <c r="L327" i="193"/>
  <c r="K327" i="193"/>
  <c r="J327" i="193"/>
  <c r="I327" i="193"/>
  <c r="H327" i="193"/>
  <c r="G327" i="193"/>
  <c r="E327" i="193"/>
  <c r="B327" i="193"/>
  <c r="T326" i="193"/>
  <c r="S326" i="193"/>
  <c r="R326" i="193"/>
  <c r="P326" i="193"/>
  <c r="O326" i="193"/>
  <c r="N326" i="193"/>
  <c r="M326" i="193"/>
  <c r="L326" i="193"/>
  <c r="K326" i="193"/>
  <c r="J326" i="193"/>
  <c r="I326" i="193"/>
  <c r="H326" i="193"/>
  <c r="G326" i="193"/>
  <c r="E326" i="193"/>
  <c r="B326" i="193"/>
  <c r="T325" i="193"/>
  <c r="S325" i="193"/>
  <c r="R325" i="193"/>
  <c r="P325" i="193"/>
  <c r="O325" i="193"/>
  <c r="N325" i="193"/>
  <c r="M325" i="193"/>
  <c r="L325" i="193"/>
  <c r="K325" i="193"/>
  <c r="J325" i="193"/>
  <c r="I325" i="193"/>
  <c r="H325" i="193"/>
  <c r="G325" i="193"/>
  <c r="E325" i="193"/>
  <c r="B325" i="193"/>
  <c r="T324" i="193"/>
  <c r="S324" i="193"/>
  <c r="R324" i="193"/>
  <c r="P324" i="193"/>
  <c r="O324" i="193"/>
  <c r="N324" i="193"/>
  <c r="M324" i="193"/>
  <c r="L324" i="193"/>
  <c r="K324" i="193"/>
  <c r="J324" i="193"/>
  <c r="I324" i="193"/>
  <c r="H324" i="193"/>
  <c r="G324" i="193"/>
  <c r="E324" i="193"/>
  <c r="B324" i="193"/>
  <c r="T323" i="193"/>
  <c r="S323" i="193"/>
  <c r="R323" i="193"/>
  <c r="P323" i="193"/>
  <c r="O323" i="193"/>
  <c r="N323" i="193"/>
  <c r="M323" i="193"/>
  <c r="L323" i="193"/>
  <c r="K323" i="193"/>
  <c r="J323" i="193"/>
  <c r="I323" i="193"/>
  <c r="H323" i="193"/>
  <c r="G323" i="193"/>
  <c r="E323" i="193"/>
  <c r="B323" i="193"/>
  <c r="B321" i="193"/>
  <c r="C320" i="193"/>
  <c r="B320" i="193" s="1"/>
  <c r="T319" i="193"/>
  <c r="S319" i="193"/>
  <c r="R319" i="193"/>
  <c r="P319" i="193"/>
  <c r="O319" i="193"/>
  <c r="N319" i="193"/>
  <c r="M319" i="193"/>
  <c r="L319" i="193"/>
  <c r="K319" i="193"/>
  <c r="J319" i="193"/>
  <c r="I319" i="193"/>
  <c r="H319" i="193"/>
  <c r="G319" i="193"/>
  <c r="B319" i="193"/>
  <c r="T318" i="193"/>
  <c r="S318" i="193"/>
  <c r="R318" i="193"/>
  <c r="P318" i="193"/>
  <c r="O318" i="193"/>
  <c r="N318" i="193"/>
  <c r="M318" i="193"/>
  <c r="L318" i="193"/>
  <c r="K318" i="193"/>
  <c r="J318" i="193"/>
  <c r="I318" i="193"/>
  <c r="H318" i="193"/>
  <c r="G318" i="193"/>
  <c r="B318" i="193"/>
  <c r="T317" i="193"/>
  <c r="S317" i="193"/>
  <c r="R317" i="193"/>
  <c r="P317" i="193"/>
  <c r="O317" i="193"/>
  <c r="N317" i="193"/>
  <c r="M317" i="193"/>
  <c r="L317" i="193"/>
  <c r="K317" i="193"/>
  <c r="J317" i="193"/>
  <c r="I317" i="193"/>
  <c r="H317" i="193"/>
  <c r="G317" i="193"/>
  <c r="B317" i="193"/>
  <c r="T316" i="193"/>
  <c r="S316" i="193"/>
  <c r="R316" i="193"/>
  <c r="P316" i="193"/>
  <c r="O316" i="193"/>
  <c r="N316" i="193"/>
  <c r="M316" i="193"/>
  <c r="L316" i="193"/>
  <c r="K316" i="193"/>
  <c r="J316" i="193"/>
  <c r="I316" i="193"/>
  <c r="H316" i="193"/>
  <c r="G316" i="193"/>
  <c r="B316" i="193"/>
  <c r="T315" i="193"/>
  <c r="S315" i="193"/>
  <c r="R315" i="193"/>
  <c r="P315" i="193"/>
  <c r="O315" i="193"/>
  <c r="N315" i="193"/>
  <c r="M315" i="193"/>
  <c r="L315" i="193"/>
  <c r="K315" i="193"/>
  <c r="J315" i="193"/>
  <c r="I315" i="193"/>
  <c r="H315" i="193"/>
  <c r="G315" i="193"/>
  <c r="B315" i="193"/>
  <c r="T314" i="193"/>
  <c r="S314" i="193"/>
  <c r="R314" i="193"/>
  <c r="P314" i="193"/>
  <c r="O314" i="193"/>
  <c r="N314" i="193"/>
  <c r="M314" i="193"/>
  <c r="L314" i="193"/>
  <c r="K314" i="193"/>
  <c r="J314" i="193"/>
  <c r="I314" i="193"/>
  <c r="H314" i="193"/>
  <c r="G314" i="193"/>
  <c r="B314" i="193"/>
  <c r="B312" i="193"/>
  <c r="B311" i="193"/>
  <c r="T310" i="193"/>
  <c r="S310" i="193"/>
  <c r="R310" i="193"/>
  <c r="P310" i="193"/>
  <c r="O310" i="193"/>
  <c r="N310" i="193"/>
  <c r="M310" i="193"/>
  <c r="L310" i="193"/>
  <c r="K310" i="193"/>
  <c r="J310" i="193"/>
  <c r="I310" i="193"/>
  <c r="H310" i="193"/>
  <c r="G310" i="193"/>
  <c r="B310" i="193"/>
  <c r="T309" i="193"/>
  <c r="S309" i="193"/>
  <c r="R309" i="193"/>
  <c r="P309" i="193"/>
  <c r="O309" i="193"/>
  <c r="N309" i="193"/>
  <c r="M309" i="193"/>
  <c r="L309" i="193"/>
  <c r="K309" i="193"/>
  <c r="J309" i="193"/>
  <c r="I309" i="193"/>
  <c r="H309" i="193"/>
  <c r="G309" i="193"/>
  <c r="B309" i="193"/>
  <c r="T308" i="193"/>
  <c r="S308" i="193"/>
  <c r="R308" i="193"/>
  <c r="P308" i="193"/>
  <c r="O308" i="193"/>
  <c r="N308" i="193"/>
  <c r="M308" i="193"/>
  <c r="L308" i="193"/>
  <c r="K308" i="193"/>
  <c r="J308" i="193"/>
  <c r="I308" i="193"/>
  <c r="H308" i="193"/>
  <c r="G308" i="193"/>
  <c r="B308" i="193"/>
  <c r="T307" i="193"/>
  <c r="S307" i="193"/>
  <c r="R307" i="193"/>
  <c r="P307" i="193"/>
  <c r="O307" i="193"/>
  <c r="N307" i="193"/>
  <c r="M307" i="193"/>
  <c r="L307" i="193"/>
  <c r="K307" i="193"/>
  <c r="J307" i="193"/>
  <c r="I307" i="193"/>
  <c r="H307" i="193"/>
  <c r="G307" i="193"/>
  <c r="E307" i="193"/>
  <c r="B307" i="193"/>
  <c r="T306" i="193"/>
  <c r="S306" i="193"/>
  <c r="R306" i="193"/>
  <c r="P306" i="193"/>
  <c r="O306" i="193"/>
  <c r="N306" i="193"/>
  <c r="M306" i="193"/>
  <c r="L306" i="193"/>
  <c r="K306" i="193"/>
  <c r="J306" i="193"/>
  <c r="I306" i="193"/>
  <c r="H306" i="193"/>
  <c r="G306" i="193"/>
  <c r="B306" i="193"/>
  <c r="T305" i="193"/>
  <c r="S305" i="193"/>
  <c r="R305" i="193"/>
  <c r="P305" i="193"/>
  <c r="O305" i="193"/>
  <c r="N305" i="193"/>
  <c r="M305" i="193"/>
  <c r="L305" i="193"/>
  <c r="K305" i="193"/>
  <c r="J305" i="193"/>
  <c r="I305" i="193"/>
  <c r="H305" i="193"/>
  <c r="G305" i="193"/>
  <c r="B305" i="193"/>
  <c r="B303" i="193"/>
  <c r="B302" i="193"/>
  <c r="T301" i="193"/>
  <c r="S301" i="193"/>
  <c r="R301" i="193"/>
  <c r="P301" i="193"/>
  <c r="O301" i="193"/>
  <c r="N301" i="193"/>
  <c r="M301" i="193"/>
  <c r="L301" i="193"/>
  <c r="K301" i="193"/>
  <c r="J301" i="193"/>
  <c r="I301" i="193"/>
  <c r="H301" i="193"/>
  <c r="G301" i="193"/>
  <c r="B301" i="193"/>
  <c r="T300" i="193"/>
  <c r="S300" i="193"/>
  <c r="R300" i="193"/>
  <c r="P300" i="193"/>
  <c r="O300" i="193"/>
  <c r="N300" i="193"/>
  <c r="M300" i="193"/>
  <c r="L300" i="193"/>
  <c r="K300" i="193"/>
  <c r="J300" i="193"/>
  <c r="I300" i="193"/>
  <c r="H300" i="193"/>
  <c r="G300" i="193"/>
  <c r="E300" i="193"/>
  <c r="B300" i="193"/>
  <c r="T299" i="193"/>
  <c r="S299" i="193"/>
  <c r="R299" i="193"/>
  <c r="P299" i="193"/>
  <c r="O299" i="193"/>
  <c r="N299" i="193"/>
  <c r="M299" i="193"/>
  <c r="L299" i="193"/>
  <c r="K299" i="193"/>
  <c r="J299" i="193"/>
  <c r="I299" i="193"/>
  <c r="H299" i="193"/>
  <c r="G299" i="193"/>
  <c r="B299" i="193"/>
  <c r="T298" i="193"/>
  <c r="S298" i="193"/>
  <c r="R298" i="193"/>
  <c r="P298" i="193"/>
  <c r="O298" i="193"/>
  <c r="N298" i="193"/>
  <c r="M298" i="193"/>
  <c r="L298" i="193"/>
  <c r="K298" i="193"/>
  <c r="J298" i="193"/>
  <c r="I298" i="193"/>
  <c r="H298" i="193"/>
  <c r="G298" i="193"/>
  <c r="B298" i="193"/>
  <c r="T297" i="193"/>
  <c r="S297" i="193"/>
  <c r="R297" i="193"/>
  <c r="P297" i="193"/>
  <c r="O297" i="193"/>
  <c r="N297" i="193"/>
  <c r="M297" i="193"/>
  <c r="L297" i="193"/>
  <c r="K297" i="193"/>
  <c r="J297" i="193"/>
  <c r="I297" i="193"/>
  <c r="H297" i="193"/>
  <c r="G297" i="193"/>
  <c r="B297" i="193"/>
  <c r="T296" i="193"/>
  <c r="S296" i="193"/>
  <c r="R296" i="193"/>
  <c r="P296" i="193"/>
  <c r="O296" i="193"/>
  <c r="N296" i="193"/>
  <c r="M296" i="193"/>
  <c r="L296" i="193"/>
  <c r="K296" i="193"/>
  <c r="J296" i="193"/>
  <c r="I296" i="193"/>
  <c r="H296" i="193"/>
  <c r="G296" i="193"/>
  <c r="E296" i="193"/>
  <c r="B296" i="193"/>
  <c r="B294" i="193"/>
  <c r="B293" i="193"/>
  <c r="T292" i="193"/>
  <c r="S292" i="193"/>
  <c r="R292" i="193"/>
  <c r="P292" i="193"/>
  <c r="O292" i="193"/>
  <c r="N292" i="193"/>
  <c r="M292" i="193"/>
  <c r="L292" i="193"/>
  <c r="K292" i="193"/>
  <c r="J292" i="193"/>
  <c r="I292" i="193"/>
  <c r="H292" i="193"/>
  <c r="G292" i="193"/>
  <c r="B292" i="193"/>
  <c r="T291" i="193"/>
  <c r="S291" i="193"/>
  <c r="R291" i="193"/>
  <c r="P291" i="193"/>
  <c r="O291" i="193"/>
  <c r="N291" i="193"/>
  <c r="M291" i="193"/>
  <c r="L291" i="193"/>
  <c r="K291" i="193"/>
  <c r="J291" i="193"/>
  <c r="I291" i="193"/>
  <c r="H291" i="193"/>
  <c r="G291" i="193"/>
  <c r="B291" i="193"/>
  <c r="A291" i="193"/>
  <c r="A292" i="193" s="1"/>
  <c r="A293" i="193" s="1"/>
  <c r="A294" i="193" s="1"/>
  <c r="A295" i="193" s="1"/>
  <c r="A296" i="193" s="1"/>
  <c r="A297" i="193" s="1"/>
  <c r="A298" i="193" s="1"/>
  <c r="A299" i="193" s="1"/>
  <c r="A300" i="193" s="1"/>
  <c r="A301" i="193" s="1"/>
  <c r="A302" i="193" s="1"/>
  <c r="A303" i="193" s="1"/>
  <c r="A304" i="193" s="1"/>
  <c r="A305" i="193" s="1"/>
  <c r="A306" i="193" s="1"/>
  <c r="A307" i="193" s="1"/>
  <c r="A308" i="193" s="1"/>
  <c r="A309" i="193" s="1"/>
  <c r="A310" i="193" s="1"/>
  <c r="A311" i="193" s="1"/>
  <c r="A376" i="193" s="1"/>
  <c r="A377" i="193" s="1"/>
  <c r="A378" i="193" s="1"/>
  <c r="A379" i="193" s="1"/>
  <c r="A380" i="193" s="1"/>
  <c r="A381" i="193" s="1"/>
  <c r="A382" i="193" s="1"/>
  <c r="A383" i="193" s="1"/>
  <c r="A384" i="193" s="1"/>
  <c r="A385" i="193" s="1"/>
  <c r="A386" i="193" s="1"/>
  <c r="T290" i="193"/>
  <c r="S290" i="193"/>
  <c r="R290" i="193"/>
  <c r="P290" i="193"/>
  <c r="O290" i="193"/>
  <c r="N290" i="193"/>
  <c r="M290" i="193"/>
  <c r="L290" i="193"/>
  <c r="K290" i="193"/>
  <c r="J290" i="193"/>
  <c r="I290" i="193"/>
  <c r="H290" i="193"/>
  <c r="G290" i="193"/>
  <c r="B290" i="193"/>
  <c r="T289" i="193"/>
  <c r="S289" i="193"/>
  <c r="R289" i="193"/>
  <c r="P289" i="193"/>
  <c r="O289" i="193"/>
  <c r="N289" i="193"/>
  <c r="M289" i="193"/>
  <c r="L289" i="193"/>
  <c r="K289" i="193"/>
  <c r="J289" i="193"/>
  <c r="I289" i="193"/>
  <c r="H289" i="193"/>
  <c r="G289" i="193"/>
  <c r="E289" i="193"/>
  <c r="B289" i="193"/>
  <c r="T288" i="193"/>
  <c r="S288" i="193"/>
  <c r="R288" i="193"/>
  <c r="P288" i="193"/>
  <c r="O288" i="193"/>
  <c r="N288" i="193"/>
  <c r="M288" i="193"/>
  <c r="L288" i="193"/>
  <c r="K288" i="193"/>
  <c r="J288" i="193"/>
  <c r="I288" i="193"/>
  <c r="H288" i="193"/>
  <c r="G288" i="193"/>
  <c r="B288" i="193"/>
  <c r="T287" i="193"/>
  <c r="S287" i="193"/>
  <c r="R287" i="193"/>
  <c r="P287" i="193"/>
  <c r="O287" i="193"/>
  <c r="N287" i="193"/>
  <c r="M287" i="193"/>
  <c r="L287" i="193"/>
  <c r="K287" i="193"/>
  <c r="J287" i="193"/>
  <c r="I287" i="193"/>
  <c r="H287" i="193"/>
  <c r="G287" i="193"/>
  <c r="B287" i="193"/>
  <c r="A287" i="193"/>
  <c r="A288" i="193" s="1"/>
  <c r="A289" i="193" s="1"/>
  <c r="A290" i="193" s="1"/>
  <c r="P283" i="193"/>
  <c r="O283" i="193"/>
  <c r="N283" i="193"/>
  <c r="M283" i="193"/>
  <c r="L283" i="193"/>
  <c r="K283" i="193"/>
  <c r="J283" i="193"/>
  <c r="I283" i="193"/>
  <c r="H283" i="193"/>
  <c r="G283" i="193"/>
  <c r="A279" i="193"/>
  <c r="A278" i="193"/>
  <c r="T276" i="193"/>
  <c r="T384" i="193" s="1"/>
  <c r="S276" i="193"/>
  <c r="S384" i="193" s="1"/>
  <c r="R276" i="193"/>
  <c r="P276" i="193"/>
  <c r="P384" i="193" s="1"/>
  <c r="O276" i="193"/>
  <c r="O384" i="193" s="1"/>
  <c r="N276" i="193"/>
  <c r="N384" i="193" s="1"/>
  <c r="M276" i="193"/>
  <c r="M384" i="193" s="1"/>
  <c r="L276" i="193"/>
  <c r="L384" i="193" s="1"/>
  <c r="K276" i="193"/>
  <c r="K384" i="193" s="1"/>
  <c r="J276" i="193"/>
  <c r="J384" i="193" s="1"/>
  <c r="I276" i="193"/>
  <c r="I384" i="193" s="1"/>
  <c r="H276" i="193"/>
  <c r="H384" i="193" s="1"/>
  <c r="G276" i="193"/>
  <c r="G384" i="193" s="1"/>
  <c r="E276" i="193"/>
  <c r="E384" i="193" s="1"/>
  <c r="W275" i="193"/>
  <c r="W383" i="193" s="1"/>
  <c r="U275" i="193"/>
  <c r="B275" i="193"/>
  <c r="W274" i="193"/>
  <c r="W382" i="193" s="1"/>
  <c r="U274" i="193"/>
  <c r="B274" i="193"/>
  <c r="W273" i="193"/>
  <c r="W381" i="193" s="1"/>
  <c r="U273" i="193"/>
  <c r="B273" i="193"/>
  <c r="W272" i="193"/>
  <c r="W380" i="193" s="1"/>
  <c r="U272" i="193"/>
  <c r="B272" i="193"/>
  <c r="W271" i="193"/>
  <c r="W379" i="193" s="1"/>
  <c r="U271" i="193"/>
  <c r="B271" i="193"/>
  <c r="W270" i="193"/>
  <c r="W378" i="193" s="1"/>
  <c r="U270" i="193"/>
  <c r="U276" i="193" s="1"/>
  <c r="B270" i="193"/>
  <c r="W267" i="193"/>
  <c r="B267" i="193"/>
  <c r="U266" i="193"/>
  <c r="T266" i="193"/>
  <c r="S266" i="193"/>
  <c r="R266" i="193"/>
  <c r="P266" i="193"/>
  <c r="O266" i="193"/>
  <c r="N266" i="193"/>
  <c r="M266" i="193"/>
  <c r="L266" i="193"/>
  <c r="K266" i="193"/>
  <c r="J266" i="193"/>
  <c r="I266" i="193"/>
  <c r="H266" i="193"/>
  <c r="G266" i="193"/>
  <c r="E266" i="193"/>
  <c r="C266" i="193"/>
  <c r="B266" i="193" s="1"/>
  <c r="W265" i="193"/>
  <c r="W373" i="193" s="1"/>
  <c r="B265" i="193"/>
  <c r="W264" i="193"/>
  <c r="W372" i="193" s="1"/>
  <c r="B264" i="193"/>
  <c r="W263" i="193"/>
  <c r="W371" i="193" s="1"/>
  <c r="B263" i="193"/>
  <c r="W262" i="193"/>
  <c r="W370" i="193" s="1"/>
  <c r="B262" i="193"/>
  <c r="W261" i="193"/>
  <c r="W369" i="193" s="1"/>
  <c r="B261" i="193"/>
  <c r="W260" i="193"/>
  <c r="W368" i="193" s="1"/>
  <c r="B260" i="193"/>
  <c r="W259" i="193"/>
  <c r="W258" i="193"/>
  <c r="B258" i="193"/>
  <c r="U257" i="193"/>
  <c r="T257" i="193"/>
  <c r="S257" i="193"/>
  <c r="R257" i="193"/>
  <c r="P257" i="193"/>
  <c r="O257" i="193"/>
  <c r="N257" i="193"/>
  <c r="M257" i="193"/>
  <c r="L257" i="193"/>
  <c r="K257" i="193"/>
  <c r="J257" i="193"/>
  <c r="I257" i="193"/>
  <c r="H257" i="193"/>
  <c r="G257" i="193"/>
  <c r="E257" i="193"/>
  <c r="C257" i="193"/>
  <c r="B257" i="193" s="1"/>
  <c r="W256" i="193"/>
  <c r="W364" i="193" s="1"/>
  <c r="B256" i="193"/>
  <c r="W255" i="193"/>
  <c r="W363" i="193" s="1"/>
  <c r="B255" i="193"/>
  <c r="W254" i="193"/>
  <c r="W362" i="193" s="1"/>
  <c r="B254" i="193"/>
  <c r="W253" i="193"/>
  <c r="W361" i="193" s="1"/>
  <c r="B253" i="193"/>
  <c r="W252" i="193"/>
  <c r="W360" i="193" s="1"/>
  <c r="B252" i="193"/>
  <c r="W251" i="193"/>
  <c r="W359" i="193" s="1"/>
  <c r="B251" i="193"/>
  <c r="W250" i="193"/>
  <c r="W249" i="193"/>
  <c r="B249" i="193"/>
  <c r="U248" i="193"/>
  <c r="T248" i="193"/>
  <c r="S248" i="193"/>
  <c r="R248" i="193"/>
  <c r="P248" i="193"/>
  <c r="O248" i="193"/>
  <c r="N248" i="193"/>
  <c r="M248" i="193"/>
  <c r="L248" i="193"/>
  <c r="K248" i="193"/>
  <c r="J248" i="193"/>
  <c r="I248" i="193"/>
  <c r="H248" i="193"/>
  <c r="G248" i="193"/>
  <c r="E248" i="193"/>
  <c r="C248" i="193"/>
  <c r="B248" i="193" s="1"/>
  <c r="W247" i="193"/>
  <c r="W355" i="193" s="1"/>
  <c r="B247" i="193"/>
  <c r="W246" i="193"/>
  <c r="W354" i="193" s="1"/>
  <c r="B246" i="193"/>
  <c r="W245" i="193"/>
  <c r="W353" i="193" s="1"/>
  <c r="B245" i="193"/>
  <c r="W244" i="193"/>
  <c r="W352" i="193" s="1"/>
  <c r="B244" i="193"/>
  <c r="W243" i="193"/>
  <c r="W351" i="193" s="1"/>
  <c r="B243" i="193"/>
  <c r="W242" i="193"/>
  <c r="W350" i="193" s="1"/>
  <c r="B242" i="193"/>
  <c r="W241" i="193"/>
  <c r="W240" i="193"/>
  <c r="B240" i="193"/>
  <c r="U239" i="193"/>
  <c r="T239" i="193"/>
  <c r="S239" i="193"/>
  <c r="R239" i="193"/>
  <c r="P239" i="193"/>
  <c r="O239" i="193"/>
  <c r="N239" i="193"/>
  <c r="M239" i="193"/>
  <c r="L239" i="193"/>
  <c r="K239" i="193"/>
  <c r="J239" i="193"/>
  <c r="I239" i="193"/>
  <c r="H239" i="193"/>
  <c r="G239" i="193"/>
  <c r="E239" i="193"/>
  <c r="C239" i="193"/>
  <c r="B239" i="193" s="1"/>
  <c r="W238" i="193"/>
  <c r="W346" i="193" s="1"/>
  <c r="B238" i="193"/>
  <c r="W237" i="193"/>
  <c r="W345" i="193" s="1"/>
  <c r="B237" i="193"/>
  <c r="W236" i="193"/>
  <c r="W344" i="193" s="1"/>
  <c r="B236" i="193"/>
  <c r="W235" i="193"/>
  <c r="W343" i="193" s="1"/>
  <c r="B235" i="193"/>
  <c r="W234" i="193"/>
  <c r="W342" i="193" s="1"/>
  <c r="B234" i="193"/>
  <c r="W233" i="193"/>
  <c r="W341" i="193" s="1"/>
  <c r="B233" i="193"/>
  <c r="W232" i="193"/>
  <c r="W231" i="193"/>
  <c r="B231" i="193"/>
  <c r="U230" i="193"/>
  <c r="T230" i="193"/>
  <c r="S230" i="193"/>
  <c r="R230" i="193"/>
  <c r="P230" i="193"/>
  <c r="O230" i="193"/>
  <c r="N230" i="193"/>
  <c r="M230" i="193"/>
  <c r="L230" i="193"/>
  <c r="K230" i="193"/>
  <c r="J230" i="193"/>
  <c r="I230" i="193"/>
  <c r="H230" i="193"/>
  <c r="G230" i="193"/>
  <c r="E230" i="193"/>
  <c r="C230" i="193"/>
  <c r="B230" i="193"/>
  <c r="W229" i="193"/>
  <c r="W337" i="193" s="1"/>
  <c r="B229" i="193"/>
  <c r="W228" i="193"/>
  <c r="W336" i="193" s="1"/>
  <c r="B228" i="193"/>
  <c r="W227" i="193"/>
  <c r="W335" i="193" s="1"/>
  <c r="B227" i="193"/>
  <c r="W226" i="193"/>
  <c r="W334" i="193" s="1"/>
  <c r="B226" i="193"/>
  <c r="W225" i="193"/>
  <c r="W333" i="193" s="1"/>
  <c r="B225" i="193"/>
  <c r="W224" i="193"/>
  <c r="W332" i="193" s="1"/>
  <c r="B224" i="193"/>
  <c r="W223" i="193"/>
  <c r="W222" i="193"/>
  <c r="B222" i="193"/>
  <c r="U221" i="193"/>
  <c r="T221" i="193"/>
  <c r="S221" i="193"/>
  <c r="R221" i="193"/>
  <c r="P221" i="193"/>
  <c r="O221" i="193"/>
  <c r="N221" i="193"/>
  <c r="M221" i="193"/>
  <c r="L221" i="193"/>
  <c r="K221" i="193"/>
  <c r="J221" i="193"/>
  <c r="I221" i="193"/>
  <c r="H221" i="193"/>
  <c r="G221" i="193"/>
  <c r="E221" i="193"/>
  <c r="C221" i="193"/>
  <c r="B221" i="193"/>
  <c r="W220" i="193"/>
  <c r="W328" i="193" s="1"/>
  <c r="B220" i="193"/>
  <c r="W219" i="193"/>
  <c r="W327" i="193" s="1"/>
  <c r="B219" i="193"/>
  <c r="W218" i="193"/>
  <c r="W326" i="193" s="1"/>
  <c r="B218" i="193"/>
  <c r="W217" i="193"/>
  <c r="W325" i="193" s="1"/>
  <c r="B217" i="193"/>
  <c r="W216" i="193"/>
  <c r="W324" i="193" s="1"/>
  <c r="B216" i="193"/>
  <c r="W215" i="193"/>
  <c r="W323" i="193" s="1"/>
  <c r="B215" i="193"/>
  <c r="W214" i="193"/>
  <c r="W213" i="193"/>
  <c r="B213" i="193"/>
  <c r="U212" i="193"/>
  <c r="T212" i="193"/>
  <c r="S212" i="193"/>
  <c r="R212" i="193"/>
  <c r="P212" i="193"/>
  <c r="O212" i="193"/>
  <c r="N212" i="193"/>
  <c r="M212" i="193"/>
  <c r="L212" i="193"/>
  <c r="K212" i="193"/>
  <c r="J212" i="193"/>
  <c r="I212" i="193"/>
  <c r="H212" i="193"/>
  <c r="G212" i="193"/>
  <c r="E212" i="193"/>
  <c r="C212" i="193"/>
  <c r="B212" i="193" s="1"/>
  <c r="W211" i="193"/>
  <c r="W319" i="193" s="1"/>
  <c r="B211" i="193"/>
  <c r="W210" i="193"/>
  <c r="W318" i="193" s="1"/>
  <c r="B210" i="193"/>
  <c r="W209" i="193"/>
  <c r="W317" i="193" s="1"/>
  <c r="B209" i="193"/>
  <c r="W208" i="193"/>
  <c r="W316" i="193" s="1"/>
  <c r="B208" i="193"/>
  <c r="W207" i="193"/>
  <c r="W315" i="193" s="1"/>
  <c r="B207" i="193"/>
  <c r="W206" i="193"/>
  <c r="W314" i="193" s="1"/>
  <c r="B206" i="193"/>
  <c r="W205" i="193"/>
  <c r="W204" i="193"/>
  <c r="B204" i="193"/>
  <c r="T203" i="193"/>
  <c r="T311" i="193" s="1"/>
  <c r="S203" i="193"/>
  <c r="S311" i="193" s="1"/>
  <c r="R203" i="193"/>
  <c r="R311" i="193" s="1"/>
  <c r="P203" i="193"/>
  <c r="P311" i="193" s="1"/>
  <c r="O203" i="193"/>
  <c r="O311" i="193" s="1"/>
  <c r="N203" i="193"/>
  <c r="N311" i="193" s="1"/>
  <c r="M203" i="193"/>
  <c r="M311" i="193" s="1"/>
  <c r="L203" i="193"/>
  <c r="L311" i="193" s="1"/>
  <c r="K203" i="193"/>
  <c r="K311" i="193" s="1"/>
  <c r="J203" i="193"/>
  <c r="J311" i="193" s="1"/>
  <c r="I203" i="193"/>
  <c r="I311" i="193" s="1"/>
  <c r="H203" i="193"/>
  <c r="H311" i="193" s="1"/>
  <c r="G203" i="193"/>
  <c r="G311" i="193" s="1"/>
  <c r="E203" i="193"/>
  <c r="E311" i="193" s="1"/>
  <c r="C203" i="193"/>
  <c r="B203" i="193" s="1"/>
  <c r="W202" i="193"/>
  <c r="W310" i="193" s="1"/>
  <c r="U202" i="193"/>
  <c r="B202" i="193"/>
  <c r="W201" i="193"/>
  <c r="W309" i="193" s="1"/>
  <c r="U201" i="193"/>
  <c r="B201" i="193"/>
  <c r="W200" i="193"/>
  <c r="W308" i="193" s="1"/>
  <c r="U200" i="193"/>
  <c r="B200" i="193"/>
  <c r="W199" i="193"/>
  <c r="W307" i="193" s="1"/>
  <c r="U199" i="193"/>
  <c r="B199" i="193"/>
  <c r="W198" i="193"/>
  <c r="W306" i="193" s="1"/>
  <c r="U198" i="193"/>
  <c r="B198" i="193"/>
  <c r="W197" i="193"/>
  <c r="W305" i="193" s="1"/>
  <c r="U197" i="193"/>
  <c r="U203" i="193" s="1"/>
  <c r="B197" i="193"/>
  <c r="B195" i="193"/>
  <c r="T194" i="193"/>
  <c r="T302" i="193" s="1"/>
  <c r="S194" i="193"/>
  <c r="S302" i="193" s="1"/>
  <c r="R194" i="193"/>
  <c r="R302" i="193" s="1"/>
  <c r="P194" i="193"/>
  <c r="P302" i="193" s="1"/>
  <c r="O194" i="193"/>
  <c r="O302" i="193" s="1"/>
  <c r="N194" i="193"/>
  <c r="N302" i="193" s="1"/>
  <c r="M194" i="193"/>
  <c r="M302" i="193" s="1"/>
  <c r="L194" i="193"/>
  <c r="L302" i="193" s="1"/>
  <c r="K194" i="193"/>
  <c r="K302" i="193" s="1"/>
  <c r="J194" i="193"/>
  <c r="J302" i="193" s="1"/>
  <c r="I194" i="193"/>
  <c r="I302" i="193" s="1"/>
  <c r="H194" i="193"/>
  <c r="H302" i="193" s="1"/>
  <c r="G194" i="193"/>
  <c r="G302" i="193" s="1"/>
  <c r="E194" i="193"/>
  <c r="E302" i="193" s="1"/>
  <c r="C194" i="193"/>
  <c r="B194" i="193" s="1"/>
  <c r="W193" i="193"/>
  <c r="W301" i="193" s="1"/>
  <c r="U193" i="193"/>
  <c r="B193" i="193"/>
  <c r="W192" i="193"/>
  <c r="W300" i="193" s="1"/>
  <c r="U192" i="193"/>
  <c r="B192" i="193"/>
  <c r="W191" i="193"/>
  <c r="W299" i="193" s="1"/>
  <c r="U191" i="193"/>
  <c r="B191" i="193"/>
  <c r="W190" i="193"/>
  <c r="W298" i="193" s="1"/>
  <c r="U190" i="193"/>
  <c r="B190" i="193"/>
  <c r="W189" i="193"/>
  <c r="W297" i="193" s="1"/>
  <c r="U189" i="193"/>
  <c r="B189" i="193"/>
  <c r="W188" i="193"/>
  <c r="W296" i="193" s="1"/>
  <c r="U188" i="193"/>
  <c r="B188" i="193"/>
  <c r="B186" i="193"/>
  <c r="T185" i="193"/>
  <c r="T293" i="193" s="1"/>
  <c r="S185" i="193"/>
  <c r="S293" i="193" s="1"/>
  <c r="R185" i="193"/>
  <c r="R293" i="193" s="1"/>
  <c r="P185" i="193"/>
  <c r="P293" i="193" s="1"/>
  <c r="O185" i="193"/>
  <c r="O293" i="193" s="1"/>
  <c r="N185" i="193"/>
  <c r="N293" i="193" s="1"/>
  <c r="M185" i="193"/>
  <c r="M293" i="193" s="1"/>
  <c r="L185" i="193"/>
  <c r="L293" i="193" s="1"/>
  <c r="K185" i="193"/>
  <c r="K293" i="193" s="1"/>
  <c r="J185" i="193"/>
  <c r="J293" i="193" s="1"/>
  <c r="I185" i="193"/>
  <c r="I293" i="193" s="1"/>
  <c r="H185" i="193"/>
  <c r="H293" i="193" s="1"/>
  <c r="G185" i="193"/>
  <c r="G293" i="193" s="1"/>
  <c r="E185" i="193"/>
  <c r="E293" i="193" s="1"/>
  <c r="C185" i="193"/>
  <c r="B185" i="193" s="1"/>
  <c r="W184" i="193"/>
  <c r="W292" i="193" s="1"/>
  <c r="U184" i="193"/>
  <c r="B184" i="193"/>
  <c r="W183" i="193"/>
  <c r="W291" i="193" s="1"/>
  <c r="U183" i="193"/>
  <c r="B183" i="193"/>
  <c r="W182" i="193"/>
  <c r="W290" i="193" s="1"/>
  <c r="U182" i="193"/>
  <c r="B182" i="193"/>
  <c r="W181" i="193"/>
  <c r="W289" i="193" s="1"/>
  <c r="U181" i="193"/>
  <c r="B181" i="193"/>
  <c r="W180" i="193"/>
  <c r="W288" i="193" s="1"/>
  <c r="U180" i="193"/>
  <c r="B180" i="193"/>
  <c r="W179" i="193"/>
  <c r="W287" i="193" s="1"/>
  <c r="U179" i="193"/>
  <c r="U185" i="193" s="1"/>
  <c r="B179" i="193"/>
  <c r="A179" i="193"/>
  <c r="A180" i="193" s="1"/>
  <c r="A181" i="193" s="1"/>
  <c r="A182" i="193" s="1"/>
  <c r="A183" i="193" s="1"/>
  <c r="A184" i="193" s="1"/>
  <c r="A185" i="193" s="1"/>
  <c r="A186" i="193" s="1"/>
  <c r="A187" i="193" s="1"/>
  <c r="A188" i="193" s="1"/>
  <c r="A189" i="193" s="1"/>
  <c r="A190" i="193" s="1"/>
  <c r="A191" i="193" s="1"/>
  <c r="A192" i="193" s="1"/>
  <c r="A193" i="193" s="1"/>
  <c r="A194" i="193" s="1"/>
  <c r="A195" i="193" s="1"/>
  <c r="A196" i="193" s="1"/>
  <c r="A197" i="193" s="1"/>
  <c r="A198" i="193" s="1"/>
  <c r="A199" i="193" s="1"/>
  <c r="A200" i="193" s="1"/>
  <c r="A201" i="193" s="1"/>
  <c r="A202" i="193" s="1"/>
  <c r="A203" i="193" s="1"/>
  <c r="A268" i="193" s="1"/>
  <c r="A269" i="193" s="1"/>
  <c r="A270" i="193" s="1"/>
  <c r="A271" i="193" s="1"/>
  <c r="A272" i="193" s="1"/>
  <c r="A273" i="193" s="1"/>
  <c r="A274" i="193" s="1"/>
  <c r="A275" i="193" s="1"/>
  <c r="A276" i="193" s="1"/>
  <c r="P175" i="193"/>
  <c r="O175" i="193"/>
  <c r="N175" i="193"/>
  <c r="M175" i="193"/>
  <c r="L175" i="193"/>
  <c r="K175" i="193"/>
  <c r="J175" i="193"/>
  <c r="I175" i="193"/>
  <c r="H175" i="193"/>
  <c r="G175" i="193"/>
  <c r="A171" i="193"/>
  <c r="A170" i="193"/>
  <c r="T168" i="193"/>
  <c r="S168" i="193"/>
  <c r="R168" i="193"/>
  <c r="P168" i="193"/>
  <c r="O168" i="193"/>
  <c r="N168" i="193"/>
  <c r="M168" i="193"/>
  <c r="L168" i="193"/>
  <c r="K168" i="193"/>
  <c r="J168" i="193"/>
  <c r="I168" i="193"/>
  <c r="H168" i="193"/>
  <c r="G168" i="193"/>
  <c r="B167" i="193"/>
  <c r="T166" i="193"/>
  <c r="S166" i="193"/>
  <c r="R166" i="193"/>
  <c r="P166" i="193"/>
  <c r="O166" i="193"/>
  <c r="N166" i="193"/>
  <c r="M166" i="193"/>
  <c r="L166" i="193"/>
  <c r="K166" i="193"/>
  <c r="J166" i="193"/>
  <c r="I166" i="193"/>
  <c r="H166" i="193"/>
  <c r="G166" i="193"/>
  <c r="C166" i="193"/>
  <c r="U165" i="193"/>
  <c r="E165" i="193"/>
  <c r="B165" i="193"/>
  <c r="U164" i="193"/>
  <c r="E164" i="193"/>
  <c r="B164" i="193"/>
  <c r="U163" i="193"/>
  <c r="E163" i="193"/>
  <c r="B163" i="193"/>
  <c r="U162" i="193"/>
  <c r="E162" i="193"/>
  <c r="B162" i="193"/>
  <c r="U161" i="193"/>
  <c r="E161" i="193"/>
  <c r="B161" i="193"/>
  <c r="U160" i="193"/>
  <c r="U166" i="193" s="1"/>
  <c r="E160" i="193"/>
  <c r="B160" i="193"/>
  <c r="B157" i="193"/>
  <c r="U156" i="193"/>
  <c r="T156" i="193"/>
  <c r="S156" i="193"/>
  <c r="R156" i="193"/>
  <c r="P156" i="193"/>
  <c r="O156" i="193"/>
  <c r="N156" i="193"/>
  <c r="M156" i="193"/>
  <c r="L156" i="193"/>
  <c r="K156" i="193"/>
  <c r="J156" i="193"/>
  <c r="I156" i="193"/>
  <c r="H156" i="193"/>
  <c r="G156" i="193"/>
  <c r="C156" i="193"/>
  <c r="B156" i="193"/>
  <c r="E155" i="193"/>
  <c r="B155" i="193"/>
  <c r="E154" i="193"/>
  <c r="B154" i="193"/>
  <c r="E153" i="193"/>
  <c r="B153" i="193"/>
  <c r="E152" i="193"/>
  <c r="B152" i="193"/>
  <c r="E151" i="193"/>
  <c r="B151" i="193"/>
  <c r="E150" i="193"/>
  <c r="E156" i="193" s="1"/>
  <c r="B150" i="193"/>
  <c r="B148" i="193"/>
  <c r="U147" i="193"/>
  <c r="T147" i="193"/>
  <c r="S147" i="193"/>
  <c r="R147" i="193"/>
  <c r="P147" i="193"/>
  <c r="O147" i="193"/>
  <c r="N147" i="193"/>
  <c r="M147" i="193"/>
  <c r="L147" i="193"/>
  <c r="K147" i="193"/>
  <c r="J147" i="193"/>
  <c r="I147" i="193"/>
  <c r="H147" i="193"/>
  <c r="G147" i="193"/>
  <c r="C147" i="193"/>
  <c r="B147" i="193" s="1"/>
  <c r="E146" i="193"/>
  <c r="B146" i="193"/>
  <c r="E145" i="193"/>
  <c r="B145" i="193"/>
  <c r="E144" i="193"/>
  <c r="B144" i="193"/>
  <c r="E143" i="193"/>
  <c r="E147" i="193" s="1"/>
  <c r="B143" i="193"/>
  <c r="E142" i="193"/>
  <c r="B142" i="193"/>
  <c r="E141" i="193"/>
  <c r="B141" i="193"/>
  <c r="B139" i="193"/>
  <c r="U138" i="193"/>
  <c r="T138" i="193"/>
  <c r="S138" i="193"/>
  <c r="R138" i="193"/>
  <c r="P138" i="193"/>
  <c r="O138" i="193"/>
  <c r="N138" i="193"/>
  <c r="M138" i="193"/>
  <c r="L138" i="193"/>
  <c r="K138" i="193"/>
  <c r="J138" i="193"/>
  <c r="I138" i="193"/>
  <c r="H138" i="193"/>
  <c r="G138" i="193"/>
  <c r="C138" i="193"/>
  <c r="B138" i="193"/>
  <c r="E137" i="193"/>
  <c r="B137" i="193"/>
  <c r="E136" i="193"/>
  <c r="B136" i="193"/>
  <c r="E135" i="193"/>
  <c r="B135" i="193"/>
  <c r="E134" i="193"/>
  <c r="B134" i="193"/>
  <c r="E133" i="193"/>
  <c r="E138" i="193" s="1"/>
  <c r="B133" i="193"/>
  <c r="E132" i="193"/>
  <c r="B132" i="193"/>
  <c r="B130" i="193"/>
  <c r="U129" i="193"/>
  <c r="T129" i="193"/>
  <c r="S129" i="193"/>
  <c r="R129" i="193"/>
  <c r="P129" i="193"/>
  <c r="O129" i="193"/>
  <c r="N129" i="193"/>
  <c r="M129" i="193"/>
  <c r="L129" i="193"/>
  <c r="K129" i="193"/>
  <c r="J129" i="193"/>
  <c r="I129" i="193"/>
  <c r="H129" i="193"/>
  <c r="G129" i="193"/>
  <c r="C129" i="193"/>
  <c r="B129" i="193"/>
  <c r="E128" i="193"/>
  <c r="B128" i="193"/>
  <c r="E127" i="193"/>
  <c r="B127" i="193"/>
  <c r="E126" i="193"/>
  <c r="B126" i="193"/>
  <c r="E125" i="193"/>
  <c r="B125" i="193"/>
  <c r="E124" i="193"/>
  <c r="B124" i="193"/>
  <c r="E123" i="193"/>
  <c r="E129" i="193" s="1"/>
  <c r="B123" i="193"/>
  <c r="B121" i="193"/>
  <c r="U120" i="193"/>
  <c r="T120" i="193"/>
  <c r="S120" i="193"/>
  <c r="R120" i="193"/>
  <c r="P120" i="193"/>
  <c r="O120" i="193"/>
  <c r="N120" i="193"/>
  <c r="M120" i="193"/>
  <c r="L120" i="193"/>
  <c r="K120" i="193"/>
  <c r="J120" i="193"/>
  <c r="I120" i="193"/>
  <c r="H120" i="193"/>
  <c r="G120" i="193"/>
  <c r="C120" i="193"/>
  <c r="B120" i="193"/>
  <c r="E119" i="193"/>
  <c r="B119" i="193"/>
  <c r="E118" i="193"/>
  <c r="B118" i="193"/>
  <c r="E117" i="193"/>
  <c r="E120" i="193" s="1"/>
  <c r="B117" i="193"/>
  <c r="E116" i="193"/>
  <c r="B116" i="193"/>
  <c r="E115" i="193"/>
  <c r="B115" i="193"/>
  <c r="E114" i="193"/>
  <c r="B114" i="193"/>
  <c r="B112" i="193"/>
  <c r="U111" i="193"/>
  <c r="T111" i="193"/>
  <c r="S111" i="193"/>
  <c r="R111" i="193"/>
  <c r="P111" i="193"/>
  <c r="O111" i="193"/>
  <c r="N111" i="193"/>
  <c r="M111" i="193"/>
  <c r="L111" i="193"/>
  <c r="K111" i="193"/>
  <c r="J111" i="193"/>
  <c r="I111" i="193"/>
  <c r="H111" i="193"/>
  <c r="G111" i="193"/>
  <c r="C111" i="193"/>
  <c r="B111" i="193" s="1"/>
  <c r="E110" i="193"/>
  <c r="B110" i="193"/>
  <c r="E109" i="193"/>
  <c r="B109" i="193"/>
  <c r="E108" i="193"/>
  <c r="B108" i="193"/>
  <c r="E107" i="193"/>
  <c r="E111" i="193" s="1"/>
  <c r="B107" i="193"/>
  <c r="E106" i="193"/>
  <c r="B106" i="193"/>
  <c r="E105" i="193"/>
  <c r="B105" i="193"/>
  <c r="B103" i="193"/>
  <c r="U102" i="193"/>
  <c r="T102" i="193"/>
  <c r="S102" i="193"/>
  <c r="R102" i="193"/>
  <c r="P102" i="193"/>
  <c r="O102" i="193"/>
  <c r="N102" i="193"/>
  <c r="M102" i="193"/>
  <c r="L102" i="193"/>
  <c r="K102" i="193"/>
  <c r="J102" i="193"/>
  <c r="I102" i="193"/>
  <c r="H102" i="193"/>
  <c r="G102" i="193"/>
  <c r="C102" i="193"/>
  <c r="B102" i="193"/>
  <c r="E101" i="193"/>
  <c r="B101" i="193"/>
  <c r="E100" i="193"/>
  <c r="B100" i="193"/>
  <c r="E99" i="193"/>
  <c r="B99" i="193"/>
  <c r="E98" i="193"/>
  <c r="B98" i="193"/>
  <c r="E97" i="193"/>
  <c r="E102" i="193" s="1"/>
  <c r="B97" i="193"/>
  <c r="E96" i="193"/>
  <c r="B96" i="193"/>
  <c r="B94" i="193"/>
  <c r="T93" i="193"/>
  <c r="S93" i="193"/>
  <c r="R93" i="193"/>
  <c r="P93" i="193"/>
  <c r="O93" i="193"/>
  <c r="N93" i="193"/>
  <c r="M93" i="193"/>
  <c r="L93" i="193"/>
  <c r="K93" i="193"/>
  <c r="J93" i="193"/>
  <c r="I93" i="193"/>
  <c r="H93" i="193"/>
  <c r="G93" i="193"/>
  <c r="C93" i="193"/>
  <c r="B93" i="193"/>
  <c r="U92" i="193"/>
  <c r="E92" i="193"/>
  <c r="B92" i="193"/>
  <c r="U91" i="193"/>
  <c r="E91" i="193"/>
  <c r="B91" i="193"/>
  <c r="U90" i="193"/>
  <c r="E90" i="193"/>
  <c r="B90" i="193"/>
  <c r="U89" i="193"/>
  <c r="E89" i="193"/>
  <c r="B89" i="193"/>
  <c r="U88" i="193"/>
  <c r="E88" i="193"/>
  <c r="E93" i="193" s="1"/>
  <c r="B88" i="193"/>
  <c r="U87" i="193"/>
  <c r="U93" i="193" s="1"/>
  <c r="E87" i="193"/>
  <c r="B87" i="193"/>
  <c r="B85" i="193"/>
  <c r="T84" i="193"/>
  <c r="S84" i="193"/>
  <c r="R84" i="193"/>
  <c r="P84" i="193"/>
  <c r="O84" i="193"/>
  <c r="N84" i="193"/>
  <c r="M84" i="193"/>
  <c r="L84" i="193"/>
  <c r="K84" i="193"/>
  <c r="J84" i="193"/>
  <c r="I84" i="193"/>
  <c r="H84" i="193"/>
  <c r="G84" i="193"/>
  <c r="C84" i="193"/>
  <c r="B84" i="193" s="1"/>
  <c r="U83" i="193"/>
  <c r="E83" i="193"/>
  <c r="B83" i="193"/>
  <c r="U82" i="193"/>
  <c r="E82" i="193"/>
  <c r="B82" i="193"/>
  <c r="U81" i="193"/>
  <c r="E81" i="193"/>
  <c r="B81" i="193"/>
  <c r="U80" i="193"/>
  <c r="E80" i="193"/>
  <c r="B80" i="193"/>
  <c r="U79" i="193"/>
  <c r="E79" i="193"/>
  <c r="B79" i="193"/>
  <c r="U78" i="193"/>
  <c r="E78" i="193"/>
  <c r="B78" i="193"/>
  <c r="B76" i="193"/>
  <c r="T75" i="193"/>
  <c r="S75" i="193"/>
  <c r="R75" i="193"/>
  <c r="P75" i="193"/>
  <c r="O75" i="193"/>
  <c r="N75" i="193"/>
  <c r="M75" i="193"/>
  <c r="L75" i="193"/>
  <c r="K75" i="193"/>
  <c r="J75" i="193"/>
  <c r="I75" i="193"/>
  <c r="H75" i="193"/>
  <c r="G75" i="193"/>
  <c r="C75" i="193"/>
  <c r="B75" i="193" s="1"/>
  <c r="U74" i="193"/>
  <c r="E74" i="193"/>
  <c r="B74" i="193"/>
  <c r="U73" i="193"/>
  <c r="E73" i="193"/>
  <c r="B73" i="193"/>
  <c r="U72" i="193"/>
  <c r="E72" i="193"/>
  <c r="B72" i="193"/>
  <c r="U71" i="193"/>
  <c r="E71" i="193"/>
  <c r="B71" i="193"/>
  <c r="U70" i="193"/>
  <c r="E70" i="193"/>
  <c r="E75" i="193" s="1"/>
  <c r="B70" i="193"/>
  <c r="U69" i="193"/>
  <c r="E69" i="193"/>
  <c r="B69" i="193"/>
  <c r="A69" i="193"/>
  <c r="A70" i="193" s="1"/>
  <c r="A71" i="193" s="1"/>
  <c r="A72" i="193" s="1"/>
  <c r="A73" i="193" s="1"/>
  <c r="A74" i="193" s="1"/>
  <c r="A75" i="193" s="1"/>
  <c r="A76" i="193" s="1"/>
  <c r="A77" i="193" s="1"/>
  <c r="A78" i="193" s="1"/>
  <c r="A79" i="193" s="1"/>
  <c r="A80" i="193" s="1"/>
  <c r="A81" i="193" s="1"/>
  <c r="A82" i="193" s="1"/>
  <c r="A83" i="193" s="1"/>
  <c r="A84" i="193" s="1"/>
  <c r="A85" i="193" s="1"/>
  <c r="A86" i="193" s="1"/>
  <c r="A87" i="193" s="1"/>
  <c r="A88" i="193" s="1"/>
  <c r="A89" i="193" s="1"/>
  <c r="A90" i="193" s="1"/>
  <c r="A91" i="193" s="1"/>
  <c r="A92" i="193" s="1"/>
  <c r="A93" i="193" s="1"/>
  <c r="A158" i="193" s="1"/>
  <c r="A159" i="193" s="1"/>
  <c r="A160" i="193" s="1"/>
  <c r="A161" i="193" s="1"/>
  <c r="A162" i="193" s="1"/>
  <c r="A163" i="193" s="1"/>
  <c r="A164" i="193" s="1"/>
  <c r="A165" i="193" s="1"/>
  <c r="A166" i="193" s="1"/>
  <c r="A167" i="193" s="1"/>
  <c r="A168" i="193" s="1"/>
  <c r="P65" i="193"/>
  <c r="O65" i="193"/>
  <c r="N65" i="193"/>
  <c r="M65" i="193"/>
  <c r="L65" i="193"/>
  <c r="K65" i="193"/>
  <c r="J65" i="193"/>
  <c r="I65" i="193"/>
  <c r="H65" i="193"/>
  <c r="G65" i="193"/>
  <c r="A61" i="193"/>
  <c r="A60" i="193"/>
  <c r="O51" i="193"/>
  <c r="I51" i="193"/>
  <c r="I52" i="193" s="1"/>
  <c r="T50" i="193"/>
  <c r="S50" i="193"/>
  <c r="R50" i="193"/>
  <c r="P50" i="193"/>
  <c r="O50" i="193"/>
  <c r="N50" i="193"/>
  <c r="M50" i="193"/>
  <c r="L50" i="193"/>
  <c r="L52" i="193" s="1"/>
  <c r="K50" i="193"/>
  <c r="J50" i="193"/>
  <c r="I50" i="193"/>
  <c r="H50" i="193"/>
  <c r="E50" i="193" s="1"/>
  <c r="G50" i="193"/>
  <c r="T47" i="193"/>
  <c r="S47" i="193"/>
  <c r="R47" i="193"/>
  <c r="O47" i="193"/>
  <c r="M47" i="193"/>
  <c r="J47" i="193"/>
  <c r="G47" i="193"/>
  <c r="T46" i="193"/>
  <c r="S46" i="193"/>
  <c r="R46" i="193"/>
  <c r="M46" i="193"/>
  <c r="T45" i="193"/>
  <c r="S45" i="193"/>
  <c r="R45" i="193"/>
  <c r="P45" i="193"/>
  <c r="O45" i="193"/>
  <c r="N45" i="193"/>
  <c r="M45" i="193"/>
  <c r="L45" i="193"/>
  <c r="K45" i="193"/>
  <c r="J45" i="193"/>
  <c r="I45" i="193"/>
  <c r="H45" i="193"/>
  <c r="G45" i="193"/>
  <c r="T44" i="193"/>
  <c r="S44" i="193"/>
  <c r="R44" i="193"/>
  <c r="T39" i="193"/>
  <c r="T51" i="193" s="1"/>
  <c r="S39" i="193"/>
  <c r="R39" i="193"/>
  <c r="R51" i="193" s="1"/>
  <c r="R52" i="193" s="1"/>
  <c r="P39" i="193"/>
  <c r="P51" i="193" s="1"/>
  <c r="O39" i="193"/>
  <c r="N39" i="193"/>
  <c r="N51" i="193" s="1"/>
  <c r="M39" i="193"/>
  <c r="M51" i="193" s="1"/>
  <c r="M52" i="193" s="1"/>
  <c r="M53" i="193" s="1"/>
  <c r="L39" i="193"/>
  <c r="L51" i="193" s="1"/>
  <c r="K39" i="193"/>
  <c r="K51" i="193" s="1"/>
  <c r="J39" i="193"/>
  <c r="J51" i="193" s="1"/>
  <c r="I39" i="193"/>
  <c r="H39" i="193"/>
  <c r="H51" i="193" s="1"/>
  <c r="G39" i="193"/>
  <c r="G51" i="193" s="1"/>
  <c r="T26" i="193"/>
  <c r="S26" i="193"/>
  <c r="S28" i="193" s="1"/>
  <c r="R26" i="193"/>
  <c r="P26" i="193"/>
  <c r="P28" i="193" s="1"/>
  <c r="O26" i="193"/>
  <c r="N26" i="193"/>
  <c r="M26" i="193"/>
  <c r="L26" i="193"/>
  <c r="L28" i="193" s="1"/>
  <c r="K26" i="193"/>
  <c r="J26" i="193"/>
  <c r="J28" i="193" s="1"/>
  <c r="I26" i="193"/>
  <c r="H26" i="193"/>
  <c r="H28" i="193" s="1"/>
  <c r="G26" i="193"/>
  <c r="W25" i="193"/>
  <c r="U25" i="193"/>
  <c r="E25" i="193"/>
  <c r="W24" i="193"/>
  <c r="U24" i="193"/>
  <c r="E24" i="193"/>
  <c r="W23" i="193"/>
  <c r="U23" i="193"/>
  <c r="E23" i="193"/>
  <c r="W22" i="193"/>
  <c r="U22" i="193"/>
  <c r="U26" i="193" s="1"/>
  <c r="E22" i="193"/>
  <c r="T19" i="193"/>
  <c r="T28" i="193" s="1"/>
  <c r="T29" i="193" s="1"/>
  <c r="S19" i="193"/>
  <c r="R19" i="193"/>
  <c r="P19" i="193"/>
  <c r="O19" i="193"/>
  <c r="O28" i="193" s="1"/>
  <c r="N19" i="193"/>
  <c r="M19" i="193"/>
  <c r="M28" i="193" s="1"/>
  <c r="L19" i="193"/>
  <c r="K19" i="193"/>
  <c r="K28" i="193" s="1"/>
  <c r="J19" i="193"/>
  <c r="I19" i="193"/>
  <c r="H19" i="193"/>
  <c r="G19" i="193"/>
  <c r="G28" i="193" s="1"/>
  <c r="W18" i="193"/>
  <c r="U18" i="193"/>
  <c r="E18" i="193"/>
  <c r="W17" i="193"/>
  <c r="W19" i="193" s="1"/>
  <c r="U17" i="193"/>
  <c r="E17" i="193"/>
  <c r="W16" i="193"/>
  <c r="U16" i="193"/>
  <c r="E16" i="193"/>
  <c r="T13" i="193"/>
  <c r="T33" i="193" s="1"/>
  <c r="S13" i="193"/>
  <c r="S33" i="193" s="1"/>
  <c r="R13" i="193"/>
  <c r="R33" i="193" s="1"/>
  <c r="P13" i="193"/>
  <c r="O13" i="193"/>
  <c r="O33" i="193" s="1"/>
  <c r="O34" i="193" s="1"/>
  <c r="N13" i="193"/>
  <c r="M13" i="193"/>
  <c r="M33" i="193" s="1"/>
  <c r="M34" i="193" s="1"/>
  <c r="L13" i="193"/>
  <c r="K13" i="193"/>
  <c r="K33" i="193" s="1"/>
  <c r="J13" i="193"/>
  <c r="I13" i="193"/>
  <c r="I33" i="193" s="1"/>
  <c r="H13" i="193"/>
  <c r="G13" i="193"/>
  <c r="G33" i="193" s="1"/>
  <c r="G34" i="193" s="1"/>
  <c r="W12" i="193"/>
  <c r="U12" i="193"/>
  <c r="U13" i="193" s="1"/>
  <c r="E12" i="193"/>
  <c r="W11" i="193"/>
  <c r="U11" i="193"/>
  <c r="E11" i="193"/>
  <c r="W10" i="193"/>
  <c r="U10" i="193"/>
  <c r="E10" i="193"/>
  <c r="E13" i="193" s="1"/>
  <c r="A10" i="193"/>
  <c r="A11" i="193" s="1"/>
  <c r="A12" i="193" s="1"/>
  <c r="A13" i="193" s="1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36" i="193" s="1"/>
  <c r="A37" i="193" s="1"/>
  <c r="A38" i="193" s="1"/>
  <c r="A39" i="193" s="1"/>
  <c r="A40" i="193" s="1"/>
  <c r="A41" i="193" s="1"/>
  <c r="A42" i="193" s="1"/>
  <c r="A43" i="193" s="1"/>
  <c r="A44" i="193" s="1"/>
  <c r="A45" i="193" s="1"/>
  <c r="A46" i="193" s="1"/>
  <c r="A47" i="193" s="1"/>
  <c r="A48" i="193" s="1"/>
  <c r="A49" i="193" s="1"/>
  <c r="A50" i="193" s="1"/>
  <c r="A51" i="193" s="1"/>
  <c r="A52" i="193" s="1"/>
  <c r="A53" i="193" s="1"/>
  <c r="A54" i="193" s="1"/>
  <c r="A55" i="193" s="1"/>
  <c r="A56" i="193" s="1"/>
  <c r="A57" i="193" s="1"/>
  <c r="A58" i="193" s="1"/>
  <c r="E84" i="193" l="1"/>
  <c r="U194" i="193"/>
  <c r="K407" i="193"/>
  <c r="K47" i="193" s="1"/>
  <c r="M29" i="193"/>
  <c r="E26" i="193"/>
  <c r="G52" i="193"/>
  <c r="G53" i="193" s="1"/>
  <c r="O52" i="193"/>
  <c r="U84" i="193"/>
  <c r="E168" i="193"/>
  <c r="N407" i="193"/>
  <c r="N47" i="193" s="1"/>
  <c r="U19" i="193"/>
  <c r="G29" i="193"/>
  <c r="O29" i="193"/>
  <c r="E39" i="193"/>
  <c r="S48" i="193"/>
  <c r="W248" i="193"/>
  <c r="W257" i="193"/>
  <c r="W266" i="193"/>
  <c r="G404" i="193"/>
  <c r="J406" i="193"/>
  <c r="J46" i="193" s="1"/>
  <c r="J404" i="193"/>
  <c r="N406" i="193"/>
  <c r="N46" i="193" s="1"/>
  <c r="N28" i="193"/>
  <c r="T48" i="193"/>
  <c r="S34" i="193"/>
  <c r="S36" i="193" s="1"/>
  <c r="S38" i="193" s="1"/>
  <c r="S40" i="193" s="1"/>
  <c r="S56" i="193" s="1"/>
  <c r="H52" i="193"/>
  <c r="P52" i="193"/>
  <c r="E166" i="193"/>
  <c r="U168" i="193"/>
  <c r="W212" i="193"/>
  <c r="W221" i="193"/>
  <c r="W230" i="193"/>
  <c r="K404" i="193"/>
  <c r="K34" i="193"/>
  <c r="T34" i="193"/>
  <c r="T36" i="193" s="1"/>
  <c r="T38" i="193" s="1"/>
  <c r="T40" i="193" s="1"/>
  <c r="T41" i="193" s="1"/>
  <c r="U75" i="193"/>
  <c r="W276" i="193"/>
  <c r="W384" i="193" s="1"/>
  <c r="N404" i="193"/>
  <c r="N29" i="193"/>
  <c r="W13" i="193"/>
  <c r="I28" i="193"/>
  <c r="I53" i="193"/>
  <c r="R53" i="193"/>
  <c r="R28" i="193"/>
  <c r="R29" i="193" s="1"/>
  <c r="N33" i="193"/>
  <c r="N34" i="193" s="1"/>
  <c r="J29" i="193"/>
  <c r="K29" i="193"/>
  <c r="J52" i="193"/>
  <c r="S29" i="193"/>
  <c r="S51" i="193"/>
  <c r="S52" i="193" s="1"/>
  <c r="W39" i="193"/>
  <c r="N52" i="193"/>
  <c r="H29" i="193"/>
  <c r="H33" i="193"/>
  <c r="H34" i="193" s="1"/>
  <c r="L29" i="193"/>
  <c r="L33" i="193"/>
  <c r="L34" i="193" s="1"/>
  <c r="P33" i="193"/>
  <c r="P34" i="193" s="1"/>
  <c r="P29" i="193"/>
  <c r="W26" i="193"/>
  <c r="W28" i="193" s="1"/>
  <c r="J33" i="193"/>
  <c r="J34" i="193" s="1"/>
  <c r="J36" i="193" s="1"/>
  <c r="J38" i="193" s="1"/>
  <c r="J40" i="193" s="1"/>
  <c r="H53" i="193"/>
  <c r="P53" i="193"/>
  <c r="K52" i="193"/>
  <c r="O53" i="193"/>
  <c r="T52" i="193"/>
  <c r="L53" i="193"/>
  <c r="R48" i="193"/>
  <c r="E19" i="193"/>
  <c r="M44" i="193"/>
  <c r="M48" i="193" s="1"/>
  <c r="W194" i="193"/>
  <c r="W302" i="193" s="1"/>
  <c r="E45" i="193"/>
  <c r="E51" i="193"/>
  <c r="E52" i="193" s="1"/>
  <c r="W185" i="193"/>
  <c r="W293" i="193" s="1"/>
  <c r="W239" i="193"/>
  <c r="E380" i="193"/>
  <c r="E373" i="193"/>
  <c r="E372" i="193"/>
  <c r="E371" i="193"/>
  <c r="E370" i="193"/>
  <c r="E369" i="193"/>
  <c r="E368" i="193"/>
  <c r="E337" i="193"/>
  <c r="E336" i="193"/>
  <c r="E335" i="193"/>
  <c r="E334" i="193"/>
  <c r="E333" i="193"/>
  <c r="E332" i="193"/>
  <c r="E310" i="193"/>
  <c r="E306" i="193"/>
  <c r="E299" i="193"/>
  <c r="E292" i="193"/>
  <c r="E288" i="193"/>
  <c r="E383" i="193"/>
  <c r="E379" i="193"/>
  <c r="E346" i="193"/>
  <c r="E345" i="193"/>
  <c r="E344" i="193"/>
  <c r="E343" i="193"/>
  <c r="E342" i="193"/>
  <c r="E341" i="193"/>
  <c r="E309" i="193"/>
  <c r="E305" i="193"/>
  <c r="E298" i="193"/>
  <c r="E291" i="193"/>
  <c r="E287" i="193"/>
  <c r="E382" i="193"/>
  <c r="E378" i="193"/>
  <c r="E355" i="193"/>
  <c r="E354" i="193"/>
  <c r="E353" i="193"/>
  <c r="E352" i="193"/>
  <c r="E351" i="193"/>
  <c r="E350" i="193"/>
  <c r="E319" i="193"/>
  <c r="E318" i="193"/>
  <c r="E317" i="193"/>
  <c r="E316" i="193"/>
  <c r="E315" i="193"/>
  <c r="E314" i="193"/>
  <c r="E308" i="193"/>
  <c r="E301" i="193"/>
  <c r="E297" i="193"/>
  <c r="E290" i="193"/>
  <c r="M405" i="193"/>
  <c r="M408" i="193" s="1"/>
  <c r="I405" i="193"/>
  <c r="P405" i="193"/>
  <c r="L405" i="193"/>
  <c r="H405" i="193"/>
  <c r="O405" i="193"/>
  <c r="O44" i="193" s="1"/>
  <c r="K405" i="193"/>
  <c r="G405" i="193"/>
  <c r="J405" i="193"/>
  <c r="J44" i="193" s="1"/>
  <c r="J48" i="193" s="1"/>
  <c r="R384" i="193"/>
  <c r="G406" i="193"/>
  <c r="K406" i="193"/>
  <c r="K46" i="193" s="1"/>
  <c r="O406" i="193"/>
  <c r="O46" i="193" s="1"/>
  <c r="H404" i="193"/>
  <c r="L404" i="193"/>
  <c r="P404" i="193"/>
  <c r="H406" i="193"/>
  <c r="H46" i="193" s="1"/>
  <c r="L406" i="193"/>
  <c r="L46" i="193" s="1"/>
  <c r="P406" i="193"/>
  <c r="P46" i="193" s="1"/>
  <c r="H407" i="193"/>
  <c r="L407" i="193"/>
  <c r="L47" i="193" s="1"/>
  <c r="P407" i="193"/>
  <c r="P47" i="193" s="1"/>
  <c r="W203" i="193"/>
  <c r="W311" i="193" s="1"/>
  <c r="I404" i="193"/>
  <c r="I406" i="193"/>
  <c r="I46" i="193" s="1"/>
  <c r="I407" i="193"/>
  <c r="I47" i="193" s="1"/>
  <c r="Z7" i="86"/>
  <c r="R7" i="86"/>
  <c r="J7" i="86"/>
  <c r="E7" i="86"/>
  <c r="K44" i="193" l="1"/>
  <c r="K48" i="193" s="1"/>
  <c r="T56" i="193"/>
  <c r="S41" i="193"/>
  <c r="O48" i="193"/>
  <c r="N36" i="193"/>
  <c r="N38" i="193" s="1"/>
  <c r="N40" i="193" s="1"/>
  <c r="N41" i="193" s="1"/>
  <c r="N408" i="193"/>
  <c r="N44" i="193"/>
  <c r="N48" i="193" s="1"/>
  <c r="U28" i="193"/>
  <c r="S53" i="193"/>
  <c r="S54" i="193" s="1"/>
  <c r="S58" i="193"/>
  <c r="J41" i="193"/>
  <c r="J56" i="193"/>
  <c r="I29" i="193"/>
  <c r="E28" i="193"/>
  <c r="E29" i="193" s="1"/>
  <c r="O36" i="193"/>
  <c r="O38" i="193" s="1"/>
  <c r="I408" i="193"/>
  <c r="I44" i="193"/>
  <c r="I48" i="193" s="1"/>
  <c r="H47" i="193"/>
  <c r="E47" i="193" s="1"/>
  <c r="E407" i="193"/>
  <c r="P408" i="193"/>
  <c r="P44" i="193"/>
  <c r="P48" i="193" s="1"/>
  <c r="G44" i="193"/>
  <c r="E405" i="193"/>
  <c r="G408" i="193"/>
  <c r="K408" i="193"/>
  <c r="T58" i="193"/>
  <c r="T53" i="193"/>
  <c r="T54" i="193" s="1"/>
  <c r="N53" i="193"/>
  <c r="N54" i="193" s="1"/>
  <c r="N58" i="193"/>
  <c r="J53" i="193"/>
  <c r="J54" i="193" s="1"/>
  <c r="J58" i="193"/>
  <c r="R34" i="193"/>
  <c r="R36" i="193" s="1"/>
  <c r="R54" i="193" s="1"/>
  <c r="W29" i="193"/>
  <c r="G36" i="193"/>
  <c r="G54" i="193" s="1"/>
  <c r="H408" i="193"/>
  <c r="E404" i="193"/>
  <c r="H44" i="193"/>
  <c r="H48" i="193" s="1"/>
  <c r="L408" i="193"/>
  <c r="L44" i="193"/>
  <c r="L48" i="193" s="1"/>
  <c r="G46" i="193"/>
  <c r="E46" i="193" s="1"/>
  <c r="E406" i="193"/>
  <c r="J408" i="193"/>
  <c r="O54" i="193"/>
  <c r="H54" i="193"/>
  <c r="H36" i="193"/>
  <c r="H38" i="193" s="1"/>
  <c r="E33" i="193"/>
  <c r="M36" i="193"/>
  <c r="P36" i="193"/>
  <c r="I34" i="193"/>
  <c r="I36" i="193" s="1"/>
  <c r="I38" i="193" s="1"/>
  <c r="O408" i="193"/>
  <c r="K53" i="193"/>
  <c r="P54" i="193"/>
  <c r="L36" i="193"/>
  <c r="L38" i="193" s="1"/>
  <c r="K36" i="193"/>
  <c r="K38" i="193" s="1"/>
  <c r="K40" i="193" s="1"/>
  <c r="F28" i="186"/>
  <c r="C28" i="186"/>
  <c r="B28" i="186"/>
  <c r="D27" i="186"/>
  <c r="G27" i="186" s="1"/>
  <c r="D26" i="186"/>
  <c r="G26" i="186" s="1"/>
  <c r="D25" i="186"/>
  <c r="G25" i="186" s="1"/>
  <c r="D24" i="186"/>
  <c r="G24" i="186" s="1"/>
  <c r="D23" i="186"/>
  <c r="G23" i="186" s="1"/>
  <c r="D22" i="186"/>
  <c r="G22" i="186" s="1"/>
  <c r="D21" i="186"/>
  <c r="G21" i="186" s="1"/>
  <c r="D20" i="186"/>
  <c r="G20" i="186" s="1"/>
  <c r="D19" i="186"/>
  <c r="G19" i="186" s="1"/>
  <c r="D18" i="186"/>
  <c r="G18" i="186" s="1"/>
  <c r="D17" i="186"/>
  <c r="G17" i="186" s="1"/>
  <c r="D16" i="186"/>
  <c r="G16" i="186" s="1"/>
  <c r="D15" i="186"/>
  <c r="G15" i="186" s="1"/>
  <c r="D14" i="186"/>
  <c r="G14" i="186" s="1"/>
  <c r="D13" i="186"/>
  <c r="G13" i="186" s="1"/>
  <c r="D12" i="186"/>
  <c r="G12" i="186" s="1"/>
  <c r="D11" i="186"/>
  <c r="G11" i="186" s="1"/>
  <c r="D10" i="186"/>
  <c r="G10" i="186" s="1"/>
  <c r="D9" i="186"/>
  <c r="G9" i="186" s="1"/>
  <c r="D8" i="186"/>
  <c r="G8" i="186" s="1"/>
  <c r="D7" i="186"/>
  <c r="G7" i="186" s="1"/>
  <c r="D6" i="186"/>
  <c r="G6" i="186" s="1"/>
  <c r="D5" i="186"/>
  <c r="G5" i="186" s="1"/>
  <c r="D4" i="186"/>
  <c r="G4" i="186" s="1"/>
  <c r="D3" i="186"/>
  <c r="G3" i="186" s="1"/>
  <c r="N56" i="193" l="1"/>
  <c r="P38" i="193"/>
  <c r="C23" i="127"/>
  <c r="E53" i="193"/>
  <c r="E34" i="193"/>
  <c r="L40" i="193"/>
  <c r="L58" i="193"/>
  <c r="L54" i="193"/>
  <c r="H40" i="193"/>
  <c r="H58" i="193"/>
  <c r="G48" i="193"/>
  <c r="E44" i="193"/>
  <c r="E48" i="193" s="1"/>
  <c r="M38" i="193"/>
  <c r="M54" i="193"/>
  <c r="K54" i="193"/>
  <c r="I40" i="193"/>
  <c r="I58" i="193"/>
  <c r="I54" i="193"/>
  <c r="G38" i="193"/>
  <c r="E36" i="193"/>
  <c r="K41" i="193"/>
  <c r="K56" i="193"/>
  <c r="K58" i="193"/>
  <c r="P40" i="193"/>
  <c r="P58" i="193"/>
  <c r="E408" i="193"/>
  <c r="W36" i="193"/>
  <c r="R38" i="193"/>
  <c r="O40" i="193"/>
  <c r="O58" i="193"/>
  <c r="G28" i="186"/>
  <c r="D28" i="186"/>
  <c r="E35" i="193" l="1"/>
  <c r="E54" i="193"/>
  <c r="O41" i="193"/>
  <c r="O56" i="193"/>
  <c r="R40" i="193"/>
  <c r="W38" i="193"/>
  <c r="W58" i="193" s="1"/>
  <c r="R58" i="193"/>
  <c r="I56" i="193"/>
  <c r="I41" i="193"/>
  <c r="M40" i="193"/>
  <c r="M58" i="193"/>
  <c r="P56" i="193"/>
  <c r="P41" i="193"/>
  <c r="H56" i="193"/>
  <c r="H41" i="193"/>
  <c r="L56" i="193"/>
  <c r="L41" i="193"/>
  <c r="G40" i="193"/>
  <c r="E38" i="193"/>
  <c r="E58" i="193" s="1"/>
  <c r="G58" i="193"/>
  <c r="R56" i="193" l="1"/>
  <c r="R41" i="193"/>
  <c r="W40" i="193"/>
  <c r="G41" i="193"/>
  <c r="G56" i="193"/>
  <c r="E40" i="193"/>
  <c r="M56" i="193"/>
  <c r="M41" i="193"/>
  <c r="A7" i="174"/>
  <c r="A8" i="174" s="1"/>
  <c r="A9" i="174" s="1"/>
  <c r="A10" i="174" s="1"/>
  <c r="A11" i="174" s="1"/>
  <c r="A12" i="174" s="1"/>
  <c r="A13" i="174" s="1"/>
  <c r="A14" i="174" s="1"/>
  <c r="A15" i="174" s="1"/>
  <c r="A16" i="174" s="1"/>
  <c r="A17" i="174" s="1"/>
  <c r="A18" i="174" s="1"/>
  <c r="A19" i="174" s="1"/>
  <c r="A20" i="174" s="1"/>
  <c r="A21" i="174" s="1"/>
  <c r="A22" i="174" s="1"/>
  <c r="A23" i="174" s="1"/>
  <c r="A24" i="174" s="1"/>
  <c r="A25" i="174" s="1"/>
  <c r="A26" i="174" s="1"/>
  <c r="A27" i="174" s="1"/>
  <c r="A28" i="174" s="1"/>
  <c r="A29" i="174" s="1"/>
  <c r="M57" i="193" l="1"/>
  <c r="W41" i="193"/>
  <c r="W56" i="193"/>
  <c r="W57" i="193" s="1"/>
  <c r="E56" i="193"/>
  <c r="E41" i="193"/>
  <c r="R57" i="193"/>
  <c r="G57" i="193"/>
  <c r="H4" i="127"/>
  <c r="M4" i="127" s="1"/>
  <c r="E57" i="193" l="1"/>
  <c r="T57" i="193"/>
  <c r="S57" i="193"/>
  <c r="J57" i="193"/>
  <c r="N57" i="193"/>
  <c r="K57" i="193"/>
  <c r="L57" i="193"/>
  <c r="I57" i="193"/>
  <c r="O57" i="193"/>
  <c r="H57" i="193"/>
  <c r="P57" i="193"/>
  <c r="AI59" i="86" l="1"/>
  <c r="AI58" i="86"/>
  <c r="L4" i="126" l="1"/>
  <c r="AB52" i="87" l="1"/>
  <c r="AB51" i="87"/>
  <c r="AB50" i="87"/>
  <c r="AB49" i="87"/>
  <c r="AB48" i="87"/>
  <c r="AA52" i="87"/>
  <c r="AA51" i="87"/>
  <c r="AA50" i="87"/>
  <c r="AA49" i="87"/>
  <c r="AA48" i="87"/>
  <c r="AC52" i="87"/>
  <c r="AC51" i="87"/>
  <c r="AC50" i="87"/>
  <c r="AC49" i="87"/>
  <c r="AC48" i="87"/>
  <c r="AH23" i="87"/>
  <c r="AG22" i="87"/>
  <c r="AH18" i="87"/>
  <c r="AG17" i="87"/>
  <c r="AH16" i="87"/>
  <c r="AG15" i="87"/>
  <c r="AH14" i="87"/>
  <c r="AG14" i="87"/>
  <c r="AR33" i="87"/>
  <c r="AQ32" i="87"/>
  <c r="AR31" i="87"/>
  <c r="AR30" i="87"/>
  <c r="AQ30" i="87"/>
  <c r="AQ25" i="87"/>
  <c r="AR24" i="87"/>
  <c r="AQ23" i="87"/>
  <c r="AR22" i="87"/>
  <c r="AQ22" i="87"/>
  <c r="AR18" i="87"/>
  <c r="AR17" i="87"/>
  <c r="AQ17" i="87"/>
  <c r="AR16" i="87"/>
  <c r="AR15" i="87"/>
  <c r="AQ15" i="87"/>
  <c r="AR14" i="87"/>
  <c r="AQ14" i="87"/>
  <c r="BF20" i="87"/>
  <c r="BG20" i="87" s="1"/>
  <c r="BF15" i="87"/>
  <c r="BF14" i="87"/>
  <c r="BG14" i="87" s="1"/>
  <c r="BB23" i="87"/>
  <c r="BA23" i="87"/>
  <c r="BB19" i="87"/>
  <c r="BA19" i="87"/>
  <c r="BB18" i="87"/>
  <c r="BA18" i="87"/>
  <c r="BB16" i="87"/>
  <c r="BA16" i="87"/>
  <c r="BB15" i="87"/>
  <c r="BA15" i="87"/>
  <c r="BB14" i="87"/>
  <c r="BA14" i="87"/>
  <c r="F61" i="159"/>
  <c r="C61" i="159"/>
  <c r="F60" i="159"/>
  <c r="C60" i="159"/>
  <c r="C58" i="159"/>
  <c r="F54" i="159"/>
  <c r="D54" i="159"/>
  <c r="I50" i="159"/>
  <c r="H50" i="159"/>
  <c r="F50" i="159"/>
  <c r="E50" i="159"/>
  <c r="D50" i="159"/>
  <c r="C50" i="159"/>
  <c r="I49" i="159"/>
  <c r="H49" i="159"/>
  <c r="F49" i="159"/>
  <c r="E49" i="159"/>
  <c r="D49" i="159"/>
  <c r="C49" i="159"/>
  <c r="I48" i="159"/>
  <c r="H48" i="159"/>
  <c r="F48" i="159"/>
  <c r="E48" i="159"/>
  <c r="D48" i="159"/>
  <c r="C48" i="159"/>
  <c r="I47" i="159"/>
  <c r="H47" i="159"/>
  <c r="F47" i="159"/>
  <c r="E47" i="159"/>
  <c r="D47" i="159"/>
  <c r="C47" i="159"/>
  <c r="I46" i="159"/>
  <c r="H46" i="159"/>
  <c r="F46" i="159"/>
  <c r="E46" i="159"/>
  <c r="D46" i="159"/>
  <c r="C46" i="159"/>
  <c r="I45" i="159"/>
  <c r="H45" i="159"/>
  <c r="F45" i="159"/>
  <c r="E45" i="159"/>
  <c r="D45" i="159"/>
  <c r="C45" i="159"/>
  <c r="I44" i="159"/>
  <c r="H44" i="159"/>
  <c r="F44" i="159"/>
  <c r="E44" i="159"/>
  <c r="D44" i="159"/>
  <c r="C44" i="159"/>
  <c r="F43" i="159"/>
  <c r="E43" i="159"/>
  <c r="D43" i="159"/>
  <c r="C43" i="159"/>
  <c r="I39" i="159"/>
  <c r="H39" i="159"/>
  <c r="F39" i="159"/>
  <c r="E39" i="159"/>
  <c r="D39" i="159"/>
  <c r="C39" i="159"/>
  <c r="I38" i="159"/>
  <c r="H38" i="159"/>
  <c r="F38" i="159"/>
  <c r="E38" i="159"/>
  <c r="D38" i="159"/>
  <c r="C38" i="159"/>
  <c r="I37" i="159"/>
  <c r="H37" i="159"/>
  <c r="F37" i="159"/>
  <c r="E37" i="159"/>
  <c r="D37" i="159"/>
  <c r="C37" i="159"/>
  <c r="I36" i="159"/>
  <c r="H36" i="159"/>
  <c r="F36" i="159"/>
  <c r="E36" i="159"/>
  <c r="D36" i="159"/>
  <c r="C36" i="159"/>
  <c r="I35" i="159"/>
  <c r="H35" i="159"/>
  <c r="F35" i="159"/>
  <c r="E35" i="159"/>
  <c r="D35" i="159"/>
  <c r="C35" i="159"/>
  <c r="I34" i="159"/>
  <c r="H34" i="159"/>
  <c r="F34" i="159"/>
  <c r="E34" i="159"/>
  <c r="D34" i="159"/>
  <c r="C34" i="159"/>
  <c r="I33" i="159"/>
  <c r="H33" i="159"/>
  <c r="F33" i="159"/>
  <c r="E33" i="159"/>
  <c r="D33" i="159"/>
  <c r="C33" i="159"/>
  <c r="F32" i="159"/>
  <c r="E32" i="159"/>
  <c r="D32" i="159"/>
  <c r="C32" i="159"/>
  <c r="I28" i="159"/>
  <c r="H28" i="159"/>
  <c r="F28" i="159"/>
  <c r="E28" i="159"/>
  <c r="D28" i="159"/>
  <c r="C28" i="159"/>
  <c r="I27" i="159"/>
  <c r="H27" i="159"/>
  <c r="F27" i="159"/>
  <c r="E27" i="159"/>
  <c r="D27" i="159"/>
  <c r="C27" i="159"/>
  <c r="I26" i="159"/>
  <c r="H26" i="159"/>
  <c r="F26" i="159"/>
  <c r="E26" i="159"/>
  <c r="D26" i="159"/>
  <c r="C26" i="159"/>
  <c r="I25" i="159"/>
  <c r="H25" i="159"/>
  <c r="F25" i="159"/>
  <c r="E25" i="159"/>
  <c r="D25" i="159"/>
  <c r="C25" i="159"/>
  <c r="I24" i="159"/>
  <c r="H24" i="159"/>
  <c r="F24" i="159"/>
  <c r="E24" i="159"/>
  <c r="D24" i="159"/>
  <c r="C24" i="159"/>
  <c r="I23" i="159"/>
  <c r="H23" i="159"/>
  <c r="F23" i="159"/>
  <c r="E23" i="159"/>
  <c r="D23" i="159"/>
  <c r="C23" i="159"/>
  <c r="I22" i="159"/>
  <c r="H22" i="159"/>
  <c r="F22" i="159"/>
  <c r="E22" i="159"/>
  <c r="D22" i="159"/>
  <c r="C22" i="159"/>
  <c r="F21" i="159"/>
  <c r="E21" i="159"/>
  <c r="D21" i="159"/>
  <c r="C21" i="159"/>
  <c r="H17" i="159"/>
  <c r="F17" i="159"/>
  <c r="E17" i="159"/>
  <c r="D17" i="159"/>
  <c r="C17" i="159"/>
  <c r="I16" i="159"/>
  <c r="H16" i="159"/>
  <c r="F16" i="159"/>
  <c r="E16" i="159"/>
  <c r="D16" i="159"/>
  <c r="C16" i="159"/>
  <c r="I15" i="159"/>
  <c r="H15" i="159"/>
  <c r="F15" i="159"/>
  <c r="E15" i="159"/>
  <c r="D15" i="159"/>
  <c r="C15" i="159"/>
  <c r="I14" i="159"/>
  <c r="H14" i="159"/>
  <c r="F14" i="159"/>
  <c r="E14" i="159"/>
  <c r="D14" i="159"/>
  <c r="C14" i="159"/>
  <c r="I13" i="159"/>
  <c r="H13" i="159"/>
  <c r="F13" i="159"/>
  <c r="E13" i="159"/>
  <c r="D13" i="159"/>
  <c r="C13" i="159"/>
  <c r="I12" i="159"/>
  <c r="H12" i="159"/>
  <c r="F12" i="159"/>
  <c r="E12" i="159"/>
  <c r="D12" i="159"/>
  <c r="C12" i="159"/>
  <c r="I11" i="159"/>
  <c r="H11" i="159"/>
  <c r="F11" i="159"/>
  <c r="E11" i="159"/>
  <c r="D11" i="159"/>
  <c r="C11" i="159"/>
  <c r="F10" i="159"/>
  <c r="E10" i="159"/>
  <c r="D10" i="159"/>
  <c r="C10" i="159"/>
  <c r="E19" i="174"/>
  <c r="E18" i="174" s="1"/>
  <c r="E27" i="174"/>
  <c r="E26" i="174"/>
  <c r="H25" i="174"/>
  <c r="G25" i="174"/>
  <c r="E25" i="174"/>
  <c r="E22" i="174"/>
  <c r="F21" i="174"/>
  <c r="E21" i="174"/>
  <c r="E20" i="174"/>
  <c r="H18" i="174"/>
  <c r="G18" i="174"/>
  <c r="F17" i="174"/>
  <c r="E17" i="174"/>
  <c r="E16" i="174"/>
  <c r="E15" i="174"/>
  <c r="I17" i="183"/>
  <c r="I16" i="183"/>
  <c r="H5" i="183"/>
  <c r="G5" i="183"/>
  <c r="F5" i="183"/>
  <c r="E5" i="183"/>
  <c r="D5" i="183"/>
  <c r="C5" i="183"/>
  <c r="F54" i="21"/>
  <c r="F53" i="21"/>
  <c r="F51" i="21"/>
  <c r="F50" i="21"/>
  <c r="F49" i="21"/>
  <c r="F48" i="21"/>
  <c r="F37" i="21"/>
  <c r="D101" i="21"/>
  <c r="AW17" i="87"/>
  <c r="AV17" i="87"/>
  <c r="AW16" i="87"/>
  <c r="AV16" i="87"/>
  <c r="AW15" i="87"/>
  <c r="AV15" i="87"/>
  <c r="AM21" i="87"/>
  <c r="AM17" i="87"/>
  <c r="AM16" i="87"/>
  <c r="AM15" i="87"/>
  <c r="X56" i="87"/>
  <c r="W51" i="87"/>
  <c r="X52" i="87" s="1"/>
  <c r="W46" i="87"/>
  <c r="X48" i="87" s="1"/>
  <c r="W38" i="87"/>
  <c r="W37" i="87"/>
  <c r="W36" i="87"/>
  <c r="W35" i="87"/>
  <c r="W34" i="87"/>
  <c r="X20" i="87"/>
  <c r="W20" i="87"/>
  <c r="X19" i="87"/>
  <c r="W19" i="87"/>
  <c r="X18" i="87"/>
  <c r="W18" i="87"/>
  <c r="X17" i="87"/>
  <c r="W17" i="87"/>
  <c r="X16" i="87"/>
  <c r="W16" i="87"/>
  <c r="X15" i="87"/>
  <c r="W15" i="87"/>
  <c r="M24" i="87"/>
  <c r="M23" i="87"/>
  <c r="M19" i="87"/>
  <c r="M18" i="87"/>
  <c r="M17" i="87"/>
  <c r="M16" i="87"/>
  <c r="M15" i="87"/>
  <c r="AC47" i="87"/>
  <c r="AB47" i="87"/>
  <c r="AA47" i="87"/>
  <c r="AC46" i="87"/>
  <c r="AB46" i="87"/>
  <c r="AA46" i="87"/>
  <c r="AC45" i="87"/>
  <c r="AB45" i="87"/>
  <c r="AA45" i="87"/>
  <c r="AA44" i="87"/>
  <c r="AC43" i="87"/>
  <c r="AB43" i="87"/>
  <c r="AA43" i="87"/>
  <c r="AA42" i="87"/>
  <c r="AA41" i="87"/>
  <c r="AC40" i="87"/>
  <c r="AB40" i="87"/>
  <c r="AA40" i="87"/>
  <c r="AA39" i="87"/>
  <c r="AA38" i="87"/>
  <c r="AA37" i="87"/>
  <c r="AC30" i="87"/>
  <c r="AB30" i="87"/>
  <c r="AA30" i="87"/>
  <c r="AC29" i="87"/>
  <c r="AB29" i="87"/>
  <c r="AA29" i="87"/>
  <c r="AC28" i="87"/>
  <c r="AB28" i="87"/>
  <c r="AA28" i="87"/>
  <c r="AC27" i="87"/>
  <c r="AB27" i="87"/>
  <c r="AA27" i="87"/>
  <c r="AC25" i="87"/>
  <c r="AB25" i="87"/>
  <c r="AA25" i="87"/>
  <c r="AC24" i="87"/>
  <c r="AB24" i="87"/>
  <c r="AA24" i="87"/>
  <c r="AC23" i="87"/>
  <c r="AB23" i="87"/>
  <c r="AA23" i="87"/>
  <c r="AC22" i="87"/>
  <c r="AB22" i="87"/>
  <c r="AA22" i="87"/>
  <c r="AC21" i="87"/>
  <c r="AB21" i="87"/>
  <c r="AA21" i="87"/>
  <c r="AC20" i="87"/>
  <c r="AB20" i="87"/>
  <c r="AA20" i="87"/>
  <c r="AC19" i="87"/>
  <c r="AB19" i="87"/>
  <c r="AA19" i="87"/>
  <c r="AC18" i="87"/>
  <c r="AB18" i="87"/>
  <c r="AA18" i="87"/>
  <c r="AC17" i="87"/>
  <c r="AB17" i="87"/>
  <c r="AA17" i="87"/>
  <c r="AC16" i="87"/>
  <c r="AB16" i="87"/>
  <c r="AA16" i="87"/>
  <c r="AC15" i="87"/>
  <c r="AB15" i="87"/>
  <c r="AA15" i="87"/>
  <c r="AC14" i="87"/>
  <c r="AB14" i="87"/>
  <c r="AA14" i="87"/>
  <c r="E9" i="166"/>
  <c r="C39" i="192"/>
  <c r="BL14" i="87"/>
  <c r="BL13" i="87"/>
  <c r="J22" i="87"/>
  <c r="I18" i="87"/>
  <c r="I15" i="87"/>
  <c r="I14" i="87"/>
  <c r="I13" i="87"/>
  <c r="DA28" i="126"/>
  <c r="DA27" i="126"/>
  <c r="DA25" i="126"/>
  <c r="DA19" i="126"/>
  <c r="DA18" i="126"/>
  <c r="DA16" i="126"/>
  <c r="CQ20" i="126"/>
  <c r="CQ15" i="126"/>
  <c r="BI21" i="126"/>
  <c r="BI23" i="126" s="1"/>
  <c r="BI15" i="126"/>
  <c r="BI17" i="126" s="1"/>
  <c r="K39" i="126"/>
  <c r="J39" i="126"/>
  <c r="K38" i="126"/>
  <c r="J38" i="126"/>
  <c r="K37" i="126"/>
  <c r="J37" i="126"/>
  <c r="K36" i="126"/>
  <c r="J36" i="126"/>
  <c r="K35" i="126"/>
  <c r="J35" i="126"/>
  <c r="K34" i="126"/>
  <c r="J34" i="126"/>
  <c r="K33" i="126"/>
  <c r="J33" i="126"/>
  <c r="K32" i="126"/>
  <c r="J32" i="126"/>
  <c r="K31" i="126"/>
  <c r="J31" i="126"/>
  <c r="K30" i="126"/>
  <c r="J30" i="126"/>
  <c r="K29" i="126"/>
  <c r="J29" i="126"/>
  <c r="I26" i="126"/>
  <c r="H26" i="126"/>
  <c r="I25" i="126"/>
  <c r="H25" i="126"/>
  <c r="I24" i="126"/>
  <c r="H24" i="126"/>
  <c r="I23" i="126"/>
  <c r="H23" i="126"/>
  <c r="I22" i="126"/>
  <c r="H22" i="126"/>
  <c r="I21" i="126"/>
  <c r="H21" i="126"/>
  <c r="I20" i="126"/>
  <c r="H20" i="126"/>
  <c r="I19" i="126"/>
  <c r="H19" i="126"/>
  <c r="I18" i="126"/>
  <c r="H18" i="126"/>
  <c r="I17" i="126"/>
  <c r="H17" i="126"/>
  <c r="I16" i="126"/>
  <c r="H16" i="126"/>
  <c r="I15" i="126"/>
  <c r="H15" i="126"/>
  <c r="D37" i="126"/>
  <c r="D35" i="126"/>
  <c r="D31" i="126"/>
  <c r="D30" i="126"/>
  <c r="D29" i="126"/>
  <c r="D28" i="126"/>
  <c r="D22" i="126"/>
  <c r="D21" i="126"/>
  <c r="D20" i="126"/>
  <c r="D19" i="126"/>
  <c r="D18" i="126"/>
  <c r="D17" i="126"/>
  <c r="D16" i="126"/>
  <c r="D15" i="126"/>
  <c r="CV20" i="126"/>
  <c r="CU20" i="126"/>
  <c r="CV19" i="126"/>
  <c r="CV14" i="126"/>
  <c r="CU14" i="126"/>
  <c r="CM19" i="126"/>
  <c r="CK18" i="126"/>
  <c r="CM15" i="126"/>
  <c r="CM14" i="126"/>
  <c r="CF30" i="126"/>
  <c r="CF25" i="126"/>
  <c r="CG24" i="126"/>
  <c r="CF20" i="126"/>
  <c r="CG19" i="126"/>
  <c r="CF15" i="126"/>
  <c r="CG14" i="126"/>
  <c r="CA20" i="126"/>
  <c r="CA19" i="126"/>
  <c r="CA18" i="126"/>
  <c r="CA17" i="126"/>
  <c r="CA16" i="126"/>
  <c r="CA15" i="126"/>
  <c r="CA14" i="126"/>
  <c r="AQ25" i="126"/>
  <c r="AP19" i="126"/>
  <c r="AO19" i="126"/>
  <c r="AN19" i="126"/>
  <c r="AM19" i="126"/>
  <c r="AP16" i="126"/>
  <c r="AO16" i="126"/>
  <c r="AN16" i="126"/>
  <c r="AM16" i="126"/>
  <c r="AL16" i="126"/>
  <c r="AK16" i="126"/>
  <c r="AP15" i="126"/>
  <c r="AO15" i="126"/>
  <c r="AN15" i="126"/>
  <c r="AM15" i="126"/>
  <c r="AL15" i="126"/>
  <c r="AK15" i="126"/>
  <c r="AP14" i="126"/>
  <c r="AO14" i="126"/>
  <c r="AN14" i="126"/>
  <c r="AM14" i="126"/>
  <c r="AL14" i="126"/>
  <c r="AK14" i="126"/>
  <c r="Q45" i="126"/>
  <c r="Q44" i="126"/>
  <c r="Q43" i="126"/>
  <c r="Q42" i="126"/>
  <c r="Q41" i="126"/>
  <c r="Q40" i="126"/>
  <c r="Q39" i="126"/>
  <c r="Q38" i="126"/>
  <c r="Q37" i="126"/>
  <c r="Q36" i="126"/>
  <c r="Q26" i="126"/>
  <c r="Q25" i="126"/>
  <c r="Q24" i="126"/>
  <c r="Q21" i="126"/>
  <c r="Q20" i="126"/>
  <c r="Q19" i="126"/>
  <c r="Q18" i="126"/>
  <c r="Q17" i="126"/>
  <c r="Q16" i="126"/>
  <c r="Q15" i="126"/>
  <c r="Q14" i="126"/>
  <c r="DF14" i="126"/>
  <c r="DE14" i="126"/>
  <c r="H27" i="21"/>
  <c r="BR14" i="126"/>
  <c r="BQ14" i="126"/>
  <c r="BR13" i="126"/>
  <c r="BQ13" i="126"/>
  <c r="BN25" i="126"/>
  <c r="BN18" i="126"/>
  <c r="BN17" i="126"/>
  <c r="BN14" i="126"/>
  <c r="BN13" i="126"/>
  <c r="BF13" i="126"/>
  <c r="BA13" i="126"/>
  <c r="AZ13" i="126"/>
  <c r="AH14" i="126"/>
  <c r="AG14" i="126"/>
  <c r="AH13" i="126"/>
  <c r="AG13" i="126"/>
  <c r="C6" i="183"/>
  <c r="F38" i="21"/>
  <c r="AC27" i="126"/>
  <c r="AB27" i="126"/>
  <c r="AC26" i="126"/>
  <c r="AB26" i="126"/>
  <c r="AC20" i="126"/>
  <c r="AC19" i="126"/>
  <c r="AB19" i="126"/>
  <c r="AB13" i="126"/>
  <c r="U26" i="126"/>
  <c r="U25" i="126"/>
  <c r="U18" i="126"/>
  <c r="C46" i="86"/>
  <c r="C45" i="86"/>
  <c r="C43" i="86"/>
  <c r="C41" i="86"/>
  <c r="C37" i="86"/>
  <c r="C34" i="86"/>
  <c r="C33" i="86"/>
  <c r="C32" i="86"/>
  <c r="C29" i="86"/>
  <c r="C28" i="86"/>
  <c r="C27" i="86"/>
  <c r="C26" i="86"/>
  <c r="AT26" i="86" s="1"/>
  <c r="C20" i="86"/>
  <c r="C19" i="86"/>
  <c r="C18" i="86"/>
  <c r="C17" i="86"/>
  <c r="L15" i="127"/>
  <c r="M14" i="127"/>
  <c r="F14" i="127"/>
  <c r="G13" i="127"/>
  <c r="F13" i="127"/>
  <c r="AI10" i="196" l="1"/>
  <c r="L18" i="174"/>
  <c r="M9" i="174" l="1"/>
  <c r="N9" i="174" s="1"/>
  <c r="Y62" i="86" l="1"/>
  <c r="Y51" i="86" s="1"/>
  <c r="Y30" i="86"/>
  <c r="Y21" i="86"/>
  <c r="Y64" i="86" l="1"/>
  <c r="DG14" i="126" l="1"/>
  <c r="Y38" i="86" l="1"/>
  <c r="G40" i="21" l="1"/>
  <c r="BK36" i="87" l="1"/>
  <c r="D49" i="192"/>
  <c r="BL36" i="87" l="1"/>
  <c r="G49" i="192"/>
  <c r="CU21" i="126" l="1"/>
  <c r="AO14" i="87" l="1"/>
  <c r="AO15" i="87" s="1"/>
  <c r="AO16" i="87" s="1"/>
  <c r="AO17" i="87" s="1"/>
  <c r="AO18" i="87" s="1"/>
  <c r="AO19" i="87" s="1"/>
  <c r="AO20" i="87" s="1"/>
  <c r="AO21" i="87" s="1"/>
  <c r="AO22" i="87" s="1"/>
  <c r="AO23" i="87" s="1"/>
  <c r="AO24" i="87" s="1"/>
  <c r="AO25" i="87" s="1"/>
  <c r="AO27" i="87" s="1"/>
  <c r="AO28" i="87" s="1"/>
  <c r="AO29" i="87" s="1"/>
  <c r="AO30" i="87" s="1"/>
  <c r="AO31" i="87" s="1"/>
  <c r="AO32" i="87" s="1"/>
  <c r="AO33" i="87" s="1"/>
  <c r="AO34" i="87" s="1"/>
  <c r="AO35" i="87" s="1"/>
  <c r="AO36" i="87" s="1"/>
  <c r="AO37" i="87" s="1"/>
  <c r="AO38" i="87" s="1"/>
  <c r="AO39" i="87" s="1"/>
  <c r="AC53" i="87" l="1"/>
  <c r="N20" i="87" l="1"/>
  <c r="AD43" i="87" l="1"/>
  <c r="AY14" i="87"/>
  <c r="AI41" i="86" l="1"/>
  <c r="N25" i="87"/>
  <c r="O24" i="87" l="1"/>
  <c r="M25" i="87" l="1"/>
  <c r="P15" i="175" l="1"/>
  <c r="BF21" i="87" l="1"/>
  <c r="BH20" i="87" l="1"/>
  <c r="BG21" i="87"/>
  <c r="BG16" i="87"/>
  <c r="BH14" i="87"/>
  <c r="BH15" i="87"/>
  <c r="BF16" i="87"/>
  <c r="BH21" i="87" l="1"/>
  <c r="BH23" i="87" s="1"/>
  <c r="AO45" i="86" s="1"/>
  <c r="G44" i="21"/>
  <c r="AO58" i="86"/>
  <c r="AO57" i="86"/>
  <c r="AO42" i="86"/>
  <c r="BH16" i="87"/>
  <c r="B12" i="183" l="1"/>
  <c r="C12" i="183"/>
  <c r="BH24" i="87"/>
  <c r="AO30" i="86"/>
  <c r="AO21" i="86"/>
  <c r="I12" i="183" l="1"/>
  <c r="BI14" i="87" l="1"/>
  <c r="BI15" i="87" s="1"/>
  <c r="BI16" i="87" s="1"/>
  <c r="BI17" i="87" s="1"/>
  <c r="BI18" i="87" s="1"/>
  <c r="BI19" i="87" s="1"/>
  <c r="BI20" i="87" s="1"/>
  <c r="BI21" i="87" s="1"/>
  <c r="BI22" i="87" s="1"/>
  <c r="BI23" i="87" s="1"/>
  <c r="BI24" i="87" s="1"/>
  <c r="BI25" i="87" s="1"/>
  <c r="BD14" i="87"/>
  <c r="BD15" i="87" s="1"/>
  <c r="BD16" i="87" s="1"/>
  <c r="BD17" i="87" s="1"/>
  <c r="BD18" i="87" s="1"/>
  <c r="BD19" i="87" s="1"/>
  <c r="BD20" i="87" s="1"/>
  <c r="BD21" i="87" s="1"/>
  <c r="BD22" i="87" s="1"/>
  <c r="BD23" i="87" s="1"/>
  <c r="BD24" i="87" s="1"/>
  <c r="BI27" i="87" l="1"/>
  <c r="BI28" i="87" s="1"/>
  <c r="BI29" i="87" s="1"/>
  <c r="BI30" i="87" s="1"/>
  <c r="BI31" i="87" s="1"/>
  <c r="BI32" i="87" s="1"/>
  <c r="BI33" i="87" s="1"/>
  <c r="BI34" i="87" s="1"/>
  <c r="BI35" i="87" s="1"/>
  <c r="BI36" i="87" l="1"/>
  <c r="BI37" i="87" s="1"/>
  <c r="BI38" i="87" s="1"/>
  <c r="BI39" i="87" s="1"/>
  <c r="BI40" i="87" s="1"/>
  <c r="BI41" i="87" s="1"/>
  <c r="BI42" i="87" s="1"/>
  <c r="BI43" i="87" s="1"/>
  <c r="BI44" i="87" s="1"/>
  <c r="BI45" i="87" s="1"/>
  <c r="BI46" i="87" s="1"/>
  <c r="BI47" i="87" s="1"/>
  <c r="BI48" i="87" s="1"/>
  <c r="BI49" i="87" s="1"/>
  <c r="BI50" i="87" s="1"/>
  <c r="BI51" i="87" s="1"/>
  <c r="BI52" i="87" s="1"/>
  <c r="BI53" i="87" s="1"/>
  <c r="BI54" i="87" s="1"/>
  <c r="BI55" i="87" s="1"/>
  <c r="BI56" i="87" s="1"/>
  <c r="BI57" i="87" s="1"/>
  <c r="BI58" i="87" s="1"/>
  <c r="BI59" i="87" s="1"/>
  <c r="BI60" i="87" s="1"/>
  <c r="BI61" i="87" s="1"/>
  <c r="BI62" i="87" s="1"/>
  <c r="BI63" i="87" s="1"/>
  <c r="BI64" i="87" s="1"/>
  <c r="BI65" i="87" s="1"/>
  <c r="BI66" i="87" s="1"/>
  <c r="BI67" i="87" s="1"/>
  <c r="BI68" i="87" s="1"/>
  <c r="BI69" i="87" s="1"/>
  <c r="BI70" i="87" s="1"/>
  <c r="BI71" i="87" s="1"/>
  <c r="BI72" i="87" s="1"/>
  <c r="BI73" i="87" s="1"/>
  <c r="BI74" i="87" s="1"/>
  <c r="BI75" i="87" s="1"/>
  <c r="BI76" i="87" s="1"/>
  <c r="BI77" i="87" s="1"/>
  <c r="BI78" i="87" s="1"/>
  <c r="BI79" i="87" s="1"/>
  <c r="BI80" i="87" s="1"/>
  <c r="BI81" i="87" s="1"/>
  <c r="BI82" i="87" s="1"/>
  <c r="BI83" i="87" s="1"/>
  <c r="BI84" i="87" s="1"/>
  <c r="BI85" i="87" s="1"/>
  <c r="BI86" i="87" s="1"/>
  <c r="BI87" i="87" s="1"/>
  <c r="BI88" i="87" s="1"/>
  <c r="BI89" i="87" s="1"/>
  <c r="BI90" i="87" s="1"/>
  <c r="BI91" i="87" s="1"/>
  <c r="BI92" i="87" s="1"/>
  <c r="BI93" i="87" s="1"/>
  <c r="BI94" i="87" s="1"/>
  <c r="BI95" i="87" s="1"/>
  <c r="BI96" i="87" s="1"/>
  <c r="AO62" i="86"/>
  <c r="AO47" i="86"/>
  <c r="BD7" i="87"/>
  <c r="AO49" i="86" l="1"/>
  <c r="AO51" i="86"/>
  <c r="I19" i="87" l="1"/>
  <c r="AO64" i="86"/>
  <c r="I16" i="87"/>
  <c r="O17" i="175"/>
  <c r="O14" i="175"/>
  <c r="O13" i="175"/>
  <c r="O12" i="175"/>
  <c r="O11" i="175"/>
  <c r="O10" i="175"/>
  <c r="N15" i="175"/>
  <c r="M15" i="175"/>
  <c r="J15" i="175"/>
  <c r="I15" i="175"/>
  <c r="F15" i="175"/>
  <c r="E15" i="175"/>
  <c r="O9" i="175"/>
  <c r="L15" i="175"/>
  <c r="K15" i="175"/>
  <c r="H15" i="175"/>
  <c r="G15" i="175"/>
  <c r="D15" i="175"/>
  <c r="C15" i="175"/>
  <c r="Q17" i="175" l="1"/>
  <c r="E8" i="166"/>
  <c r="E10" i="166" s="1"/>
  <c r="Q10" i="175"/>
  <c r="Q14" i="175"/>
  <c r="Q9" i="175"/>
  <c r="Q11" i="175"/>
  <c r="Q12" i="175"/>
  <c r="Q13" i="175"/>
  <c r="O8" i="175"/>
  <c r="O15" i="175" l="1"/>
  <c r="Q8" i="175"/>
  <c r="Q15" i="175" s="1"/>
  <c r="F42" i="86" l="1"/>
  <c r="F36" i="86"/>
  <c r="Q46" i="126"/>
  <c r="H13" i="127" l="1"/>
  <c r="L41" i="126" l="1"/>
  <c r="AQ20" i="126" s="1"/>
  <c r="D18" i="86"/>
  <c r="CR21" i="126" l="1"/>
  <c r="CR16" i="126"/>
  <c r="CR23" i="126" l="1"/>
  <c r="A34" i="192"/>
  <c r="A35" i="192" s="1"/>
  <c r="A36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M39" i="86" l="1"/>
  <c r="F55" i="21" l="1"/>
  <c r="E129" i="21" l="1"/>
  <c r="D129" i="21"/>
  <c r="C129" i="21"/>
  <c r="E128" i="21"/>
  <c r="D128" i="21"/>
  <c r="E118" i="21"/>
  <c r="D118" i="21"/>
  <c r="C118" i="21"/>
  <c r="E117" i="21"/>
  <c r="D117" i="21"/>
  <c r="C128" i="21" l="1"/>
  <c r="E130" i="21"/>
  <c r="E134" i="21" s="1"/>
  <c r="C117" i="21"/>
  <c r="C119" i="21" s="1"/>
  <c r="C133" i="21" s="1"/>
  <c r="E119" i="21"/>
  <c r="E133" i="21" s="1"/>
  <c r="D130" i="21"/>
  <c r="D134" i="21" s="1"/>
  <c r="C130" i="21"/>
  <c r="C134" i="21" s="1"/>
  <c r="D119" i="21"/>
  <c r="D133" i="21" s="1"/>
  <c r="C135" i="21" l="1"/>
  <c r="E135" i="21"/>
  <c r="D135" i="21"/>
  <c r="G37" i="21" s="1"/>
  <c r="D98" i="21"/>
  <c r="M43" i="159" l="1"/>
  <c r="M32" i="159"/>
  <c r="M21" i="159"/>
  <c r="J44" i="159" l="1"/>
  <c r="K44" i="159" s="1"/>
  <c r="L44" i="159" s="1"/>
  <c r="M44" i="159" s="1"/>
  <c r="J46" i="159"/>
  <c r="K46" i="159" s="1"/>
  <c r="L46" i="159" s="1"/>
  <c r="M46" i="159" s="1"/>
  <c r="J48" i="159"/>
  <c r="K48" i="159" s="1"/>
  <c r="L48" i="159" s="1"/>
  <c r="M48" i="159" s="1"/>
  <c r="J50" i="159"/>
  <c r="K50" i="159" s="1"/>
  <c r="L50" i="159" s="1"/>
  <c r="M50" i="159" s="1"/>
  <c r="J33" i="159"/>
  <c r="K33" i="159" s="1"/>
  <c r="L33" i="159" s="1"/>
  <c r="M33" i="159" s="1"/>
  <c r="J35" i="159"/>
  <c r="K35" i="159" s="1"/>
  <c r="L35" i="159" s="1"/>
  <c r="M35" i="159" s="1"/>
  <c r="J37" i="159"/>
  <c r="K37" i="159" s="1"/>
  <c r="L37" i="159" s="1"/>
  <c r="M37" i="159" s="1"/>
  <c r="J39" i="159"/>
  <c r="K39" i="159" s="1"/>
  <c r="L39" i="159" s="1"/>
  <c r="M39" i="159" s="1"/>
  <c r="J22" i="159"/>
  <c r="K22" i="159" s="1"/>
  <c r="L22" i="159" s="1"/>
  <c r="M22" i="159" s="1"/>
  <c r="J24" i="159"/>
  <c r="K24" i="159" s="1"/>
  <c r="L24" i="159" s="1"/>
  <c r="M24" i="159" s="1"/>
  <c r="J26" i="159"/>
  <c r="K26" i="159" s="1"/>
  <c r="L26" i="159" s="1"/>
  <c r="M26" i="159" s="1"/>
  <c r="J28" i="159"/>
  <c r="K28" i="159" s="1"/>
  <c r="L28" i="159" s="1"/>
  <c r="M28" i="159" s="1"/>
  <c r="J47" i="159"/>
  <c r="K47" i="159" s="1"/>
  <c r="L47" i="159" s="1"/>
  <c r="M47" i="159" s="1"/>
  <c r="J49" i="159"/>
  <c r="K49" i="159" s="1"/>
  <c r="L49" i="159" s="1"/>
  <c r="M49" i="159" s="1"/>
  <c r="J23" i="159"/>
  <c r="K23" i="159" s="1"/>
  <c r="L23" i="159" s="1"/>
  <c r="M23" i="159" s="1"/>
  <c r="J25" i="159"/>
  <c r="K25" i="159" s="1"/>
  <c r="L25" i="159" s="1"/>
  <c r="M25" i="159" s="1"/>
  <c r="J27" i="159"/>
  <c r="K27" i="159" s="1"/>
  <c r="L27" i="159" s="1"/>
  <c r="M27" i="159" s="1"/>
  <c r="J34" i="159"/>
  <c r="K34" i="159" s="1"/>
  <c r="L34" i="159" s="1"/>
  <c r="M34" i="159" s="1"/>
  <c r="J36" i="159"/>
  <c r="K36" i="159" s="1"/>
  <c r="L36" i="159" s="1"/>
  <c r="M36" i="159" s="1"/>
  <c r="J38" i="159"/>
  <c r="K38" i="159" s="1"/>
  <c r="L38" i="159" s="1"/>
  <c r="M38" i="159" s="1"/>
  <c r="J45" i="159"/>
  <c r="K45" i="159" s="1"/>
  <c r="L45" i="159" s="1"/>
  <c r="M45" i="159" s="1"/>
  <c r="E21" i="87" l="1"/>
  <c r="D37" i="191" l="1"/>
  <c r="D36" i="191"/>
  <c r="C36" i="191"/>
  <c r="D35" i="191"/>
  <c r="C35" i="191"/>
  <c r="D34" i="191"/>
  <c r="C34" i="191"/>
  <c r="C33" i="191"/>
  <c r="C38" i="191" s="1"/>
  <c r="D24" i="191"/>
  <c r="C24" i="191"/>
  <c r="D23" i="191"/>
  <c r="C23" i="191"/>
  <c r="D22" i="191"/>
  <c r="D25" i="191" s="1"/>
  <c r="C22" i="191"/>
  <c r="D21" i="191"/>
  <c r="C21" i="191"/>
  <c r="C25" i="191" s="1"/>
  <c r="C20" i="191"/>
  <c r="D11" i="191"/>
  <c r="C11" i="191"/>
  <c r="D10" i="191"/>
  <c r="C10" i="191"/>
  <c r="D9" i="191"/>
  <c r="D12" i="191" s="1"/>
  <c r="C9" i="191"/>
  <c r="D8" i="191"/>
  <c r="C8" i="191"/>
  <c r="C7" i="191"/>
  <c r="D38" i="191" l="1"/>
  <c r="D43" i="191" s="1"/>
  <c r="K27" i="174" s="1"/>
  <c r="C12" i="191"/>
  <c r="D56" i="192"/>
  <c r="D52" i="192"/>
  <c r="D54" i="192"/>
  <c r="D53" i="192"/>
  <c r="D50" i="192"/>
  <c r="D51" i="192"/>
  <c r="D55" i="192" l="1"/>
  <c r="D57" i="192" s="1"/>
  <c r="AB53" i="87"/>
  <c r="BL69" i="87" l="1"/>
  <c r="BL70" i="87"/>
  <c r="BK93" i="87"/>
  <c r="BL93" i="87" s="1"/>
  <c r="BK76" i="87"/>
  <c r="BL76" i="87" s="1"/>
  <c r="BK77" i="87"/>
  <c r="BL77" i="87" s="1"/>
  <c r="BK90" i="87"/>
  <c r="BL90" i="87" s="1"/>
  <c r="BK91" i="87"/>
  <c r="BL91" i="87" s="1"/>
  <c r="BK92" i="87"/>
  <c r="BL92" i="87" s="1"/>
  <c r="BK89" i="87"/>
  <c r="BL89" i="87" s="1"/>
  <c r="BK87" i="87"/>
  <c r="BL87" i="87" s="1"/>
  <c r="BK86" i="87"/>
  <c r="BL86" i="87" s="1"/>
  <c r="BK85" i="87"/>
  <c r="BL85" i="87" s="1"/>
  <c r="BK84" i="87"/>
  <c r="BL84" i="87" s="1"/>
  <c r="BK83" i="87"/>
  <c r="BL83" i="87" s="1"/>
  <c r="BK82" i="87"/>
  <c r="BL82" i="87" s="1"/>
  <c r="BK88" i="87"/>
  <c r="BL88" i="87" s="1"/>
  <c r="BK81" i="87"/>
  <c r="BL81" i="87" s="1"/>
  <c r="BK80" i="87"/>
  <c r="BL80" i="87" s="1"/>
  <c r="BK78" i="87"/>
  <c r="BL78" i="87" s="1"/>
  <c r="AB33" i="87"/>
  <c r="CX20" i="126" l="1"/>
  <c r="CX21" i="126" s="1"/>
  <c r="CX22" i="126" s="1"/>
  <c r="CX23" i="126" s="1"/>
  <c r="CX24" i="126" s="1"/>
  <c r="CX25" i="126" s="1"/>
  <c r="CX26" i="126" s="1"/>
  <c r="CX27" i="126" s="1"/>
  <c r="CX28" i="126" s="1"/>
  <c r="CX29" i="126" s="1"/>
  <c r="AN30" i="86" l="1"/>
  <c r="AN21" i="86"/>
  <c r="BC16" i="87" l="1"/>
  <c r="BC15" i="87"/>
  <c r="AY15" i="87"/>
  <c r="AY16" i="87" s="1"/>
  <c r="AY17" i="87" s="1"/>
  <c r="AY18" i="87" s="1"/>
  <c r="AY19" i="87" s="1"/>
  <c r="AY20" i="87" s="1"/>
  <c r="AY21" i="87" s="1"/>
  <c r="AY22" i="87" s="1"/>
  <c r="AY23" i="87" s="1"/>
  <c r="AY24" i="87" s="1"/>
  <c r="AY25" i="87" s="1"/>
  <c r="AY27" i="87" s="1"/>
  <c r="AY28" i="87" s="1"/>
  <c r="AY29" i="87" s="1"/>
  <c r="AY7" i="87"/>
  <c r="B11" i="183" l="1"/>
  <c r="I11" i="183" s="1"/>
  <c r="AN56" i="86"/>
  <c r="W30" i="86"/>
  <c r="X30" i="86"/>
  <c r="W21" i="86"/>
  <c r="X21" i="86"/>
  <c r="O23" i="87" l="1"/>
  <c r="O25" i="87" s="1"/>
  <c r="AF39" i="86" l="1"/>
  <c r="F41" i="21"/>
  <c r="G41" i="21" s="1"/>
  <c r="O27" i="87"/>
  <c r="O28" i="87" s="1"/>
  <c r="K41" i="126"/>
  <c r="D93" i="21" l="1"/>
  <c r="D102" i="21" s="1"/>
  <c r="W39" i="87" l="1"/>
  <c r="X41" i="87" s="1"/>
  <c r="X54" i="87" s="1"/>
  <c r="K25" i="174" l="1"/>
  <c r="I8" i="126" l="1"/>
  <c r="M8" i="126" s="1"/>
  <c r="R8" i="126" s="1"/>
  <c r="Z8" i="126" l="1"/>
  <c r="AE8" i="126" s="1"/>
  <c r="AJ8" i="126" s="1"/>
  <c r="AS8" i="126" s="1"/>
  <c r="AX8" i="126" s="1"/>
  <c r="BC8" i="126" s="1"/>
  <c r="BG8" i="126" s="1"/>
  <c r="BK8" i="126" s="1"/>
  <c r="BO8" i="126" s="1"/>
  <c r="BT8" i="126" s="1"/>
  <c r="BY8" i="126" s="1"/>
  <c r="CD8" i="126" s="1"/>
  <c r="CI8" i="126" s="1"/>
  <c r="CN8" i="126" s="1"/>
  <c r="CS8" i="126" s="1"/>
  <c r="CX8" i="126" s="1"/>
  <c r="DC8" i="126" s="1"/>
  <c r="DH8" i="126" s="1"/>
  <c r="DM8" i="126" s="1"/>
  <c r="DR8" i="126" s="1"/>
  <c r="Q4" i="126" l="1"/>
  <c r="U4" i="126" s="1"/>
  <c r="Y4" i="126" s="1"/>
  <c r="AI4" i="126" s="1"/>
  <c r="C31" i="87" l="1"/>
  <c r="C33" i="87"/>
  <c r="AV18" i="87" l="1"/>
  <c r="AX15" i="87"/>
  <c r="B10" i="183" l="1"/>
  <c r="AM56" i="86"/>
  <c r="AM45" i="86" l="1"/>
  <c r="AT14" i="87"/>
  <c r="AT15" i="87" s="1"/>
  <c r="AT16" i="87" s="1"/>
  <c r="AT17" i="87" s="1"/>
  <c r="AT18" i="87" s="1"/>
  <c r="W62" i="86" l="1"/>
  <c r="W64" i="86" s="1"/>
  <c r="AL22" i="87" l="1"/>
  <c r="AL18" i="87"/>
  <c r="AJ14" i="87"/>
  <c r="AJ15" i="87" s="1"/>
  <c r="AJ16" i="87" s="1"/>
  <c r="AJ17" i="87" s="1"/>
  <c r="AJ18" i="87" s="1"/>
  <c r="AJ19" i="87" s="1"/>
  <c r="AJ20" i="87" s="1"/>
  <c r="AJ21" i="87" s="1"/>
  <c r="AJ22" i="87" s="1"/>
  <c r="AJ23" i="87" s="1"/>
  <c r="AJ24" i="87" s="1"/>
  <c r="AJ25" i="87" s="1"/>
  <c r="AJ27" i="87" s="1"/>
  <c r="AJ28" i="87" s="1"/>
  <c r="AJ29" i="87" s="1"/>
  <c r="F18" i="127" l="1"/>
  <c r="F17" i="127"/>
  <c r="AH10" i="196" l="1"/>
  <c r="G17" i="127"/>
  <c r="F19" i="127"/>
  <c r="X17" i="126"/>
  <c r="H17" i="127"/>
  <c r="G18" i="127"/>
  <c r="H18" i="127" s="1"/>
  <c r="AH11" i="196" l="1"/>
  <c r="AH12" i="196" s="1"/>
  <c r="AJ10" i="196"/>
  <c r="H19" i="127"/>
  <c r="F15" i="127"/>
  <c r="AJ11" i="196" l="1"/>
  <c r="AJ12" i="196" s="1"/>
  <c r="C9" i="192"/>
  <c r="H14" i="127"/>
  <c r="H15" i="127" s="1"/>
  <c r="C14" i="127" l="1"/>
  <c r="E18" i="86" l="1"/>
  <c r="F18" i="86" l="1"/>
  <c r="AR18" i="86" s="1"/>
  <c r="J16" i="159" l="1"/>
  <c r="J15" i="159"/>
  <c r="J14" i="159"/>
  <c r="J12" i="159"/>
  <c r="J17" i="159"/>
  <c r="J13" i="159"/>
  <c r="J11" i="159"/>
  <c r="U28" i="126" l="1"/>
  <c r="U31" i="126"/>
  <c r="G46" i="86" s="1"/>
  <c r="K12" i="159" l="1"/>
  <c r="L12" i="159" s="1"/>
  <c r="M12" i="159" l="1"/>
  <c r="J21" i="87" l="1"/>
  <c r="BK31" i="87" s="1"/>
  <c r="BL31" i="87" s="1"/>
  <c r="C22" i="192" l="1"/>
  <c r="J23" i="87"/>
  <c r="AE44" i="86" s="1"/>
  <c r="G22" i="192" l="1"/>
  <c r="D22" i="192"/>
  <c r="J25" i="87"/>
  <c r="AE45" i="86" l="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l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l="1"/>
  <c r="A68" i="2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l="1"/>
  <c r="A95" i="21" s="1"/>
  <c r="A96" i="21" s="1"/>
  <c r="A97" i="21" s="1"/>
  <c r="A98" i="21" s="1"/>
  <c r="A99" i="21" s="1"/>
  <c r="A100" i="21" s="1"/>
  <c r="A101" i="21" s="1"/>
  <c r="A102" i="21" s="1"/>
  <c r="A103" i="21" l="1"/>
  <c r="A104" i="21" s="1"/>
  <c r="A105" i="21" s="1"/>
  <c r="A106" i="21" s="1"/>
  <c r="A107" i="21" l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BK21" i="87"/>
  <c r="BL21" i="87" l="1"/>
  <c r="BK37" i="87"/>
  <c r="AC33" i="87"/>
  <c r="BL37" i="87" l="1"/>
  <c r="G50" i="192"/>
  <c r="C21" i="192"/>
  <c r="BM77" i="87"/>
  <c r="F20" i="86"/>
  <c r="G58" i="21"/>
  <c r="D21" i="192" l="1"/>
  <c r="F21" i="192"/>
  <c r="BM76" i="87"/>
  <c r="O4" i="87" l="1"/>
  <c r="T4" i="87" s="1"/>
  <c r="Y4" i="87" s="1"/>
  <c r="AD4" i="87" s="1"/>
  <c r="AI4" i="87" s="1"/>
  <c r="AN4" i="87" s="1"/>
  <c r="AS4" i="87" s="1"/>
  <c r="AX4" i="87" s="1"/>
  <c r="BC4" i="87" s="1"/>
  <c r="BH4" i="87" s="1"/>
  <c r="BM4" i="87" s="1"/>
  <c r="AK30" i="86"/>
  <c r="AK21" i="86"/>
  <c r="AJ30" i="86"/>
  <c r="AJ21" i="86"/>
  <c r="AE14" i="86"/>
  <c r="M11" i="174" l="1"/>
  <c r="F48" i="192"/>
  <c r="N11" i="174" l="1"/>
  <c r="F49" i="192"/>
  <c r="F53" i="192"/>
  <c r="F54" i="192"/>
  <c r="F55" i="192"/>
  <c r="F52" i="192"/>
  <c r="F51" i="192"/>
  <c r="F50" i="192"/>
  <c r="F56" i="192"/>
  <c r="D25" i="166"/>
  <c r="D17" i="166"/>
  <c r="D27" i="166"/>
  <c r="D24" i="166"/>
  <c r="D23" i="166"/>
  <c r="D20" i="166" l="1"/>
  <c r="D16" i="166"/>
  <c r="D19" i="166"/>
  <c r="D26" i="166"/>
  <c r="D15" i="166"/>
  <c r="D18" i="166"/>
  <c r="D14" i="166"/>
  <c r="D21" i="166"/>
  <c r="F57" i="192"/>
  <c r="V62" i="86"/>
  <c r="V64" i="86" s="1"/>
  <c r="V30" i="86"/>
  <c r="V21" i="86"/>
  <c r="CN14" i="126"/>
  <c r="CN15" i="126" s="1"/>
  <c r="CN16" i="126" s="1"/>
  <c r="CN17" i="126" s="1"/>
  <c r="CN18" i="126" s="1"/>
  <c r="CN19" i="126" s="1"/>
  <c r="CN20" i="126" s="1"/>
  <c r="CN21" i="126" s="1"/>
  <c r="CN22" i="126" s="1"/>
  <c r="CN23" i="126" s="1"/>
  <c r="CN24" i="126" s="1"/>
  <c r="CN25" i="126" s="1"/>
  <c r="CN26" i="126" s="1"/>
  <c r="CN27" i="126" s="1"/>
  <c r="F58" i="192" l="1"/>
  <c r="C34" i="192"/>
  <c r="D34" i="192" l="1"/>
  <c r="F34" i="192"/>
  <c r="V42" i="86"/>
  <c r="CP25" i="126"/>
  <c r="CR25" i="126" s="1"/>
  <c r="CR27" i="126" s="1"/>
  <c r="CN7" i="126"/>
  <c r="V45" i="86" l="1"/>
  <c r="V47" i="86" l="1"/>
  <c r="V49" i="86" s="1"/>
  <c r="P28" i="196" l="1"/>
  <c r="BN19" i="126" l="1"/>
  <c r="F23" i="166" l="1"/>
  <c r="E23" i="166" l="1"/>
  <c r="X62" i="87" l="1"/>
  <c r="BK44" i="87" l="1"/>
  <c r="BL44" i="87" s="1"/>
  <c r="BK43" i="87"/>
  <c r="BK38" i="87"/>
  <c r="BL38" i="87" l="1"/>
  <c r="G51" i="192"/>
  <c r="BL43" i="87"/>
  <c r="G56" i="192"/>
  <c r="B3" i="176"/>
  <c r="C3" i="176"/>
  <c r="D3" i="176"/>
  <c r="D19" i="176" s="1"/>
  <c r="E3" i="176"/>
  <c r="E19" i="176" s="1"/>
  <c r="E31" i="176" s="1"/>
  <c r="F3" i="176"/>
  <c r="G3" i="176"/>
  <c r="H3" i="176"/>
  <c r="I3" i="176"/>
  <c r="J3" i="176"/>
  <c r="K3" i="176"/>
  <c r="L3" i="176"/>
  <c r="L19" i="176" s="1"/>
  <c r="M3" i="176"/>
  <c r="M19" i="176" s="1"/>
  <c r="M31" i="176" s="1"/>
  <c r="B4" i="176"/>
  <c r="C4" i="176"/>
  <c r="D4" i="176"/>
  <c r="E4" i="176"/>
  <c r="F4" i="176"/>
  <c r="G4" i="176"/>
  <c r="H4" i="176"/>
  <c r="H20" i="176" s="1"/>
  <c r="I4" i="176"/>
  <c r="I15" i="176" s="1"/>
  <c r="I16" i="176" s="1"/>
  <c r="J4" i="176"/>
  <c r="K4" i="176"/>
  <c r="L4" i="176"/>
  <c r="B5" i="176"/>
  <c r="C5" i="176"/>
  <c r="D5" i="176"/>
  <c r="E5" i="176"/>
  <c r="E21" i="176" s="1"/>
  <c r="F5" i="176"/>
  <c r="F21" i="176" s="1"/>
  <c r="G5" i="176"/>
  <c r="H5" i="176"/>
  <c r="I5" i="176"/>
  <c r="J5" i="176"/>
  <c r="K5" i="176"/>
  <c r="L5" i="176"/>
  <c r="B6" i="176"/>
  <c r="B15" i="176" s="1"/>
  <c r="B16" i="176" s="1"/>
  <c r="C6" i="176"/>
  <c r="C15" i="176" s="1"/>
  <c r="C16" i="176" s="1"/>
  <c r="D6" i="176"/>
  <c r="E6" i="176"/>
  <c r="F6" i="176"/>
  <c r="G6" i="176"/>
  <c r="H6" i="176"/>
  <c r="I6" i="176"/>
  <c r="J6" i="176"/>
  <c r="J15" i="176" s="1"/>
  <c r="J16" i="176" s="1"/>
  <c r="K6" i="176"/>
  <c r="K15" i="176" s="1"/>
  <c r="K16" i="176" s="1"/>
  <c r="L6" i="176"/>
  <c r="B7" i="176"/>
  <c r="C7" i="176"/>
  <c r="D7" i="176"/>
  <c r="E7" i="176"/>
  <c r="F7" i="176"/>
  <c r="G7" i="176"/>
  <c r="G23" i="176" s="1"/>
  <c r="H7" i="176"/>
  <c r="H23" i="176" s="1"/>
  <c r="I7" i="176"/>
  <c r="J7" i="176"/>
  <c r="K7" i="176"/>
  <c r="L7" i="176"/>
  <c r="B8" i="176"/>
  <c r="C8" i="176"/>
  <c r="D8" i="176"/>
  <c r="D24" i="176" s="1"/>
  <c r="E8" i="176"/>
  <c r="E24" i="176" s="1"/>
  <c r="F8" i="176"/>
  <c r="G8" i="176"/>
  <c r="H8" i="176"/>
  <c r="I8" i="176"/>
  <c r="J8" i="176"/>
  <c r="K8" i="176"/>
  <c r="L8" i="176"/>
  <c r="L24" i="176" s="1"/>
  <c r="B9" i="176"/>
  <c r="B25" i="176" s="1"/>
  <c r="C9" i="176"/>
  <c r="D9" i="176"/>
  <c r="E9" i="176"/>
  <c r="F9" i="176"/>
  <c r="G9" i="176"/>
  <c r="H9" i="176"/>
  <c r="I9" i="176"/>
  <c r="I25" i="176" s="1"/>
  <c r="J9" i="176"/>
  <c r="J25" i="176" s="1"/>
  <c r="K9" i="176"/>
  <c r="L9" i="176"/>
  <c r="B10" i="176"/>
  <c r="C10" i="176"/>
  <c r="D10" i="176"/>
  <c r="E10" i="176"/>
  <c r="F10" i="176"/>
  <c r="F26" i="176" s="1"/>
  <c r="G10" i="176"/>
  <c r="G26" i="176" s="1"/>
  <c r="H10" i="176"/>
  <c r="I10" i="176"/>
  <c r="J10" i="176"/>
  <c r="K10" i="176"/>
  <c r="L10" i="176"/>
  <c r="B11" i="176"/>
  <c r="C11" i="176"/>
  <c r="C27" i="176" s="1"/>
  <c r="D11" i="176"/>
  <c r="D27" i="176" s="1"/>
  <c r="E11" i="176"/>
  <c r="F11" i="176"/>
  <c r="G11" i="176"/>
  <c r="H11" i="176"/>
  <c r="I11" i="176"/>
  <c r="J11" i="176"/>
  <c r="K11" i="176"/>
  <c r="K27" i="176" s="1"/>
  <c r="L11" i="176"/>
  <c r="L27" i="176" s="1"/>
  <c r="B12" i="176"/>
  <c r="C12" i="176"/>
  <c r="D12" i="176"/>
  <c r="E12" i="176"/>
  <c r="F12" i="176"/>
  <c r="G12" i="176"/>
  <c r="H12" i="176"/>
  <c r="H28" i="176" s="1"/>
  <c r="I12" i="176"/>
  <c r="I28" i="176" s="1"/>
  <c r="J12" i="176"/>
  <c r="K12" i="176"/>
  <c r="L12" i="176"/>
  <c r="B13" i="176"/>
  <c r="C13" i="176"/>
  <c r="D13" i="176"/>
  <c r="E13" i="176"/>
  <c r="E29" i="176" s="1"/>
  <c r="F13" i="176"/>
  <c r="F29" i="176" s="1"/>
  <c r="G13" i="176"/>
  <c r="H13" i="176"/>
  <c r="I13" i="176"/>
  <c r="J13" i="176"/>
  <c r="K13" i="176"/>
  <c r="L13" i="176"/>
  <c r="B14" i="176"/>
  <c r="B30" i="176" s="1"/>
  <c r="C14" i="176"/>
  <c r="C30" i="176" s="1"/>
  <c r="D14" i="176"/>
  <c r="E14" i="176"/>
  <c r="F14" i="176"/>
  <c r="G14" i="176"/>
  <c r="H14" i="176"/>
  <c r="I14" i="176"/>
  <c r="J14" i="176"/>
  <c r="J30" i="176" s="1"/>
  <c r="K14" i="176"/>
  <c r="K30" i="176" s="1"/>
  <c r="L14" i="176"/>
  <c r="H15" i="176"/>
  <c r="H16" i="176" s="1"/>
  <c r="B19" i="176"/>
  <c r="C19" i="176"/>
  <c r="F19" i="176"/>
  <c r="G19" i="176"/>
  <c r="H19" i="176"/>
  <c r="I19" i="176"/>
  <c r="J19" i="176"/>
  <c r="K19" i="176"/>
  <c r="B20" i="176"/>
  <c r="C20" i="176"/>
  <c r="D20" i="176"/>
  <c r="E20" i="176"/>
  <c r="F20" i="176"/>
  <c r="G20" i="176"/>
  <c r="J20" i="176"/>
  <c r="K20" i="176"/>
  <c r="L20" i="176"/>
  <c r="B21" i="176"/>
  <c r="C21" i="176"/>
  <c r="D21" i="176"/>
  <c r="G21" i="176"/>
  <c r="H21" i="176"/>
  <c r="I21" i="176"/>
  <c r="J21" i="176"/>
  <c r="K21" i="176"/>
  <c r="L21" i="176"/>
  <c r="D22" i="176"/>
  <c r="E22" i="176"/>
  <c r="F22" i="176"/>
  <c r="G22" i="176"/>
  <c r="G31" i="176" s="1"/>
  <c r="H22" i="176"/>
  <c r="I22" i="176"/>
  <c r="L22" i="176"/>
  <c r="B23" i="176"/>
  <c r="C23" i="176"/>
  <c r="D23" i="176"/>
  <c r="E23" i="176"/>
  <c r="F23" i="176"/>
  <c r="I23" i="176"/>
  <c r="J23" i="176"/>
  <c r="K23" i="176"/>
  <c r="L23" i="176"/>
  <c r="B24" i="176"/>
  <c r="C24" i="176"/>
  <c r="F24" i="176"/>
  <c r="G24" i="176"/>
  <c r="H24" i="176"/>
  <c r="I24" i="176"/>
  <c r="J24" i="176"/>
  <c r="K24" i="176"/>
  <c r="C25" i="176"/>
  <c r="D25" i="176"/>
  <c r="E25" i="176"/>
  <c r="F25" i="176"/>
  <c r="G25" i="176"/>
  <c r="H25" i="176"/>
  <c r="K25" i="176"/>
  <c r="L25" i="176"/>
  <c r="B26" i="176"/>
  <c r="C26" i="176"/>
  <c r="D26" i="176"/>
  <c r="E26" i="176"/>
  <c r="H26" i="176"/>
  <c r="I26" i="176"/>
  <c r="J26" i="176"/>
  <c r="K26" i="176"/>
  <c r="L26" i="176"/>
  <c r="B27" i="176"/>
  <c r="E27" i="176"/>
  <c r="F27" i="176"/>
  <c r="G27" i="176"/>
  <c r="H27" i="176"/>
  <c r="I27" i="176"/>
  <c r="J27" i="176"/>
  <c r="B28" i="176"/>
  <c r="C28" i="176"/>
  <c r="D28" i="176"/>
  <c r="E28" i="176"/>
  <c r="F28" i="176"/>
  <c r="G28" i="176"/>
  <c r="J28" i="176"/>
  <c r="K28" i="176"/>
  <c r="L28" i="176"/>
  <c r="B29" i="176"/>
  <c r="C29" i="176"/>
  <c r="D29" i="176"/>
  <c r="G29" i="176"/>
  <c r="H29" i="176"/>
  <c r="I29" i="176"/>
  <c r="J29" i="176"/>
  <c r="K29" i="176"/>
  <c r="L29" i="176"/>
  <c r="D30" i="176"/>
  <c r="E30" i="176"/>
  <c r="F30" i="176"/>
  <c r="G30" i="176"/>
  <c r="H30" i="176"/>
  <c r="I30" i="176"/>
  <c r="L30" i="176"/>
  <c r="K15" i="174"/>
  <c r="K16" i="174"/>
  <c r="K17" i="174"/>
  <c r="K20" i="174"/>
  <c r="K21" i="174"/>
  <c r="K22" i="174"/>
  <c r="I28" i="174"/>
  <c r="F31" i="176" l="1"/>
  <c r="H31" i="176"/>
  <c r="L31" i="176"/>
  <c r="J31" i="176"/>
  <c r="D31" i="176"/>
  <c r="E33" i="176"/>
  <c r="K28" i="174" s="1"/>
  <c r="F26" i="166" s="1"/>
  <c r="E26" i="166" s="1"/>
  <c r="F15" i="176"/>
  <c r="F16" i="176" s="1"/>
  <c r="M15" i="176"/>
  <c r="E15" i="176"/>
  <c r="E16" i="176" s="1"/>
  <c r="G15" i="176"/>
  <c r="K22" i="176"/>
  <c r="K31" i="176" s="1"/>
  <c r="C22" i="176"/>
  <c r="C31" i="176" s="1"/>
  <c r="I20" i="176"/>
  <c r="I31" i="176" s="1"/>
  <c r="L15" i="176"/>
  <c r="L16" i="176" s="1"/>
  <c r="D15" i="176"/>
  <c r="D16" i="176" s="1"/>
  <c r="J22" i="176"/>
  <c r="B22" i="176"/>
  <c r="B31" i="176" s="1"/>
  <c r="F19" i="166"/>
  <c r="E19" i="166" s="1"/>
  <c r="M16" i="174"/>
  <c r="F15" i="166"/>
  <c r="E15" i="166" s="1"/>
  <c r="M21" i="174"/>
  <c r="F20" i="166"/>
  <c r="E20" i="166" s="1"/>
  <c r="M22" i="174"/>
  <c r="F21" i="166"/>
  <c r="E21" i="166" s="1"/>
  <c r="M15" i="174"/>
  <c r="F14" i="166"/>
  <c r="E14" i="166" s="1"/>
  <c r="M17" i="174"/>
  <c r="F16" i="166"/>
  <c r="M20" i="174"/>
  <c r="I19" i="174"/>
  <c r="K19" i="174" s="1"/>
  <c r="O15" i="176" l="1"/>
  <c r="G16" i="176"/>
  <c r="M28" i="174"/>
  <c r="N17" i="174"/>
  <c r="D16" i="87" s="1"/>
  <c r="K18" i="174"/>
  <c r="F18" i="166"/>
  <c r="E18" i="166" s="1"/>
  <c r="E16" i="166"/>
  <c r="M19" i="174"/>
  <c r="N19" i="174" l="1"/>
  <c r="K23" i="174"/>
  <c r="F17" i="166"/>
  <c r="E17" i="166" l="1"/>
  <c r="E22" i="166" s="1"/>
  <c r="F22" i="166"/>
  <c r="AM30" i="86" l="1"/>
  <c r="AM21" i="86"/>
  <c r="AT7" i="87"/>
  <c r="R13" i="87" l="1"/>
  <c r="F25" i="166" l="1"/>
  <c r="E25" i="166" l="1"/>
  <c r="M27" i="174"/>
  <c r="BK39" i="87" l="1"/>
  <c r="BK42" i="87"/>
  <c r="BK41" i="87"/>
  <c r="BK46" i="87"/>
  <c r="BL46" i="87" s="1"/>
  <c r="BK45" i="87"/>
  <c r="BL45" i="87" s="1"/>
  <c r="BK40" i="87"/>
  <c r="BL41" i="87" l="1"/>
  <c r="G54" i="192"/>
  <c r="BL40" i="87"/>
  <c r="G53" i="192"/>
  <c r="BL42" i="87"/>
  <c r="G55" i="192"/>
  <c r="BL39" i="87"/>
  <c r="AP41" i="86" s="1"/>
  <c r="G52" i="192"/>
  <c r="C41" i="126"/>
  <c r="G59" i="86" l="1"/>
  <c r="F29" i="86" l="1"/>
  <c r="AR29" i="86" s="1"/>
  <c r="F37" i="86"/>
  <c r="AR37" i="86" s="1"/>
  <c r="X22" i="126"/>
  <c r="Z7" i="87" l="1"/>
  <c r="AD48" i="87" l="1"/>
  <c r="AQ16" i="126" l="1"/>
  <c r="AQ14" i="126"/>
  <c r="AR14" i="126" s="1"/>
  <c r="J21" i="127" l="1"/>
  <c r="J20" i="127"/>
  <c r="J19" i="127"/>
  <c r="J15" i="127"/>
  <c r="A14" i="127"/>
  <c r="A15" i="127" s="1"/>
  <c r="A16" i="127" s="1"/>
  <c r="I7" i="127"/>
  <c r="D7" i="127"/>
  <c r="A7" i="127"/>
  <c r="J52" i="126"/>
  <c r="A46" i="126"/>
  <c r="J44" i="126"/>
  <c r="J41" i="126"/>
  <c r="CF34" i="126"/>
  <c r="AV29" i="126"/>
  <c r="P31" i="126"/>
  <c r="Q31" i="126" s="1"/>
  <c r="I27" i="126"/>
  <c r="H27" i="126"/>
  <c r="J26" i="126"/>
  <c r="K26" i="126" s="1"/>
  <c r="J25" i="126"/>
  <c r="K25" i="126" s="1"/>
  <c r="J24" i="126"/>
  <c r="K24" i="126" s="1"/>
  <c r="BI25" i="126"/>
  <c r="J23" i="126"/>
  <c r="K23" i="126" s="1"/>
  <c r="CK22" i="126"/>
  <c r="J22" i="126"/>
  <c r="K22" i="126" s="1"/>
  <c r="J21" i="126"/>
  <c r="K21" i="126" s="1"/>
  <c r="J20" i="126"/>
  <c r="K20" i="126" s="1"/>
  <c r="J19" i="126"/>
  <c r="K19" i="126" s="1"/>
  <c r="J18" i="126"/>
  <c r="K18" i="126" s="1"/>
  <c r="J17" i="126"/>
  <c r="K17" i="126" s="1"/>
  <c r="J16" i="126"/>
  <c r="K16" i="126" s="1"/>
  <c r="BN15" i="126"/>
  <c r="BN21" i="126" s="1"/>
  <c r="BN23" i="126" s="1"/>
  <c r="BN27" i="126" s="1"/>
  <c r="BF15" i="126"/>
  <c r="AQ15" i="126"/>
  <c r="J15" i="126"/>
  <c r="K15" i="126" s="1"/>
  <c r="CD14" i="126"/>
  <c r="BT14" i="126"/>
  <c r="BO14" i="126"/>
  <c r="BO15" i="126" s="1"/>
  <c r="BO16" i="126" s="1"/>
  <c r="BK14" i="126"/>
  <c r="BG14" i="126"/>
  <c r="BC14" i="126"/>
  <c r="BC15" i="126" s="1"/>
  <c r="AS14" i="126"/>
  <c r="AS15" i="126" s="1"/>
  <c r="AJ14" i="126"/>
  <c r="Z14" i="126"/>
  <c r="Z15" i="126" s="1"/>
  <c r="Z16" i="126" s="1"/>
  <c r="V14" i="126"/>
  <c r="R14" i="126"/>
  <c r="M14" i="126"/>
  <c r="F14" i="126"/>
  <c r="A13" i="126"/>
  <c r="CI7" i="126"/>
  <c r="CD7" i="126"/>
  <c r="BY7" i="126"/>
  <c r="BT7" i="126"/>
  <c r="BO7" i="126"/>
  <c r="BK7" i="126"/>
  <c r="BG7" i="126"/>
  <c r="BC7" i="126"/>
  <c r="AS7" i="126"/>
  <c r="AJ7" i="126"/>
  <c r="AE7" i="126"/>
  <c r="Z7" i="126"/>
  <c r="V7" i="126"/>
  <c r="R7" i="126"/>
  <c r="M7" i="126"/>
  <c r="I7" i="126"/>
  <c r="AD52" i="87"/>
  <c r="AD51" i="87"/>
  <c r="AD50" i="87"/>
  <c r="AD49" i="87"/>
  <c r="AD47" i="87"/>
  <c r="AD46" i="87"/>
  <c r="AD45" i="87"/>
  <c r="AD40" i="87"/>
  <c r="F38" i="86" l="1"/>
  <c r="D58" i="192"/>
  <c r="AD53" i="87"/>
  <c r="AI42" i="86" s="1"/>
  <c r="E17" i="86"/>
  <c r="K44" i="126"/>
  <c r="E38" i="86" s="1"/>
  <c r="AR15" i="126"/>
  <c r="AS16" i="126"/>
  <c r="BJ25" i="126"/>
  <c r="A14" i="126"/>
  <c r="A15" i="126" s="1"/>
  <c r="A16" i="126" s="1"/>
  <c r="A17" i="126" s="1"/>
  <c r="A18" i="126" s="1"/>
  <c r="A19" i="126" s="1"/>
  <c r="A20" i="126" s="1"/>
  <c r="R15" i="126"/>
  <c r="Z17" i="126"/>
  <c r="Z18" i="126" s="1"/>
  <c r="Z19" i="126" s="1"/>
  <c r="Z20" i="126" s="1"/>
  <c r="Z21" i="126" s="1"/>
  <c r="Z22" i="126" s="1"/>
  <c r="Z23" i="126" s="1"/>
  <c r="Z24" i="126" s="1"/>
  <c r="F15" i="126"/>
  <c r="AJ15" i="126"/>
  <c r="AJ16" i="126" s="1"/>
  <c r="BK15" i="126"/>
  <c r="BG15" i="126" s="1"/>
  <c r="BG16" i="126" s="1"/>
  <c r="BT15" i="126"/>
  <c r="CD15" i="126"/>
  <c r="O16" i="87"/>
  <c r="S15" i="87"/>
  <c r="O15" i="87"/>
  <c r="Z14" i="87"/>
  <c r="Z15" i="87" s="1"/>
  <c r="AI14" i="87"/>
  <c r="AE14" i="87"/>
  <c r="AE15" i="87" s="1"/>
  <c r="AE16" i="87" s="1"/>
  <c r="AE17" i="87" s="1"/>
  <c r="AE18" i="87" s="1"/>
  <c r="AE19" i="87" s="1"/>
  <c r="AE20" i="87" s="1"/>
  <c r="AE21" i="87" s="1"/>
  <c r="AE22" i="87" s="1"/>
  <c r="AE23" i="87" s="1"/>
  <c r="AE24" i="87" s="1"/>
  <c r="AE25" i="87" s="1"/>
  <c r="AE27" i="87" s="1"/>
  <c r="AE28" i="87" s="1"/>
  <c r="AE29" i="87" s="1"/>
  <c r="U14" i="87"/>
  <c r="U15" i="87" s="1"/>
  <c r="U16" i="87" s="1"/>
  <c r="P14" i="87"/>
  <c r="K14" i="87"/>
  <c r="K15" i="87" s="1"/>
  <c r="K16" i="87" s="1"/>
  <c r="K17" i="87" s="1"/>
  <c r="A14" i="87"/>
  <c r="A15" i="87" s="1"/>
  <c r="A16" i="87" s="1"/>
  <c r="T13" i="87"/>
  <c r="F13" i="87"/>
  <c r="F14" i="87" s="1"/>
  <c r="BM11" i="87"/>
  <c r="AO7" i="87"/>
  <c r="BI7" i="87"/>
  <c r="AE7" i="87"/>
  <c r="U7" i="87"/>
  <c r="P7" i="87"/>
  <c r="K7" i="87"/>
  <c r="F7" i="87"/>
  <c r="A7" i="87"/>
  <c r="U62" i="86"/>
  <c r="T62" i="86"/>
  <c r="S62" i="86"/>
  <c r="R62" i="86"/>
  <c r="R64" i="86" s="1"/>
  <c r="Q62" i="86"/>
  <c r="O62" i="86"/>
  <c r="L62" i="86"/>
  <c r="K62" i="86"/>
  <c r="J62" i="86"/>
  <c r="H62" i="86"/>
  <c r="G62" i="86"/>
  <c r="F62" i="86"/>
  <c r="F64" i="86" s="1"/>
  <c r="E62" i="86"/>
  <c r="E64" i="86" s="1"/>
  <c r="D62" i="86"/>
  <c r="AH62" i="86"/>
  <c r="AG62" i="86"/>
  <c r="AG64" i="86" s="1"/>
  <c r="AE62" i="86"/>
  <c r="AD62" i="86"/>
  <c r="AD64" i="86" s="1"/>
  <c r="AU61" i="86"/>
  <c r="N60" i="86"/>
  <c r="N62" i="86" s="1"/>
  <c r="M60" i="86"/>
  <c r="P56" i="86"/>
  <c r="P62" i="86" s="1"/>
  <c r="N51" i="86"/>
  <c r="M51" i="86"/>
  <c r="AR60" i="86" l="1"/>
  <c r="BM36" i="87"/>
  <c r="AD57" i="87"/>
  <c r="BM37" i="87"/>
  <c r="F16" i="126"/>
  <c r="F17" i="126" s="1"/>
  <c r="F18" i="126" s="1"/>
  <c r="F19" i="126" s="1"/>
  <c r="F20" i="126" s="1"/>
  <c r="F21" i="126" s="1"/>
  <c r="F15" i="87"/>
  <c r="F16" i="87" s="1"/>
  <c r="F17" i="87" s="1"/>
  <c r="F18" i="87" s="1"/>
  <c r="F19" i="87" s="1"/>
  <c r="F20" i="87" s="1"/>
  <c r="F21" i="87" s="1"/>
  <c r="F22" i="87" s="1"/>
  <c r="F23" i="87" s="1"/>
  <c r="F24" i="87" s="1"/>
  <c r="F25" i="87" s="1"/>
  <c r="AF56" i="86"/>
  <c r="B7" i="183"/>
  <c r="BM31" i="87"/>
  <c r="AJ56" i="86"/>
  <c r="AD59" i="87"/>
  <c r="M62" i="86"/>
  <c r="M64" i="86" s="1"/>
  <c r="L64" i="86"/>
  <c r="T15" i="87"/>
  <c r="T17" i="87" s="1"/>
  <c r="D64" i="86"/>
  <c r="K64" i="86"/>
  <c r="J64" i="86" s="1"/>
  <c r="G51" i="86"/>
  <c r="A21" i="126"/>
  <c r="A22" i="126" s="1"/>
  <c r="A23" i="126" s="1"/>
  <c r="A24" i="126" s="1"/>
  <c r="CD16" i="126"/>
  <c r="CD17" i="126" s="1"/>
  <c r="CD18" i="126" s="1"/>
  <c r="CD19" i="126" s="1"/>
  <c r="CD20" i="126" s="1"/>
  <c r="CD21" i="126" s="1"/>
  <c r="CD22" i="126" s="1"/>
  <c r="CD23" i="126" s="1"/>
  <c r="CD24" i="126" s="1"/>
  <c r="CD25" i="126" s="1"/>
  <c r="CD26" i="126" s="1"/>
  <c r="CD27" i="126" s="1"/>
  <c r="CD28" i="126" s="1"/>
  <c r="CD29" i="126" s="1"/>
  <c r="CD30" i="126" s="1"/>
  <c r="CD31" i="126" s="1"/>
  <c r="CD32" i="126" s="1"/>
  <c r="CD33" i="126" s="1"/>
  <c r="CD34" i="126" s="1"/>
  <c r="CD35" i="126" s="1"/>
  <c r="BT16" i="126"/>
  <c r="BT17" i="126" s="1"/>
  <c r="AJ17" i="126"/>
  <c r="AJ18" i="126" s="1"/>
  <c r="M15" i="126"/>
  <c r="R16" i="126"/>
  <c r="BK16" i="126"/>
  <c r="BK17" i="126" s="1"/>
  <c r="BK18" i="126" s="1"/>
  <c r="BK19" i="126" s="1"/>
  <c r="BG17" i="126"/>
  <c r="BG18" i="126" s="1"/>
  <c r="AR16" i="126"/>
  <c r="AR17" i="126" s="1"/>
  <c r="AS17" i="126"/>
  <c r="AS18" i="126" s="1"/>
  <c r="AS19" i="126" s="1"/>
  <c r="AS20" i="126" s="1"/>
  <c r="AS21" i="126" s="1"/>
  <c r="AS22" i="126" s="1"/>
  <c r="AS23" i="126" s="1"/>
  <c r="AS24" i="126" s="1"/>
  <c r="AS25" i="126" s="1"/>
  <c r="AS26" i="126" s="1"/>
  <c r="AS27" i="126" s="1"/>
  <c r="AS28" i="126" s="1"/>
  <c r="AS29" i="126" s="1"/>
  <c r="AS30" i="126" s="1"/>
  <c r="A47" i="126"/>
  <c r="A48" i="126" s="1"/>
  <c r="A49" i="126" s="1"/>
  <c r="A17" i="87"/>
  <c r="K18" i="87"/>
  <c r="U17" i="87"/>
  <c r="U18" i="87" s="1"/>
  <c r="U19" i="87" s="1"/>
  <c r="U20" i="87" s="1"/>
  <c r="U21" i="87" s="1"/>
  <c r="U22" i="87" s="1"/>
  <c r="U23" i="87" s="1"/>
  <c r="Z16" i="87"/>
  <c r="Z17" i="87" s="1"/>
  <c r="Z18" i="87" s="1"/>
  <c r="Z19" i="87" s="1"/>
  <c r="Z20" i="87" s="1"/>
  <c r="Z21" i="87" s="1"/>
  <c r="Z22" i="87" s="1"/>
  <c r="Z23" i="87" s="1"/>
  <c r="H64" i="86"/>
  <c r="P64" i="86"/>
  <c r="O64" i="86" s="1"/>
  <c r="AH64" i="86"/>
  <c r="Q64" i="86"/>
  <c r="N64" i="86"/>
  <c r="R15" i="87"/>
  <c r="P15" i="87" s="1"/>
  <c r="P16" i="87" s="1"/>
  <c r="P17" i="87" s="1"/>
  <c r="P18" i="87" s="1"/>
  <c r="AU60" i="86" l="1"/>
  <c r="F22" i="126"/>
  <c r="F23" i="126" s="1"/>
  <c r="F24" i="126" s="1"/>
  <c r="F25" i="126" s="1"/>
  <c r="F26" i="126" s="1"/>
  <c r="F27" i="126" s="1"/>
  <c r="AQ22" i="126"/>
  <c r="M13" i="127" s="1"/>
  <c r="G64" i="86"/>
  <c r="BN29" i="126"/>
  <c r="BT18" i="126"/>
  <c r="M16" i="126"/>
  <c r="M17" i="126" s="1"/>
  <c r="M18" i="126" s="1"/>
  <c r="M19" i="126" s="1"/>
  <c r="M20" i="126" s="1"/>
  <c r="M21" i="126" s="1"/>
  <c r="M22" i="126" s="1"/>
  <c r="M23" i="126" s="1"/>
  <c r="M24" i="126" s="1"/>
  <c r="BG19" i="126"/>
  <c r="BO17" i="126"/>
  <c r="BO18" i="126" s="1"/>
  <c r="BO19" i="126" s="1"/>
  <c r="A25" i="126"/>
  <c r="A26" i="126" s="1"/>
  <c r="A27" i="126" s="1"/>
  <c r="Z24" i="87"/>
  <c r="Z25" i="87" s="1"/>
  <c r="A18" i="87"/>
  <c r="A19" i="87" s="1"/>
  <c r="A20" i="87" s="1"/>
  <c r="A21" i="87" s="1"/>
  <c r="T19" i="87"/>
  <c r="AT46" i="86"/>
  <c r="T21" i="87" l="1"/>
  <c r="F28" i="126"/>
  <c r="F29" i="126" s="1"/>
  <c r="F30" i="126" s="1"/>
  <c r="F31" i="126" s="1"/>
  <c r="F32" i="126" s="1"/>
  <c r="F33" i="126" s="1"/>
  <c r="F34" i="126" s="1"/>
  <c r="C40" i="126"/>
  <c r="P19" i="87"/>
  <c r="P20" i="87" s="1"/>
  <c r="P21" i="87" s="1"/>
  <c r="AG46" i="86"/>
  <c r="AR46" i="86" s="1"/>
  <c r="BO20" i="126"/>
  <c r="BK20" i="126" s="1"/>
  <c r="BK21" i="126" s="1"/>
  <c r="BG20" i="126"/>
  <c r="A28" i="126"/>
  <c r="M15" i="127"/>
  <c r="J43" i="126"/>
  <c r="K43" i="126" s="1"/>
  <c r="P30" i="126"/>
  <c r="Q30" i="126" s="1"/>
  <c r="K19" i="87"/>
  <c r="K20" i="87" s="1"/>
  <c r="K21" i="87" s="1"/>
  <c r="K22" i="87" s="1"/>
  <c r="K23" i="87" s="1"/>
  <c r="K24" i="87" s="1"/>
  <c r="K25" i="87" s="1"/>
  <c r="A22" i="87"/>
  <c r="AT45" i="86"/>
  <c r="P45" i="86"/>
  <c r="AI45" i="86"/>
  <c r="AF45" i="86"/>
  <c r="AT43" i="86"/>
  <c r="AG43" i="86"/>
  <c r="AR43" i="86" s="1"/>
  <c r="P42" i="86"/>
  <c r="AT41" i="86"/>
  <c r="C42" i="126" l="1"/>
  <c r="M17" i="127"/>
  <c r="E35" i="86"/>
  <c r="P32" i="126"/>
  <c r="Q32" i="126" s="1"/>
  <c r="F44" i="86" s="1"/>
  <c r="J47" i="126"/>
  <c r="K47" i="126" s="1"/>
  <c r="BG21" i="126"/>
  <c r="BK22" i="126"/>
  <c r="Z27" i="87"/>
  <c r="Z28" i="87" s="1"/>
  <c r="Z29" i="87" s="1"/>
  <c r="Z30" i="87" s="1"/>
  <c r="Z31" i="87" s="1"/>
  <c r="Z32" i="87" s="1"/>
  <c r="Z33" i="87" s="1"/>
  <c r="Z34" i="87" s="1"/>
  <c r="Z35" i="87" s="1"/>
  <c r="Z36" i="87" s="1"/>
  <c r="Z37" i="87" s="1"/>
  <c r="A23" i="87"/>
  <c r="A24" i="87" s="1"/>
  <c r="K27" i="87"/>
  <c r="K28" i="87" s="1"/>
  <c r="AT37" i="86"/>
  <c r="N35" i="86"/>
  <c r="AT34" i="86"/>
  <c r="AT33" i="86"/>
  <c r="AT32" i="86"/>
  <c r="L48" i="126" l="1"/>
  <c r="E44" i="86"/>
  <c r="L45" i="126"/>
  <c r="BG22" i="126"/>
  <c r="BK23" i="126"/>
  <c r="BK24" i="126" s="1"/>
  <c r="AU37" i="86"/>
  <c r="AW30" i="86"/>
  <c r="U30" i="86"/>
  <c r="T30" i="86"/>
  <c r="R30" i="86"/>
  <c r="Q30" i="86"/>
  <c r="P30" i="86"/>
  <c r="P47" i="86" s="1"/>
  <c r="O30" i="86"/>
  <c r="N30" i="86"/>
  <c r="N47" i="86" s="1"/>
  <c r="M30" i="86"/>
  <c r="K30" i="86"/>
  <c r="J30" i="86"/>
  <c r="I30" i="86"/>
  <c r="H30" i="86"/>
  <c r="G30" i="86"/>
  <c r="E30" i="86"/>
  <c r="D30" i="86"/>
  <c r="AL30" i="86"/>
  <c r="AH30" i="86"/>
  <c r="AG30" i="86"/>
  <c r="AG47" i="86" s="1"/>
  <c r="AF30" i="86"/>
  <c r="AF47" i="86" s="1"/>
  <c r="AF49" i="86" s="1"/>
  <c r="AE30" i="86"/>
  <c r="C30" i="86"/>
  <c r="AT29" i="86"/>
  <c r="AT28" i="86"/>
  <c r="AI28" i="86"/>
  <c r="AT27" i="86"/>
  <c r="U21" i="86"/>
  <c r="T21" i="86"/>
  <c r="S21" i="86"/>
  <c r="R21" i="86"/>
  <c r="Q21" i="86"/>
  <c r="P21" i="86"/>
  <c r="O21" i="86"/>
  <c r="N21" i="86"/>
  <c r="M21" i="86"/>
  <c r="L21" i="86"/>
  <c r="K21" i="86"/>
  <c r="I21" i="86"/>
  <c r="H21" i="86"/>
  <c r="G21" i="86"/>
  <c r="AL21" i="86"/>
  <c r="AI21" i="86"/>
  <c r="AH21" i="86"/>
  <c r="AG21" i="86"/>
  <c r="AE21" i="86"/>
  <c r="C21" i="86"/>
  <c r="AT20" i="86"/>
  <c r="AT19" i="86"/>
  <c r="AW18" i="86"/>
  <c r="AT18" i="86"/>
  <c r="AT17" i="86"/>
  <c r="A17" i="86"/>
  <c r="AG49" i="86" l="1"/>
  <c r="N49" i="86"/>
  <c r="P49" i="86"/>
  <c r="L50" i="126"/>
  <c r="A18" i="86"/>
  <c r="A19" i="86" s="1"/>
  <c r="A20" i="86" s="1"/>
  <c r="A21" i="86" s="1"/>
  <c r="AE47" i="86"/>
  <c r="BG23" i="126"/>
  <c r="BK25" i="126"/>
  <c r="BK26" i="126" s="1"/>
  <c r="U24" i="87"/>
  <c r="AP21" i="86"/>
  <c r="AI30" i="86"/>
  <c r="F30" i="86"/>
  <c r="AU18" i="86"/>
  <c r="AV18" i="86" s="1"/>
  <c r="AS37" i="86"/>
  <c r="P20" i="196" l="1"/>
  <c r="P43" i="196"/>
  <c r="AE49" i="86"/>
  <c r="E14" i="86"/>
  <c r="BG24" i="126"/>
  <c r="BG25" i="126" s="1"/>
  <c r="BG26" i="126" s="1"/>
  <c r="BK27" i="126"/>
  <c r="U25" i="87"/>
  <c r="AX18" i="86"/>
  <c r="AU29" i="86"/>
  <c r="AV29" i="86" s="1"/>
  <c r="AS29" i="86"/>
  <c r="AS18" i="86"/>
  <c r="F14" i="86" l="1"/>
  <c r="BG27" i="126"/>
  <c r="BK28" i="126"/>
  <c r="U28" i="87"/>
  <c r="AX29" i="86"/>
  <c r="G14" i="86" l="1"/>
  <c r="BK29" i="126"/>
  <c r="U29" i="87"/>
  <c r="U30" i="87" s="1"/>
  <c r="U31" i="87" s="1"/>
  <c r="U32" i="87" s="1"/>
  <c r="U33" i="87" s="1"/>
  <c r="H14" i="86" l="1"/>
  <c r="AF14" i="86"/>
  <c r="BG28" i="126"/>
  <c r="BK30" i="126"/>
  <c r="AG14" i="86" l="1"/>
  <c r="I14" i="86"/>
  <c r="BG29" i="126"/>
  <c r="BG30" i="126" s="1"/>
  <c r="AS43" i="86"/>
  <c r="L52" i="126"/>
  <c r="E45" i="86" s="1"/>
  <c r="M19" i="127"/>
  <c r="C37" i="192" s="1"/>
  <c r="D37" i="192" s="1"/>
  <c r="F37" i="192" s="1"/>
  <c r="G37" i="192" s="1"/>
  <c r="AI47" i="86"/>
  <c r="AT21" i="86"/>
  <c r="AV37" i="86"/>
  <c r="AT30" i="86"/>
  <c r="V15" i="126"/>
  <c r="V16" i="126" s="1"/>
  <c r="V17" i="126" s="1"/>
  <c r="U64" i="86"/>
  <c r="T64" i="86"/>
  <c r="S64" i="86"/>
  <c r="Z38" i="87"/>
  <c r="Z39" i="87" s="1"/>
  <c r="A17" i="127"/>
  <c r="A18" i="127" s="1"/>
  <c r="A19" i="127" s="1"/>
  <c r="A20" i="127" s="1"/>
  <c r="A21" i="127" s="1"/>
  <c r="A22" i="127" s="1"/>
  <c r="A23" i="127" s="1"/>
  <c r="A24" i="127" s="1"/>
  <c r="A25" i="127" s="1"/>
  <c r="AH14" i="86" l="1"/>
  <c r="J14" i="86"/>
  <c r="AI49" i="86"/>
  <c r="AR4" i="126"/>
  <c r="AW4" i="126" s="1"/>
  <c r="AX37" i="86"/>
  <c r="AU43" i="86"/>
  <c r="AV43" i="86" s="1"/>
  <c r="M20" i="127"/>
  <c r="L53" i="126"/>
  <c r="R17" i="126"/>
  <c r="V18" i="126"/>
  <c r="V19" i="126" s="1"/>
  <c r="V20" i="126" s="1"/>
  <c r="V21" i="126" s="1"/>
  <c r="V22" i="126" s="1"/>
  <c r="V23" i="126" s="1"/>
  <c r="BG31" i="126"/>
  <c r="Z40" i="87"/>
  <c r="AI14" i="86" l="1"/>
  <c r="K14" i="86"/>
  <c r="M21" i="127"/>
  <c r="C21" i="127" s="1"/>
  <c r="BB4" i="126"/>
  <c r="BF4" i="126" s="1"/>
  <c r="BJ4" i="126" s="1"/>
  <c r="BN4" i="126" s="1"/>
  <c r="BS4" i="126" s="1"/>
  <c r="BX4" i="126" s="1"/>
  <c r="CC4" i="126" s="1"/>
  <c r="CH4" i="126" s="1"/>
  <c r="CM4" i="126" s="1"/>
  <c r="CR4" i="126" s="1"/>
  <c r="CW4" i="126" s="1"/>
  <c r="DB4" i="126" s="1"/>
  <c r="DG4" i="126" s="1"/>
  <c r="AX43" i="86"/>
  <c r="R18" i="126"/>
  <c r="R19" i="126" s="1"/>
  <c r="R20" i="126" s="1"/>
  <c r="Z41" i="87"/>
  <c r="Z42" i="87" s="1"/>
  <c r="Z43" i="87" s="1"/>
  <c r="AJ19" i="126"/>
  <c r="AJ20" i="126" s="1"/>
  <c r="AH4" i="196" l="1"/>
  <c r="AJ14" i="86"/>
  <c r="L14" i="86"/>
  <c r="AJ21" i="126"/>
  <c r="AJ22" i="126" s="1"/>
  <c r="AJ23" i="126" s="1"/>
  <c r="AJ24" i="126" s="1"/>
  <c r="AJ25" i="126" s="1"/>
  <c r="AJ26" i="126" s="1"/>
  <c r="AJ27" i="126" s="1"/>
  <c r="AJ28" i="126" s="1"/>
  <c r="AJ29" i="126" s="1"/>
  <c r="R21" i="126"/>
  <c r="R22" i="126" s="1"/>
  <c r="R23" i="126" s="1"/>
  <c r="R24" i="126" s="1"/>
  <c r="R25" i="126" s="1"/>
  <c r="R26" i="126" s="1"/>
  <c r="R27" i="126" s="1"/>
  <c r="R28" i="126" s="1"/>
  <c r="R29" i="126" s="1"/>
  <c r="R30" i="126" s="1"/>
  <c r="R31" i="126" s="1"/>
  <c r="R32" i="126" s="1"/>
  <c r="Z25" i="126"/>
  <c r="Z26" i="126" s="1"/>
  <c r="Z27" i="126" s="1"/>
  <c r="Z28" i="126" s="1"/>
  <c r="Z29" i="126" s="1"/>
  <c r="Z30" i="126" s="1"/>
  <c r="Z31" i="126" s="1"/>
  <c r="Z32" i="126" s="1"/>
  <c r="Z33" i="126" s="1"/>
  <c r="Z34" i="126" s="1"/>
  <c r="Z35" i="126" s="1"/>
  <c r="Z36" i="126" s="1"/>
  <c r="U34" i="87"/>
  <c r="U35" i="87" s="1"/>
  <c r="U36" i="87" s="1"/>
  <c r="U37" i="87" s="1"/>
  <c r="U38" i="87" s="1"/>
  <c r="U39" i="87" s="1"/>
  <c r="U40" i="87" s="1"/>
  <c r="U41" i="87" s="1"/>
  <c r="U42" i="87" s="1"/>
  <c r="AC21" i="196" l="1"/>
  <c r="M35" i="196"/>
  <c r="AC10" i="196"/>
  <c r="AC45" i="196"/>
  <c r="AC22" i="196"/>
  <c r="M47" i="196"/>
  <c r="M22" i="196"/>
  <c r="T44" i="196"/>
  <c r="M17" i="196"/>
  <c r="M41" i="196"/>
  <c r="AC28" i="196"/>
  <c r="AC41" i="196"/>
  <c r="M43" i="196"/>
  <c r="M44" i="196"/>
  <c r="T22" i="196"/>
  <c r="T53" i="196"/>
  <c r="T45" i="196"/>
  <c r="T28" i="196"/>
  <c r="M28" i="196"/>
  <c r="AC20" i="196"/>
  <c r="M54" i="196"/>
  <c r="AC43" i="196"/>
  <c r="T47" i="196"/>
  <c r="AC19" i="196"/>
  <c r="AC49" i="196"/>
  <c r="M50" i="196"/>
  <c r="M32" i="196"/>
  <c r="AC25" i="196"/>
  <c r="T54" i="196"/>
  <c r="AC29" i="196"/>
  <c r="AC50" i="196"/>
  <c r="T43" i="196"/>
  <c r="M45" i="196"/>
  <c r="AC31" i="196"/>
  <c r="AC47" i="196"/>
  <c r="AC27" i="196"/>
  <c r="AC16" i="196"/>
  <c r="T20" i="196"/>
  <c r="AC26" i="196"/>
  <c r="AC17" i="196"/>
  <c r="M49" i="196"/>
  <c r="AC54" i="196"/>
  <c r="M13" i="196"/>
  <c r="T33" i="196"/>
  <c r="T48" i="196"/>
  <c r="M46" i="196"/>
  <c r="AC46" i="196"/>
  <c r="AC33" i="196"/>
  <c r="AC30" i="196"/>
  <c r="AC11" i="196"/>
  <c r="T17" i="196"/>
  <c r="AC53" i="196"/>
  <c r="M34" i="196"/>
  <c r="T42" i="196"/>
  <c r="AC13" i="196"/>
  <c r="M53" i="196"/>
  <c r="AC23" i="196"/>
  <c r="T41" i="196"/>
  <c r="AC40" i="196"/>
  <c r="AC42" i="196"/>
  <c r="AC44" i="196"/>
  <c r="M48" i="196"/>
  <c r="AC12" i="196"/>
  <c r="AC18" i="196"/>
  <c r="M33" i="196"/>
  <c r="M20" i="196"/>
  <c r="T49" i="196"/>
  <c r="M15" i="196"/>
  <c r="M51" i="196"/>
  <c r="M42" i="196"/>
  <c r="T46" i="196"/>
  <c r="T13" i="196"/>
  <c r="T50" i="196"/>
  <c r="AC48" i="196"/>
  <c r="M24" i="196"/>
  <c r="AK14" i="86"/>
  <c r="M14" i="86"/>
  <c r="U43" i="87"/>
  <c r="U44" i="87" s="1"/>
  <c r="U45" i="87" s="1"/>
  <c r="U46" i="87" s="1"/>
  <c r="U47" i="87" s="1"/>
  <c r="U48" i="87" s="1"/>
  <c r="U49" i="87" s="1"/>
  <c r="U50" i="87" s="1"/>
  <c r="U51" i="87" s="1"/>
  <c r="U52" i="87" s="1"/>
  <c r="U53" i="87" s="1"/>
  <c r="U54" i="87" s="1"/>
  <c r="U55" i="87" s="1"/>
  <c r="U56" i="87" s="1"/>
  <c r="U57" i="87" s="1"/>
  <c r="U58" i="87" s="1"/>
  <c r="U59" i="87" s="1"/>
  <c r="U60" i="87" s="1"/>
  <c r="U61" i="87" s="1"/>
  <c r="U62" i="87" s="1"/>
  <c r="U63" i="87" s="1"/>
  <c r="U64" i="87" s="1"/>
  <c r="Z37" i="126"/>
  <c r="Z38" i="126" s="1"/>
  <c r="Z39" i="126" s="1"/>
  <c r="Z40" i="126" s="1"/>
  <c r="Z41" i="126" s="1"/>
  <c r="Z42" i="126" s="1"/>
  <c r="M25" i="126"/>
  <c r="M26" i="126" s="1"/>
  <c r="M27" i="126" s="1"/>
  <c r="M28" i="126" s="1"/>
  <c r="M29" i="126" s="1"/>
  <c r="M30" i="126" s="1"/>
  <c r="AL14" i="86" l="1"/>
  <c r="N14" i="86"/>
  <c r="M31" i="126"/>
  <c r="Z44" i="87"/>
  <c r="AM14" i="86" l="1"/>
  <c r="O14" i="86"/>
  <c r="E21" i="86"/>
  <c r="Z45" i="87"/>
  <c r="AN14" i="86" l="1"/>
  <c r="P14" i="86"/>
  <c r="Z46" i="87"/>
  <c r="AO14" i="86" l="1"/>
  <c r="Q14" i="86"/>
  <c r="Z47" i="87"/>
  <c r="AP14" i="86" l="1"/>
  <c r="R14" i="86"/>
  <c r="Z48" i="87"/>
  <c r="Z49" i="87" s="1"/>
  <c r="S14" i="86" l="1"/>
  <c r="T14" i="86" l="1"/>
  <c r="K27" i="126"/>
  <c r="Z50" i="87"/>
  <c r="U14" i="86" l="1"/>
  <c r="F35" i="126"/>
  <c r="Z51" i="87"/>
  <c r="Z52" i="87" s="1"/>
  <c r="V14" i="86" l="1"/>
  <c r="J27" i="126"/>
  <c r="A29" i="126"/>
  <c r="F36" i="126"/>
  <c r="F37" i="126" s="1"/>
  <c r="F38" i="126" s="1"/>
  <c r="Z53" i="87"/>
  <c r="W14" i="86" l="1"/>
  <c r="BN31" i="126"/>
  <c r="A30" i="126"/>
  <c r="A31" i="126" s="1"/>
  <c r="A32" i="126" s="1"/>
  <c r="Z54" i="87"/>
  <c r="X14" i="86" l="1"/>
  <c r="BK31" i="126"/>
  <c r="Z55" i="87"/>
  <c r="AD61" i="87"/>
  <c r="Y14" i="86" l="1"/>
  <c r="Z56" i="87"/>
  <c r="Z57" i="87" l="1"/>
  <c r="Z58" i="87" s="1"/>
  <c r="Z59" i="87" l="1"/>
  <c r="Z60" i="87" s="1"/>
  <c r="Z61" i="87" l="1"/>
  <c r="Z62" i="87" s="1"/>
  <c r="Z63" i="87" s="1"/>
  <c r="Z64" i="87" s="1"/>
  <c r="Z65" i="87" s="1"/>
  <c r="Z66" i="87" s="1"/>
  <c r="F39" i="126" l="1"/>
  <c r="F40" i="126" s="1"/>
  <c r="F41" i="126" s="1"/>
  <c r="M32" i="126"/>
  <c r="M33" i="126" s="1"/>
  <c r="M34" i="126" s="1"/>
  <c r="M35" i="126" s="1"/>
  <c r="M36" i="126" s="1"/>
  <c r="M37" i="126" s="1"/>
  <c r="M38" i="126" s="1"/>
  <c r="M39" i="126" s="1"/>
  <c r="M40" i="126" s="1"/>
  <c r="M41" i="126" s="1"/>
  <c r="M42" i="126" s="1"/>
  <c r="M43" i="126" s="1"/>
  <c r="M44" i="126" s="1"/>
  <c r="M45" i="126" s="1"/>
  <c r="M46" i="126" s="1"/>
  <c r="M47" i="126" s="1"/>
  <c r="M48" i="126" s="1"/>
  <c r="M49" i="126" s="1"/>
  <c r="M50" i="126" s="1"/>
  <c r="A33" i="126"/>
  <c r="A34" i="126" s="1"/>
  <c r="A35" i="126" s="1"/>
  <c r="A36" i="126" s="1"/>
  <c r="A37" i="126" s="1"/>
  <c r="A38" i="126" s="1"/>
  <c r="A39" i="126" s="1"/>
  <c r="A40" i="126" s="1"/>
  <c r="A41" i="126" s="1"/>
  <c r="A42" i="126" s="1"/>
  <c r="A43" i="126" s="1"/>
  <c r="A44" i="126" s="1"/>
  <c r="F42" i="126" l="1"/>
  <c r="F43" i="126" s="1"/>
  <c r="F44" i="126" s="1"/>
  <c r="F45" i="126" s="1"/>
  <c r="F46" i="126" s="1"/>
  <c r="F47" i="126" s="1"/>
  <c r="F48" i="126" s="1"/>
  <c r="F49" i="126" s="1"/>
  <c r="F50" i="126" s="1"/>
  <c r="F51" i="126" s="1"/>
  <c r="F52" i="126" s="1"/>
  <c r="F53" i="126" s="1"/>
  <c r="A22" i="86"/>
  <c r="A23" i="86" s="1"/>
  <c r="A24" i="86" s="1"/>
  <c r="A25" i="86" s="1"/>
  <c r="A26" i="86" s="1"/>
  <c r="A27" i="86" s="1"/>
  <c r="A28" i="86" s="1"/>
  <c r="A29" i="86" s="1"/>
  <c r="A30" i="86" s="1"/>
  <c r="A31" i="86" s="1"/>
  <c r="A32" i="86" s="1"/>
  <c r="A33" i="86" s="1"/>
  <c r="A34" i="86" s="1"/>
  <c r="A35" i="86" s="1"/>
  <c r="A36" i="86" s="1"/>
  <c r="A37" i="86" s="1"/>
  <c r="A38" i="86" s="1"/>
  <c r="A39" i="86" s="1"/>
  <c r="A40" i="86" s="1"/>
  <c r="A41" i="86" s="1"/>
  <c r="A42" i="86" s="1"/>
  <c r="A43" i="86" s="1"/>
  <c r="A44" i="86" s="1"/>
  <c r="A45" i="86" s="1"/>
  <c r="A46" i="86" s="1"/>
  <c r="A47" i="86" s="1"/>
  <c r="A48" i="86" s="1"/>
  <c r="A49" i="86" s="1"/>
  <c r="A50" i="86" s="1"/>
  <c r="A51" i="86" s="1"/>
  <c r="A52" i="86" s="1"/>
  <c r="A53" i="86" s="1"/>
  <c r="A54" i="86" s="1"/>
  <c r="A55" i="86" s="1"/>
  <c r="A56" i="86" s="1"/>
  <c r="A57" i="86" s="1"/>
  <c r="A58" i="86" s="1"/>
  <c r="A59" i="86" s="1"/>
  <c r="A60" i="86" s="1"/>
  <c r="A61" i="86" s="1"/>
  <c r="A62" i="86" s="1"/>
  <c r="AS46" i="86" l="1"/>
  <c r="AU46" i="86"/>
  <c r="AV46" i="86" l="1"/>
  <c r="AX46" i="86" l="1"/>
  <c r="X21" i="87" l="1"/>
  <c r="X23" i="87" s="1"/>
  <c r="X28" i="87" s="1"/>
  <c r="Y16" i="87"/>
  <c r="Y18" i="87"/>
  <c r="Y17" i="87"/>
  <c r="Y19" i="87"/>
  <c r="Y15" i="87"/>
  <c r="W21" i="87"/>
  <c r="W23" i="87" s="1"/>
  <c r="Y20" i="87"/>
  <c r="AH34" i="86" l="1"/>
  <c r="W28" i="87"/>
  <c r="Y21" i="87"/>
  <c r="Y23" i="87" s="1"/>
  <c r="Y28" i="87" s="1"/>
  <c r="AH33" i="86" l="1"/>
  <c r="Q27" i="126" l="1"/>
  <c r="F17" i="86" l="1"/>
  <c r="Q33" i="126"/>
  <c r="Q48" i="126" s="1"/>
  <c r="F35" i="86"/>
  <c r="Q49" i="126" l="1"/>
  <c r="Q50" i="126" s="1"/>
  <c r="F21" i="86"/>
  <c r="F45" i="86" l="1"/>
  <c r="F47" i="86" l="1"/>
  <c r="F49" i="86" s="1"/>
  <c r="AM12" i="196" l="1"/>
  <c r="P12" i="196"/>
  <c r="T12" i="196" s="1"/>
  <c r="M12" i="196"/>
  <c r="N27" i="174" l="1"/>
  <c r="C27" i="192" l="1"/>
  <c r="D24" i="87"/>
  <c r="N28" i="174"/>
  <c r="N16" i="174"/>
  <c r="N15" i="174"/>
  <c r="N22" i="174"/>
  <c r="N21" i="174"/>
  <c r="N20" i="174"/>
  <c r="BM91" i="87"/>
  <c r="BM83" i="87"/>
  <c r="BM45" i="87"/>
  <c r="BM89" i="87"/>
  <c r="BM81" i="87"/>
  <c r="BM42" i="87"/>
  <c r="BM70" i="87"/>
  <c r="BM80" i="87"/>
  <c r="BM88" i="87"/>
  <c r="BM40" i="87"/>
  <c r="BM69" i="87"/>
  <c r="BM41" i="87"/>
  <c r="BM93" i="87"/>
  <c r="BM85" i="87"/>
  <c r="BM43" i="87"/>
  <c r="BM46" i="87"/>
  <c r="BM84" i="87"/>
  <c r="BM92" i="87"/>
  <c r="BM44" i="87"/>
  <c r="BM82" i="87"/>
  <c r="BM90" i="87"/>
  <c r="D27" i="192" l="1"/>
  <c r="F27" i="192"/>
  <c r="C30" i="192"/>
  <c r="C17" i="192"/>
  <c r="C25" i="192"/>
  <c r="C18" i="192"/>
  <c r="C24" i="192"/>
  <c r="D18" i="87"/>
  <c r="C26" i="192"/>
  <c r="D25" i="87"/>
  <c r="C14" i="192"/>
  <c r="D19" i="87"/>
  <c r="D20" i="87"/>
  <c r="D15" i="87"/>
  <c r="D14" i="87"/>
  <c r="AP42" i="86"/>
  <c r="BM78" i="87"/>
  <c r="BM38" i="87"/>
  <c r="BM39" i="87"/>
  <c r="BM87" i="87"/>
  <c r="BM86" i="87"/>
  <c r="E25" i="87" l="1"/>
  <c r="D30" i="192"/>
  <c r="G18" i="192"/>
  <c r="D17" i="192"/>
  <c r="D25" i="192"/>
  <c r="G30" i="192"/>
  <c r="G25" i="192"/>
  <c r="G17" i="192"/>
  <c r="D18" i="192"/>
  <c r="G24" i="192"/>
  <c r="D24" i="192"/>
  <c r="D14" i="192"/>
  <c r="G14" i="192"/>
  <c r="G26" i="192"/>
  <c r="D26" i="192"/>
  <c r="BM21" i="87"/>
  <c r="AG15" i="126" l="1"/>
  <c r="AI14" i="126" l="1"/>
  <c r="AI13" i="126" l="1"/>
  <c r="AI15" i="126" s="1"/>
  <c r="AI17" i="126" s="1"/>
  <c r="AH15" i="126"/>
  <c r="J38" i="86" l="1"/>
  <c r="AI18" i="126"/>
  <c r="J45" i="86" s="1"/>
  <c r="AI20" i="126" l="1"/>
  <c r="J47" i="86"/>
  <c r="J49" i="86" l="1"/>
  <c r="P16" i="196" l="1"/>
  <c r="T16" i="196" s="1"/>
  <c r="M16" i="196"/>
  <c r="Y58" i="87" l="1"/>
  <c r="AH41" i="86" l="1"/>
  <c r="Y60" i="87"/>
  <c r="Y62" i="87" s="1"/>
  <c r="Y64" i="87" l="1"/>
  <c r="AH45" i="86"/>
  <c r="AH47" i="86" l="1"/>
  <c r="AH49" i="86" l="1"/>
  <c r="AM44" i="196" s="1"/>
  <c r="D29" i="159" l="1"/>
  <c r="D40" i="159"/>
  <c r="D18" i="159"/>
  <c r="K11" i="159"/>
  <c r="K13" i="159"/>
  <c r="L13" i="159" s="1"/>
  <c r="K14" i="159"/>
  <c r="L14" i="159" s="1"/>
  <c r="K15" i="159"/>
  <c r="L15" i="159" s="1"/>
  <c r="K16" i="159"/>
  <c r="L16" i="159" s="1"/>
  <c r="K17" i="159"/>
  <c r="L17" i="159" s="1"/>
  <c r="D51" i="159"/>
  <c r="E40" i="159" l="1"/>
  <c r="M17" i="159"/>
  <c r="M15" i="159"/>
  <c r="M13" i="159"/>
  <c r="K40" i="159"/>
  <c r="K51" i="159"/>
  <c r="K29" i="159"/>
  <c r="L29" i="159"/>
  <c r="M16" i="159"/>
  <c r="M14" i="159"/>
  <c r="K18" i="159"/>
  <c r="L11" i="159"/>
  <c r="L18" i="159" s="1"/>
  <c r="F40" i="159"/>
  <c r="F18" i="159"/>
  <c r="F51" i="159"/>
  <c r="C40" i="159"/>
  <c r="F29" i="159"/>
  <c r="C29" i="159"/>
  <c r="D53" i="159"/>
  <c r="C51" i="159"/>
  <c r="C18" i="159"/>
  <c r="K53" i="159" l="1"/>
  <c r="L40" i="159"/>
  <c r="E51" i="159"/>
  <c r="E29" i="159"/>
  <c r="M29" i="159"/>
  <c r="L51" i="159"/>
  <c r="E18" i="159"/>
  <c r="M10" i="159"/>
  <c r="M11" i="159"/>
  <c r="D55" i="159"/>
  <c r="C57" i="159" s="1"/>
  <c r="C53" i="159"/>
  <c r="F53" i="159"/>
  <c r="M40" i="159" l="1"/>
  <c r="L53" i="159"/>
  <c r="F55" i="159" s="1"/>
  <c r="F62" i="159" s="1"/>
  <c r="E53" i="159"/>
  <c r="E55" i="159" s="1"/>
  <c r="M51" i="159"/>
  <c r="M18" i="159"/>
  <c r="C55" i="159"/>
  <c r="C62" i="159" s="1"/>
  <c r="C6" i="192" l="1"/>
  <c r="C15" i="192" s="1"/>
  <c r="C33" i="192"/>
  <c r="M53" i="159"/>
  <c r="D33" i="192" l="1"/>
  <c r="F33" i="192"/>
  <c r="F15" i="192"/>
  <c r="D15" i="192"/>
  <c r="BK59" i="87" l="1"/>
  <c r="BL59" i="87" s="1"/>
  <c r="BM59" i="87" l="1"/>
  <c r="G53" i="21"/>
  <c r="G52" i="21"/>
  <c r="G51" i="21"/>
  <c r="G50" i="21" l="1"/>
  <c r="G54" i="21"/>
  <c r="F13" i="183" l="1"/>
  <c r="BK61" i="87" s="1"/>
  <c r="BL61" i="87" s="1"/>
  <c r="BM61" i="87" l="1"/>
  <c r="BK60" i="87"/>
  <c r="BL60" i="87" s="1"/>
  <c r="BM60" i="87" l="1"/>
  <c r="G49" i="21" l="1"/>
  <c r="B81" i="21" s="1"/>
  <c r="BB13" i="126" l="1"/>
  <c r="BB15" i="126" l="1"/>
  <c r="BB17" i="126" s="1"/>
  <c r="M45" i="86" s="1"/>
  <c r="M38" i="86"/>
  <c r="BB19" i="126" l="1"/>
  <c r="M47" i="86"/>
  <c r="M49" i="86" l="1"/>
  <c r="P19" i="196" l="1"/>
  <c r="T19" i="196" s="1"/>
  <c r="M19" i="196"/>
  <c r="AX16" i="87" l="1"/>
  <c r="AM47" i="86" s="1"/>
  <c r="AM49" i="86" l="1"/>
  <c r="C10" i="183"/>
  <c r="AM57" i="86"/>
  <c r="AX17" i="87" l="1"/>
  <c r="AW18" i="87"/>
  <c r="H10" i="183" l="1"/>
  <c r="I10" i="183" s="1"/>
  <c r="AM59" i="86"/>
  <c r="AX18" i="87"/>
  <c r="AM62" i="86" l="1"/>
  <c r="AM51" i="86" l="1"/>
  <c r="AM64" i="86" l="1"/>
  <c r="E39" i="126" l="1"/>
  <c r="D42" i="86" l="1"/>
  <c r="AR42" i="86" s="1"/>
  <c r="E47" i="86" l="1"/>
  <c r="AU42" i="86"/>
  <c r="E49" i="86" l="1"/>
  <c r="AM11" i="196" l="1"/>
  <c r="P11" i="196"/>
  <c r="T11" i="196" s="1"/>
  <c r="M11" i="196"/>
  <c r="AM22" i="87" l="1"/>
  <c r="AN15" i="87"/>
  <c r="AK56" i="86" s="1"/>
  <c r="AN21" i="87" l="1"/>
  <c r="AN22" i="87" s="1"/>
  <c r="AK40" i="86" l="1"/>
  <c r="AN28" i="87"/>
  <c r="AK45" i="86" l="1"/>
  <c r="AK47" i="86" s="1"/>
  <c r="AK49" i="86" s="1"/>
  <c r="AM47" i="196" s="1"/>
  <c r="AN16" i="87"/>
  <c r="AN29" i="87"/>
  <c r="AK57" i="86" l="1"/>
  <c r="AM18" i="87" l="1"/>
  <c r="AN17" i="87" l="1"/>
  <c r="AK59" i="86" s="1"/>
  <c r="AN18" i="87" l="1"/>
  <c r="AK62" i="86"/>
  <c r="AK51" i="86" l="1"/>
  <c r="AK64" i="86" l="1"/>
  <c r="AD15" i="87" l="1"/>
  <c r="AD16" i="87"/>
  <c r="AD17" i="87"/>
  <c r="AD18" i="87"/>
  <c r="AD19" i="87"/>
  <c r="AD20" i="87"/>
  <c r="AD21" i="87"/>
  <c r="AD22" i="87"/>
  <c r="AD23" i="87"/>
  <c r="AD24" i="87"/>
  <c r="AD25" i="87"/>
  <c r="AD27" i="87"/>
  <c r="AD28" i="87"/>
  <c r="AD29" i="87"/>
  <c r="AD30" i="87"/>
  <c r="AD14" i="87" l="1"/>
  <c r="AD33" i="87" s="1"/>
  <c r="E13" i="183" l="1"/>
  <c r="BK58" i="87" s="1"/>
  <c r="D13" i="183"/>
  <c r="BK57" i="87" s="1"/>
  <c r="BL57" i="87" l="1"/>
  <c r="BM57" i="87" s="1"/>
  <c r="BL58" i="87"/>
  <c r="BM58" i="87" s="1"/>
  <c r="G48" i="21"/>
  <c r="G55" i="21" l="1"/>
  <c r="G61" i="21" s="1"/>
  <c r="BM27" i="87" s="1"/>
  <c r="BK27" i="87"/>
  <c r="BL27" i="87" s="1"/>
  <c r="AP40" i="86" l="1"/>
  <c r="AQ19" i="126" l="1"/>
  <c r="AQ21" i="126" s="1"/>
  <c r="AQ23" i="126" s="1"/>
  <c r="AR26" i="126" s="1"/>
  <c r="AR28" i="126" s="1"/>
  <c r="K45" i="86" s="1"/>
  <c r="K35" i="86" l="1"/>
  <c r="AR29" i="126"/>
  <c r="K47" i="86" l="1"/>
  <c r="K49" i="86" s="1"/>
  <c r="AM17" i="196" s="1"/>
  <c r="BA24" i="87" l="1"/>
  <c r="BK47" i="87" l="1"/>
  <c r="BB24" i="87"/>
  <c r="BC23" i="87"/>
  <c r="C40" i="192" l="1"/>
  <c r="BK48" i="87"/>
  <c r="BC24" i="87"/>
  <c r="G43" i="21"/>
  <c r="BM47" i="87"/>
  <c r="BL47" i="87"/>
  <c r="G57" i="192" s="1"/>
  <c r="AN41" i="86" l="1"/>
  <c r="AR41" i="86" s="1"/>
  <c r="BC28" i="87"/>
  <c r="AN45" i="86" l="1"/>
  <c r="AN47" i="86" s="1"/>
  <c r="AN49" i="86" s="1"/>
  <c r="AM50" i="196" s="1"/>
  <c r="AS41" i="86"/>
  <c r="AU41" i="86"/>
  <c r="AV41" i="86" s="1"/>
  <c r="BC29" i="87"/>
  <c r="AX41" i="86" l="1"/>
  <c r="BA17" i="87" l="1"/>
  <c r="BB17" i="87" l="1"/>
  <c r="BC14" i="87"/>
  <c r="BC17" i="87" l="1"/>
  <c r="BA20" i="87" l="1"/>
  <c r="BC19" i="87" l="1"/>
  <c r="AN59" i="86" l="1"/>
  <c r="BC18" i="87"/>
  <c r="AN58" i="86" s="1"/>
  <c r="BB20" i="87"/>
  <c r="BK79" i="87" l="1"/>
  <c r="BL79" i="87" s="1"/>
  <c r="G13" i="183"/>
  <c r="BK62" i="87" s="1"/>
  <c r="BC20" i="87"/>
  <c r="BK94" i="87" l="1"/>
  <c r="BK95" i="87" s="1"/>
  <c r="BM79" i="87"/>
  <c r="BM94" i="87" s="1"/>
  <c r="C5" i="192" s="1"/>
  <c r="C13" i="192" s="1"/>
  <c r="BL94" i="87"/>
  <c r="AP58" i="86" s="1"/>
  <c r="AR58" i="86" s="1"/>
  <c r="BL62" i="87"/>
  <c r="AN62" i="86"/>
  <c r="F13" i="192" l="1"/>
  <c r="D13" i="192"/>
  <c r="BM62" i="87"/>
  <c r="AN51" i="86"/>
  <c r="AN64" i="86" s="1"/>
  <c r="I22" i="174" l="1"/>
  <c r="J22" i="174" s="1"/>
  <c r="C20" i="87" l="1"/>
  <c r="E20" i="87" l="1"/>
  <c r="I27" i="174" l="1"/>
  <c r="J27" i="174" s="1"/>
  <c r="F23" i="21"/>
  <c r="I26" i="174"/>
  <c r="J26" i="174" s="1"/>
  <c r="C24" i="87" l="1"/>
  <c r="E24" i="87" s="1"/>
  <c r="K26" i="174"/>
  <c r="C23" i="87"/>
  <c r="I25" i="174"/>
  <c r="J25" i="174" s="1"/>
  <c r="F17" i="21"/>
  <c r="G23" i="174"/>
  <c r="G29" i="174" s="1"/>
  <c r="F18" i="21"/>
  <c r="L25" i="174"/>
  <c r="H23" i="174"/>
  <c r="H29" i="174" s="1"/>
  <c r="F22" i="21"/>
  <c r="I18" i="174"/>
  <c r="C17" i="87" s="1"/>
  <c r="C22" i="87" l="1"/>
  <c r="E31" i="87"/>
  <c r="AD20" i="86"/>
  <c r="M25" i="174"/>
  <c r="L23" i="174"/>
  <c r="M18" i="174"/>
  <c r="N18" i="174" s="1"/>
  <c r="M26" i="174"/>
  <c r="F24" i="166"/>
  <c r="K29" i="174"/>
  <c r="I20" i="174"/>
  <c r="J20" i="174" s="1"/>
  <c r="I17" i="174"/>
  <c r="J19" i="174" s="1"/>
  <c r="C18" i="87" l="1"/>
  <c r="C16" i="87"/>
  <c r="E16" i="87" s="1"/>
  <c r="M23" i="174"/>
  <c r="L29" i="174"/>
  <c r="N26" i="174"/>
  <c r="E24" i="166"/>
  <c r="N25" i="174"/>
  <c r="AD44" i="86"/>
  <c r="E18" i="87" l="1"/>
  <c r="D23" i="87"/>
  <c r="C31" i="192"/>
  <c r="M29" i="174"/>
  <c r="D22" i="87"/>
  <c r="N23" i="174"/>
  <c r="D17" i="87"/>
  <c r="F27" i="166"/>
  <c r="I16" i="174"/>
  <c r="D27" i="87" l="1"/>
  <c r="AD28" i="86"/>
  <c r="C15" i="87"/>
  <c r="E15" i="87" s="1"/>
  <c r="N29" i="174"/>
  <c r="E23" i="87"/>
  <c r="E27" i="166"/>
  <c r="E28" i="166" s="1"/>
  <c r="F28" i="166"/>
  <c r="D31" i="192"/>
  <c r="F31" i="192"/>
  <c r="E22" i="87"/>
  <c r="E17" i="87"/>
  <c r="AD27" i="86" s="1"/>
  <c r="AR28" i="86" l="1"/>
  <c r="AU28" i="86" s="1"/>
  <c r="AV28" i="86" s="1"/>
  <c r="N31" i="174"/>
  <c r="AD33" i="86"/>
  <c r="I15" i="174"/>
  <c r="J16" i="174" s="1"/>
  <c r="E23" i="174"/>
  <c r="E24" i="174" s="1"/>
  <c r="AD32" i="86"/>
  <c r="D29" i="87"/>
  <c r="N30" i="174"/>
  <c r="AS28" i="86" l="1"/>
  <c r="AX28" i="86"/>
  <c r="F23" i="174"/>
  <c r="F29" i="174" s="1"/>
  <c r="I21" i="174"/>
  <c r="C14" i="87"/>
  <c r="E29" i="174"/>
  <c r="E30" i="174" s="1"/>
  <c r="I23" i="174" l="1"/>
  <c r="I29" i="174" s="1"/>
  <c r="I30" i="174" s="1"/>
  <c r="J21" i="174"/>
  <c r="C19" i="87"/>
  <c r="E19" i="87" s="1"/>
  <c r="E14" i="87"/>
  <c r="E27" i="87" s="1"/>
  <c r="C27" i="87" l="1"/>
  <c r="I31" i="174"/>
  <c r="AD19" i="86"/>
  <c r="AR19" i="86" s="1"/>
  <c r="AD26" i="86"/>
  <c r="AR26" i="86" s="1"/>
  <c r="C29" i="87" l="1"/>
  <c r="AD30" i="86"/>
  <c r="AD21" i="86"/>
  <c r="E29" i="87"/>
  <c r="E31" i="166" l="1"/>
  <c r="AS19" i="86"/>
  <c r="AU19" i="86"/>
  <c r="E32" i="87"/>
  <c r="E33" i="166"/>
  <c r="AU26" i="86"/>
  <c r="AS26" i="86"/>
  <c r="E35" i="166" l="1"/>
  <c r="E36" i="166" s="1"/>
  <c r="AV26" i="86"/>
  <c r="AV19" i="86"/>
  <c r="C29" i="192" s="1"/>
  <c r="E33" i="87"/>
  <c r="E34" i="87" s="1"/>
  <c r="D29" i="192" l="1"/>
  <c r="G29" i="192"/>
  <c r="G36" i="192" s="1"/>
  <c r="AX26" i="86"/>
  <c r="AD45" i="86"/>
  <c r="AX19" i="86"/>
  <c r="G38" i="192" l="1"/>
  <c r="G43" i="192" s="1"/>
  <c r="G42" i="192"/>
  <c r="AD47" i="86"/>
  <c r="AD49" i="86" s="1"/>
  <c r="AM40" i="196" l="1"/>
  <c r="P40" i="196"/>
  <c r="M40" i="196"/>
  <c r="T40" i="196" l="1"/>
  <c r="O19" i="87"/>
  <c r="O17" i="87"/>
  <c r="AF57" i="86" l="1"/>
  <c r="C7" i="183"/>
  <c r="CG20" i="126" l="1"/>
  <c r="CH21" i="126" s="1"/>
  <c r="CG15" i="126" l="1"/>
  <c r="CH16" i="126" s="1"/>
  <c r="CH31" i="126"/>
  <c r="CG25" i="126"/>
  <c r="CH26" i="126" s="1"/>
  <c r="CH29" i="126" l="1"/>
  <c r="CH30" i="126" s="1"/>
  <c r="CH32" i="126" s="1"/>
  <c r="CH34" i="126" l="1"/>
  <c r="T45" i="86" s="1"/>
  <c r="T38" i="86"/>
  <c r="T47" i="86" l="1"/>
  <c r="T49" i="86" s="1"/>
  <c r="CH35" i="126"/>
  <c r="P26" i="196" l="1"/>
  <c r="T26" i="196" s="1"/>
  <c r="M26" i="196"/>
  <c r="AS14" i="87" l="1"/>
  <c r="AS17" i="87"/>
  <c r="AS30" i="87" l="1"/>
  <c r="AR19" i="87" l="1"/>
  <c r="AS15" i="87" l="1"/>
  <c r="AS22" i="87" l="1"/>
  <c r="B9" i="183" l="1"/>
  <c r="AL56" i="86"/>
  <c r="CU15" i="126" l="1"/>
  <c r="CW19" i="126" l="1"/>
  <c r="CV21" i="126" l="1"/>
  <c r="CW20" i="126"/>
  <c r="CW21" i="126" s="1"/>
  <c r="CV15" i="126"/>
  <c r="CW14" i="126"/>
  <c r="CW15" i="126" s="1"/>
  <c r="W35" i="86" l="1"/>
  <c r="CW23" i="126"/>
  <c r="CW25" i="126" l="1"/>
  <c r="W45" i="86" s="1"/>
  <c r="CW27" i="126" l="1"/>
  <c r="W47" i="86"/>
  <c r="W49" i="86" s="1"/>
  <c r="AM29" i="196" l="1"/>
  <c r="P29" i="196"/>
  <c r="T29" i="196" s="1"/>
  <c r="M29" i="196"/>
  <c r="BQ15" i="126" l="1"/>
  <c r="BS14" i="126"/>
  <c r="BS13" i="126" l="1"/>
  <c r="BS15" i="126" s="1"/>
  <c r="BR15" i="126"/>
  <c r="BS17" i="126" l="1"/>
  <c r="Q38" i="86"/>
  <c r="BS19" i="126" l="1"/>
  <c r="Q45" i="86" s="1"/>
  <c r="Q47" i="86" l="1"/>
  <c r="Q49" i="86" s="1"/>
  <c r="BS20" i="126"/>
  <c r="P23" i="196" l="1"/>
  <c r="T23" i="196" s="1"/>
  <c r="M23" i="196"/>
  <c r="G36" i="21" l="1"/>
  <c r="CM16" i="126" l="1"/>
  <c r="CM18" i="126" s="1"/>
  <c r="CM20" i="126" s="1"/>
  <c r="CM22" i="126" l="1"/>
  <c r="U45" i="86" s="1"/>
  <c r="U38" i="86"/>
  <c r="CM24" i="126" l="1"/>
  <c r="U47" i="86"/>
  <c r="U49" i="86" s="1"/>
  <c r="AM27" i="196" l="1"/>
  <c r="P27" i="196"/>
  <c r="T27" i="196" s="1"/>
  <c r="M27" i="196"/>
  <c r="O18" i="87" l="1"/>
  <c r="M20" i="87"/>
  <c r="AF59" i="86" l="1"/>
  <c r="H7" i="183"/>
  <c r="I7" i="183" s="1"/>
  <c r="O20" i="87"/>
  <c r="AF51" i="86" s="1"/>
  <c r="AF62" i="86" l="1"/>
  <c r="AF64" i="86" l="1"/>
  <c r="AE64" i="86" s="1"/>
  <c r="AD13" i="126" l="1"/>
  <c r="AD27" i="126" l="1"/>
  <c r="AB28" i="126"/>
  <c r="G38" i="21" l="1"/>
  <c r="H6" i="183" l="1"/>
  <c r="I6" i="183" l="1"/>
  <c r="AD26" i="126" l="1"/>
  <c r="AC28" i="126"/>
  <c r="AD28" i="126" l="1"/>
  <c r="AD19" i="126" l="1"/>
  <c r="AC21" i="126"/>
  <c r="I40" i="86"/>
  <c r="AR40" i="86" s="1"/>
  <c r="AU40" i="86" l="1"/>
  <c r="D32" i="126" l="1"/>
  <c r="D20" i="86" s="1"/>
  <c r="AR20" i="86" s="1"/>
  <c r="D23" i="126"/>
  <c r="D17" i="86" s="1"/>
  <c r="AR17" i="86" s="1"/>
  <c r="E33" i="126" l="1"/>
  <c r="D41" i="126" s="1"/>
  <c r="D21" i="86"/>
  <c r="AS20" i="86"/>
  <c r="AU20" i="86"/>
  <c r="AV20" i="86" s="1"/>
  <c r="AR21" i="86" l="1"/>
  <c r="AS21" i="86" s="1"/>
  <c r="D38" i="86"/>
  <c r="D42" i="126"/>
  <c r="D40" i="126"/>
  <c r="AU17" i="86"/>
  <c r="AS17" i="86"/>
  <c r="AX20" i="86"/>
  <c r="E44" i="126" l="1"/>
  <c r="E46" i="126" s="1"/>
  <c r="E48" i="126" s="1"/>
  <c r="D45" i="86" s="1"/>
  <c r="D44" i="86"/>
  <c r="D35" i="86"/>
  <c r="AV17" i="86"/>
  <c r="AU21" i="86"/>
  <c r="E49" i="126" l="1"/>
  <c r="D47" i="86"/>
  <c r="D49" i="86" s="1"/>
  <c r="AV21" i="86"/>
  <c r="AM10" i="196" l="1"/>
  <c r="P10" i="196"/>
  <c r="T10" i="196" s="1"/>
  <c r="M10" i="196"/>
  <c r="AI62" i="86" l="1"/>
  <c r="AI51" i="86" l="1"/>
  <c r="AU58" i="86"/>
  <c r="AI64" i="86" l="1"/>
  <c r="G42" i="21" l="1"/>
  <c r="I8" i="183" l="1"/>
  <c r="C58" i="86" l="1"/>
  <c r="AS58" i="86" l="1"/>
  <c r="AT58" i="86"/>
  <c r="AV58" i="86" s="1"/>
  <c r="AX58" i="86" l="1"/>
  <c r="C60" i="86" l="1"/>
  <c r="AT60" i="86" l="1"/>
  <c r="AV60" i="86" s="1"/>
  <c r="AS60" i="86"/>
  <c r="AX60" i="86" l="1"/>
  <c r="C61" i="86" l="1"/>
  <c r="AT61" i="86" l="1"/>
  <c r="AV61" i="86" s="1"/>
  <c r="AS61" i="86"/>
  <c r="C56" i="86"/>
  <c r="C59" i="86"/>
  <c r="C57" i="86" l="1"/>
  <c r="C62" i="86" s="1"/>
  <c r="K7" i="196" s="1"/>
  <c r="AT59" i="86"/>
  <c r="AX61" i="86"/>
  <c r="AT56" i="86"/>
  <c r="K37" i="196" l="1"/>
  <c r="R7" i="196"/>
  <c r="AT57" i="86"/>
  <c r="C51" i="86"/>
  <c r="AT51" i="86" l="1"/>
  <c r="C64" i="86"/>
  <c r="AT62" i="86"/>
  <c r="AT64" i="86" l="1"/>
  <c r="AG23" i="87" l="1"/>
  <c r="AG24" i="87" l="1"/>
  <c r="AI23" i="87"/>
  <c r="AG18" i="87"/>
  <c r="AI18" i="87" s="1"/>
  <c r="AG16" i="87"/>
  <c r="AI16" i="87" l="1"/>
  <c r="AG19" i="87"/>
  <c r="AH22" i="87" l="1"/>
  <c r="AH24" i="87" l="1"/>
  <c r="AI22" i="87"/>
  <c r="AH15" i="87"/>
  <c r="AI15" i="87" l="1"/>
  <c r="AI24" i="87"/>
  <c r="AJ39" i="86"/>
  <c r="AI28" i="87" l="1"/>
  <c r="AJ45" i="86" s="1"/>
  <c r="AJ47" i="86" s="1"/>
  <c r="AJ49" i="86" s="1"/>
  <c r="AM46" i="196" s="1"/>
  <c r="AJ57" i="86"/>
  <c r="AI29" i="87" l="1"/>
  <c r="AH17" i="87" l="1"/>
  <c r="AI17" i="87" l="1"/>
  <c r="AH19" i="87"/>
  <c r="AJ59" i="86" l="1"/>
  <c r="AI19" i="87"/>
  <c r="AJ62" i="86" l="1"/>
  <c r="AJ51" i="86" l="1"/>
  <c r="AJ64" i="86" l="1"/>
  <c r="AQ31" i="87" l="1"/>
  <c r="AS31" i="87" l="1"/>
  <c r="AQ16" i="87"/>
  <c r="AS16" i="87" l="1"/>
  <c r="AQ18" i="87"/>
  <c r="AS18" i="87" s="1"/>
  <c r="AQ19" i="87" l="1"/>
  <c r="AS19" i="87"/>
  <c r="AQ33" i="87" l="1"/>
  <c r="AS33" i="87" l="1"/>
  <c r="AQ34" i="87"/>
  <c r="AQ24" i="87"/>
  <c r="AS24" i="87" l="1"/>
  <c r="AQ27" i="87" l="1"/>
  <c r="AR32" i="87"/>
  <c r="AS32" i="87" l="1"/>
  <c r="AS34" i="87" s="1"/>
  <c r="AR34" i="87"/>
  <c r="AS38" i="87" l="1"/>
  <c r="AL45" i="86" s="1"/>
  <c r="F39" i="21"/>
  <c r="AL39" i="86"/>
  <c r="AR23" i="87"/>
  <c r="AS39" i="87" l="1"/>
  <c r="G39" i="21"/>
  <c r="G45" i="21" s="1"/>
  <c r="F45" i="21"/>
  <c r="AS23" i="87"/>
  <c r="AL47" i="86"/>
  <c r="AL49" i="86" s="1"/>
  <c r="AM48" i="196" s="1"/>
  <c r="F56" i="21" l="1"/>
  <c r="BK25" i="87"/>
  <c r="G60" i="21"/>
  <c r="BM25" i="87" s="1"/>
  <c r="BM28" i="87" s="1"/>
  <c r="G56" i="21"/>
  <c r="C9" i="183"/>
  <c r="AL57" i="86"/>
  <c r="C13" i="183" l="1"/>
  <c r="BK56" i="87" s="1"/>
  <c r="BK28" i="87"/>
  <c r="BL25" i="87"/>
  <c r="BL28" i="87" l="1"/>
  <c r="AP39" i="86"/>
  <c r="BL56" i="87"/>
  <c r="BM56" i="87" s="1"/>
  <c r="AP57" i="86" l="1"/>
  <c r="C32" i="192"/>
  <c r="F32" i="192" l="1"/>
  <c r="D32" i="192"/>
  <c r="AR25" i="87" l="1"/>
  <c r="AS25" i="87" l="1"/>
  <c r="AR27" i="87"/>
  <c r="H9" i="183" l="1"/>
  <c r="AL59" i="86"/>
  <c r="AS27" i="87"/>
  <c r="AL62" i="86" l="1"/>
  <c r="H13" i="183"/>
  <c r="BK67" i="87" s="1"/>
  <c r="I9" i="183"/>
  <c r="BL67" i="87" l="1"/>
  <c r="AL51" i="86"/>
  <c r="AL64" i="86" l="1"/>
  <c r="BM67" i="87"/>
  <c r="I18" i="183" l="1"/>
  <c r="BK68" i="87" s="1"/>
  <c r="BL68" i="87" l="1"/>
  <c r="BL71" i="87" s="1"/>
  <c r="AP59" i="86" s="1"/>
  <c r="BK71" i="87"/>
  <c r="BM68" i="87" l="1"/>
  <c r="BM71" i="87" s="1"/>
  <c r="B5" i="183" l="1"/>
  <c r="I5" i="183" l="1"/>
  <c r="I13" i="183" s="1"/>
  <c r="I19" i="183" s="1"/>
  <c r="B13" i="183"/>
  <c r="BK55" i="87" s="1"/>
  <c r="BL55" i="87" l="1"/>
  <c r="BL63" i="87" s="1"/>
  <c r="BL73" i="87" s="1"/>
  <c r="BL96" i="87" s="1"/>
  <c r="AP51" i="86" s="1"/>
  <c r="BK63" i="87"/>
  <c r="BK73" i="87" s="1"/>
  <c r="I21" i="183" s="1"/>
  <c r="BM55" i="87" l="1"/>
  <c r="BM63" i="87" s="1"/>
  <c r="BM73" i="87" s="1"/>
  <c r="C7" i="192" s="1"/>
  <c r="AP56" i="86"/>
  <c r="AP62" i="86" s="1"/>
  <c r="AP64" i="86" l="1"/>
  <c r="AA52" i="196"/>
  <c r="C16" i="192"/>
  <c r="C8" i="192"/>
  <c r="R52" i="196" l="1"/>
  <c r="F16" i="192"/>
  <c r="D16" i="192"/>
  <c r="CZ26" i="126" l="1"/>
  <c r="CZ17" i="126"/>
  <c r="CZ20" i="126"/>
  <c r="CZ21" i="126" l="1"/>
  <c r="DB21" i="126" s="1"/>
  <c r="CZ15" i="126"/>
  <c r="CZ18" i="126"/>
  <c r="DB18" i="126" s="1"/>
  <c r="CZ25" i="126"/>
  <c r="CZ27" i="126"/>
  <c r="DB27" i="126" s="1"/>
  <c r="DA26" i="126" l="1"/>
  <c r="DA17" i="126"/>
  <c r="DB17" i="126" s="1"/>
  <c r="DA15" i="126"/>
  <c r="CZ16" i="126"/>
  <c r="DB16" i="126" s="1"/>
  <c r="DB25" i="126"/>
  <c r="DB15" i="126" l="1"/>
  <c r="DA20" i="126"/>
  <c r="DB20" i="126" s="1"/>
  <c r="X59" i="86" s="1"/>
  <c r="X38" i="86"/>
  <c r="DA30" i="126"/>
  <c r="DB26" i="126"/>
  <c r="CZ19" i="126"/>
  <c r="DB19" i="126" s="1"/>
  <c r="X57" i="86" s="1"/>
  <c r="CZ28" i="126"/>
  <c r="CZ22" i="126" l="1"/>
  <c r="DB28" i="126"/>
  <c r="DB30" i="126" s="1"/>
  <c r="CZ30" i="126"/>
  <c r="DA22" i="126"/>
  <c r="X56" i="86"/>
  <c r="DB22" i="126"/>
  <c r="X39" i="86"/>
  <c r="X62" i="86" l="1"/>
  <c r="DB32" i="126"/>
  <c r="X45" i="86" s="1"/>
  <c r="X47" i="86" s="1"/>
  <c r="X49" i="86" s="1"/>
  <c r="M30" i="196" l="1"/>
  <c r="P30" i="196"/>
  <c r="AM30" i="196" s="1"/>
  <c r="R30" i="196"/>
  <c r="DB34" i="126"/>
  <c r="X51" i="86"/>
  <c r="T30" i="196" l="1"/>
  <c r="K56" i="196"/>
  <c r="AJ16" i="196" s="1"/>
  <c r="AJ18" i="196" s="1"/>
  <c r="X64" i="86"/>
  <c r="BI18" i="126" l="1"/>
  <c r="BI19" i="126" s="1"/>
  <c r="BJ19" i="126" s="1"/>
  <c r="BJ28" i="126" s="1"/>
  <c r="C21" i="21"/>
  <c r="G21" i="21" s="1"/>
  <c r="C26" i="21"/>
  <c r="F26" i="21" s="1"/>
  <c r="H26" i="21" s="1"/>
  <c r="BK20" i="87" s="1"/>
  <c r="BL20" i="87" s="1"/>
  <c r="BM20" i="87" s="1"/>
  <c r="C20" i="21"/>
  <c r="G20" i="21" s="1"/>
  <c r="C25" i="21"/>
  <c r="C19" i="21"/>
  <c r="C24" i="21"/>
  <c r="CA24" i="126" l="1"/>
  <c r="O38" i="86"/>
  <c r="BJ30" i="126"/>
  <c r="O45" i="86" s="1"/>
  <c r="BJ31" i="126" l="1"/>
  <c r="O47" i="86"/>
  <c r="O49" i="86" s="1"/>
  <c r="DE13" i="126"/>
  <c r="DE15" i="126" s="1"/>
  <c r="AU24" i="126"/>
  <c r="P21" i="196" l="1"/>
  <c r="T21" i="196" s="1"/>
  <c r="M21" i="196"/>
  <c r="DF13" i="126"/>
  <c r="CB17" i="126" l="1"/>
  <c r="CC17" i="126" s="1"/>
  <c r="S34" i="86" s="1"/>
  <c r="DG13" i="126"/>
  <c r="DF15" i="126"/>
  <c r="CB20" i="126"/>
  <c r="CC20" i="126" s="1"/>
  <c r="CB18" i="126"/>
  <c r="CC18" i="126" s="1"/>
  <c r="S35" i="86" s="1"/>
  <c r="CB19" i="126"/>
  <c r="CC19" i="126" s="1"/>
  <c r="CB16" i="126"/>
  <c r="CC16" i="126" s="1"/>
  <c r="S33" i="86" s="1"/>
  <c r="CB15" i="126"/>
  <c r="CC15" i="126" s="1"/>
  <c r="CA21" i="126"/>
  <c r="CA22" i="126" s="1"/>
  <c r="CA25" i="126" s="1"/>
  <c r="CB21" i="126"/>
  <c r="S36" i="86" l="1"/>
  <c r="CC21" i="126"/>
  <c r="S38" i="86" s="1"/>
  <c r="DG15" i="126"/>
  <c r="DG17" i="126" s="1"/>
  <c r="Y44" i="86"/>
  <c r="S32" i="86"/>
  <c r="G14" i="21"/>
  <c r="AU16" i="126"/>
  <c r="AU19" i="126"/>
  <c r="AU17" i="126"/>
  <c r="AU21" i="126"/>
  <c r="AU18" i="126"/>
  <c r="AU15" i="126"/>
  <c r="AU20" i="126"/>
  <c r="DG18" i="126" l="1"/>
  <c r="Y45" i="86" s="1"/>
  <c r="Y47" i="86" s="1"/>
  <c r="Y49" i="86" s="1"/>
  <c r="CB14" i="126"/>
  <c r="AM31" i="196" l="1"/>
  <c r="P31" i="196"/>
  <c r="T31" i="196" s="1"/>
  <c r="M31" i="196"/>
  <c r="CB22" i="126"/>
  <c r="CC14" i="126"/>
  <c r="DG19" i="126"/>
  <c r="G13" i="21" l="1"/>
  <c r="S27" i="86"/>
  <c r="S30" i="86" s="1"/>
  <c r="CC22" i="126"/>
  <c r="AU14" i="126" l="1"/>
  <c r="AU22" i="126" s="1"/>
  <c r="H14" i="21"/>
  <c r="AV21" i="126" l="1"/>
  <c r="AW21" i="126" s="1"/>
  <c r="L38" i="86" s="1"/>
  <c r="AV17" i="126"/>
  <c r="AW17" i="126" s="1"/>
  <c r="L34" i="86" s="1"/>
  <c r="AR34" i="86" s="1"/>
  <c r="AV20" i="126"/>
  <c r="AW20" i="126" s="1"/>
  <c r="AV15" i="126"/>
  <c r="AW15" i="126" s="1"/>
  <c r="AV18" i="126"/>
  <c r="AW18" i="126" s="1"/>
  <c r="L35" i="86" s="1"/>
  <c r="AR35" i="86" s="1"/>
  <c r="AV19" i="126"/>
  <c r="AW19" i="126" s="1"/>
  <c r="AV16" i="126"/>
  <c r="AW16" i="126" s="1"/>
  <c r="L33" i="86" s="1"/>
  <c r="AR33" i="86" s="1"/>
  <c r="CC24" i="126"/>
  <c r="L36" i="86" l="1"/>
  <c r="S44" i="86"/>
  <c r="G24" i="21"/>
  <c r="CC25" i="126"/>
  <c r="CC27" i="126" s="1"/>
  <c r="AU34" i="86"/>
  <c r="AV34" i="86" s="1"/>
  <c r="AX34" i="86" s="1"/>
  <c r="AS34" i="86"/>
  <c r="AU35" i="86"/>
  <c r="AU33" i="86"/>
  <c r="AS33" i="86"/>
  <c r="L32" i="86"/>
  <c r="G16" i="21"/>
  <c r="BK18" i="87" s="1"/>
  <c r="BL18" i="87" s="1"/>
  <c r="CB24" i="126"/>
  <c r="CB25" i="126" s="1"/>
  <c r="AV33" i="86" l="1"/>
  <c r="AX33" i="86" s="1"/>
  <c r="AR36" i="86"/>
  <c r="AU36" i="86" s="1"/>
  <c r="BM18" i="87"/>
  <c r="AP32" i="86"/>
  <c r="AR32" i="86" s="1"/>
  <c r="AV14" i="126"/>
  <c r="CC28" i="126"/>
  <c r="S45" i="86" s="1"/>
  <c r="S47" i="86" s="1"/>
  <c r="S49" i="86" s="1"/>
  <c r="P25" i="196" l="1"/>
  <c r="T25" i="196" s="1"/>
  <c r="M25" i="196"/>
  <c r="CC29" i="126"/>
  <c r="AV22" i="126"/>
  <c r="AW14" i="126"/>
  <c r="AU32" i="86"/>
  <c r="AV32" i="86" s="1"/>
  <c r="AS32" i="86"/>
  <c r="AV24" i="126" l="1"/>
  <c r="AW24" i="126" s="1"/>
  <c r="AW22" i="126"/>
  <c r="G15" i="21"/>
  <c r="L27" i="86"/>
  <c r="C28" i="192"/>
  <c r="AX32" i="86"/>
  <c r="G25" i="21" l="1"/>
  <c r="H25" i="21" s="1"/>
  <c r="BK32" i="87" s="1"/>
  <c r="L44" i="86"/>
  <c r="F28" i="192"/>
  <c r="D28" i="192"/>
  <c r="L30" i="86"/>
  <c r="AV25" i="126"/>
  <c r="AU25" i="126" s="1"/>
  <c r="H16" i="21"/>
  <c r="BK17" i="87"/>
  <c r="AW25" i="126"/>
  <c r="AW27" i="126" s="1"/>
  <c r="BL17" i="87" l="1"/>
  <c r="AW29" i="126"/>
  <c r="L45" i="86" s="1"/>
  <c r="L47" i="86" s="1"/>
  <c r="L49" i="86" s="1"/>
  <c r="BL32" i="87"/>
  <c r="C23" i="192" s="1"/>
  <c r="BK33" i="87"/>
  <c r="P18" i="196" l="1"/>
  <c r="T18" i="196" s="1"/>
  <c r="M18" i="196"/>
  <c r="AP27" i="86"/>
  <c r="AR27" i="86" s="1"/>
  <c r="BM17" i="87"/>
  <c r="C19" i="192"/>
  <c r="D23" i="192"/>
  <c r="F23" i="192"/>
  <c r="BM32" i="87"/>
  <c r="BM33" i="87" s="1"/>
  <c r="BL33" i="87"/>
  <c r="AP44" i="86"/>
  <c r="AR44" i="86" s="1"/>
  <c r="AW30" i="126"/>
  <c r="AU44" i="86" l="1"/>
  <c r="AP30" i="86"/>
  <c r="AR30" i="86" s="1"/>
  <c r="F19" i="192"/>
  <c r="D19" i="192"/>
  <c r="AU27" i="86" l="1"/>
  <c r="AS27" i="86"/>
  <c r="AS30" i="86" l="1"/>
  <c r="AU30" i="86"/>
  <c r="AV27" i="86"/>
  <c r="AV30" i="86" l="1"/>
  <c r="AX27" i="86"/>
  <c r="AX30" i="86" s="1"/>
  <c r="C36" i="86" l="1"/>
  <c r="AT36" i="86" l="1"/>
  <c r="AV36" i="86" s="1"/>
  <c r="AX36" i="86" s="1"/>
  <c r="AS36" i="86"/>
  <c r="M14" i="196" l="1"/>
  <c r="C44" i="86" l="1"/>
  <c r="AT44" i="86" l="1"/>
  <c r="AV44" i="86" s="1"/>
  <c r="AS44" i="86"/>
  <c r="C38" i="86"/>
  <c r="C42" i="86"/>
  <c r="AT38" i="86" l="1"/>
  <c r="AT42" i="86"/>
  <c r="AV42" i="86" s="1"/>
  <c r="AX42" i="86" s="1"/>
  <c r="AS42" i="86"/>
  <c r="C40" i="86"/>
  <c r="AT40" i="86" l="1"/>
  <c r="AV40" i="86" s="1"/>
  <c r="AX40" i="86" s="1"/>
  <c r="AS40" i="86"/>
  <c r="C39" i="86"/>
  <c r="AT39" i="86" l="1"/>
  <c r="C35" i="86" l="1"/>
  <c r="AT35" i="86" l="1"/>
  <c r="C47" i="86"/>
  <c r="C49" i="86" s="1"/>
  <c r="I7" i="196" s="1"/>
  <c r="I37" i="196" s="1"/>
  <c r="AS35" i="86"/>
  <c r="P7" i="196" l="1"/>
  <c r="M7" i="196"/>
  <c r="M37" i="196" s="1"/>
  <c r="C53" i="86"/>
  <c r="AT47" i="86"/>
  <c r="AT49" i="86" s="1"/>
  <c r="AT53" i="86" s="1"/>
  <c r="AV35" i="86"/>
  <c r="T7" i="196" l="1"/>
  <c r="U13" i="126"/>
  <c r="U15" i="126" s="1"/>
  <c r="U16" i="126" s="1"/>
  <c r="U30" i="126" l="1"/>
  <c r="U21" i="126"/>
  <c r="G45" i="86" l="1"/>
  <c r="U32" i="126"/>
  <c r="G47" i="86" l="1"/>
  <c r="G49" i="86" s="1"/>
  <c r="AM13" i="196" s="1"/>
  <c r="M52" i="196" l="1"/>
  <c r="I56" i="196" l="1"/>
  <c r="M56" i="196" l="1"/>
  <c r="AM16" i="196"/>
  <c r="AM21" i="196"/>
  <c r="AM20" i="196"/>
  <c r="AM18" i="196"/>
  <c r="AM19" i="196"/>
  <c r="AM23" i="196"/>
  <c r="AM26" i="196"/>
  <c r="AM25" i="196"/>
  <c r="AM22" i="196"/>
  <c r="M58" i="196" l="1"/>
  <c r="AJ20" i="196"/>
  <c r="R51" i="196"/>
  <c r="T51" i="196" s="1"/>
  <c r="AC51" i="196"/>
  <c r="BW13" i="126" l="1"/>
  <c r="BV13" i="126"/>
  <c r="BV15" i="126" s="1"/>
  <c r="BW15" i="126" l="1"/>
  <c r="BX13" i="126"/>
  <c r="W24" i="196"/>
  <c r="Y24" i="196" l="1"/>
  <c r="G19" i="21"/>
  <c r="H21" i="21" s="1"/>
  <c r="BK19" i="87" s="1"/>
  <c r="BX15" i="126"/>
  <c r="BK22" i="87" l="1"/>
  <c r="BL19" i="87"/>
  <c r="P24" i="196"/>
  <c r="AC24" i="196"/>
  <c r="BX17" i="126"/>
  <c r="R45" i="86" s="1"/>
  <c r="R38" i="86"/>
  <c r="R47" i="86" s="1"/>
  <c r="R49" i="86" s="1"/>
  <c r="BX18" i="126" l="1"/>
  <c r="T24" i="196"/>
  <c r="AM24" i="196"/>
  <c r="C20" i="192"/>
  <c r="BM19" i="87"/>
  <c r="BM22" i="87" s="1"/>
  <c r="BM49" i="87" s="1"/>
  <c r="AP45" i="86" s="1"/>
  <c r="AP38" i="86"/>
  <c r="BL22" i="87"/>
  <c r="BL49" i="87" s="1"/>
  <c r="BM50" i="87" l="1"/>
  <c r="AR38" i="86"/>
  <c r="AP47" i="86"/>
  <c r="AP49" i="86" s="1"/>
  <c r="W52" i="196" s="1"/>
  <c r="C36" i="192"/>
  <c r="C38" i="192" s="1"/>
  <c r="D20" i="192"/>
  <c r="D36" i="192" s="1"/>
  <c r="D38" i="192" s="1"/>
  <c r="F20" i="192"/>
  <c r="F36" i="192" s="1"/>
  <c r="F42" i="192" l="1"/>
  <c r="D42" i="192" s="1"/>
  <c r="F38" i="192"/>
  <c r="F43" i="192" s="1"/>
  <c r="D43" i="192" s="1"/>
  <c r="AU38" i="86"/>
  <c r="AS38" i="86"/>
  <c r="Y52" i="196"/>
  <c r="AC52" i="196" l="1"/>
  <c r="P52" i="196"/>
  <c r="AM52" i="196" s="1"/>
  <c r="AV38" i="86"/>
  <c r="T52" i="196" l="1"/>
  <c r="AB15" i="126" l="1"/>
  <c r="AB16" i="126"/>
  <c r="AB30" i="126" l="1"/>
  <c r="AC15" i="126"/>
  <c r="AD15" i="126" s="1"/>
  <c r="AC30" i="126" l="1"/>
  <c r="AD30" i="126" s="1"/>
  <c r="AC16" i="126"/>
  <c r="AD16" i="126" s="1"/>
  <c r="AB14" i="126"/>
  <c r="AB17" i="126" s="1"/>
  <c r="AB20" i="126" l="1"/>
  <c r="AB21" i="126" l="1"/>
  <c r="AB23" i="126" s="1"/>
  <c r="AD20" i="126"/>
  <c r="AD21" i="126" s="1"/>
  <c r="AC14" i="126"/>
  <c r="AC17" i="126" l="1"/>
  <c r="AC23" i="126" s="1"/>
  <c r="AD14" i="126"/>
  <c r="AD17" i="126" s="1"/>
  <c r="AD23" i="126" s="1"/>
  <c r="I39" i="86" l="1"/>
  <c r="AR39" i="86" s="1"/>
  <c r="AD33" i="126"/>
  <c r="AD39" i="126" l="1"/>
  <c r="AD34" i="126"/>
  <c r="I45" i="86" s="1"/>
  <c r="I47" i="86" s="1"/>
  <c r="I49" i="86" s="1"/>
  <c r="AM15" i="196" s="1"/>
  <c r="AU39" i="86"/>
  <c r="AS39" i="86"/>
  <c r="AD35" i="126" l="1"/>
  <c r="AV39" i="86"/>
  <c r="AX39" i="86" s="1"/>
  <c r="I57" i="86"/>
  <c r="AR57" i="86" l="1"/>
  <c r="AS57" i="86" l="1"/>
  <c r="AU57" i="86"/>
  <c r="AV57" i="86" s="1"/>
  <c r="AX57" i="86" s="1"/>
  <c r="AD40" i="126" l="1"/>
  <c r="I59" i="86" l="1"/>
  <c r="AD42" i="126"/>
  <c r="AA15" i="196" s="1"/>
  <c r="R15" i="196" l="1"/>
  <c r="AC15" i="196"/>
  <c r="AR59" i="86"/>
  <c r="I62" i="86"/>
  <c r="I51" i="86" l="1"/>
  <c r="I64" i="86" s="1"/>
  <c r="AU59" i="86"/>
  <c r="AV59" i="86" s="1"/>
  <c r="AX59" i="86" s="1"/>
  <c r="AS59" i="86"/>
  <c r="T15" i="196"/>
  <c r="DT14" i="126" l="1"/>
  <c r="DV14" i="126" s="1"/>
  <c r="AA34" i="196" l="1"/>
  <c r="AB56" i="86"/>
  <c r="AB62" i="86" l="1"/>
  <c r="AC34" i="196"/>
  <c r="R34" i="196"/>
  <c r="T34" i="196" l="1"/>
  <c r="AB51" i="86"/>
  <c r="AB64" i="86" l="1"/>
  <c r="AM34" i="196" l="1"/>
  <c r="AM42" i="196"/>
  <c r="AM53" i="196"/>
  <c r="AM49" i="196"/>
  <c r="AM41" i="196"/>
  <c r="AM51" i="196"/>
  <c r="AM28" i="196"/>
  <c r="AM33" i="196"/>
  <c r="AM32" i="196"/>
  <c r="AM43" i="196"/>
  <c r="AM45" i="196"/>
  <c r="DK16" i="126"/>
  <c r="DK17" i="126"/>
  <c r="DK18" i="126"/>
  <c r="DK19" i="126"/>
  <c r="DK20" i="126"/>
  <c r="DK21" i="126"/>
  <c r="DK22" i="126"/>
  <c r="DK23" i="126"/>
  <c r="DK24" i="126"/>
  <c r="DK25" i="126"/>
  <c r="DJ26" i="126"/>
  <c r="DK27" i="126"/>
  <c r="DK15" i="126"/>
  <c r="DJ14" i="126" l="1"/>
  <c r="DL30" i="126" s="1"/>
  <c r="AA32" i="196" l="1"/>
  <c r="Z56" i="86"/>
  <c r="R32" i="196" l="1"/>
  <c r="AC32" i="196"/>
  <c r="Z62" i="86"/>
  <c r="AR56" i="86"/>
  <c r="AS56" i="86" l="1"/>
  <c r="AS62" i="86" s="1"/>
  <c r="AU56" i="86"/>
  <c r="T32" i="196"/>
  <c r="Z51" i="86"/>
  <c r="AR51" i="86" s="1"/>
  <c r="AR62" i="86"/>
  <c r="AS51" i="86" l="1"/>
  <c r="AV51" i="86" s="1"/>
  <c r="AU51" i="86"/>
  <c r="AV56" i="86"/>
  <c r="AU62" i="86"/>
  <c r="AU64" i="86" s="1"/>
  <c r="Z64" i="86"/>
  <c r="AR64" i="86"/>
  <c r="AS64" i="86" l="1"/>
  <c r="AX51" i="86"/>
  <c r="X13" i="126" s="1"/>
  <c r="X15" i="126" s="1"/>
  <c r="Y18" i="126" s="1"/>
  <c r="Y20" i="126" s="1"/>
  <c r="Y22" i="126" s="1"/>
  <c r="C13" i="127"/>
  <c r="C16" i="127" s="1"/>
  <c r="AX56" i="86"/>
  <c r="AX62" i="86" s="1"/>
  <c r="AV62" i="86"/>
  <c r="AV64" i="86" s="1"/>
  <c r="Y23" i="126" l="1"/>
  <c r="Y14" i="196" s="1"/>
  <c r="H45" i="86"/>
  <c r="P14" i="196" l="1"/>
  <c r="AC14" i="196"/>
  <c r="H47" i="86"/>
  <c r="H49" i="86" s="1"/>
  <c r="AM14" i="196" s="1"/>
  <c r="AR45" i="86"/>
  <c r="AS45" i="86" l="1"/>
  <c r="AS47" i="86" s="1"/>
  <c r="AS49" i="86" s="1"/>
  <c r="AU45" i="86"/>
  <c r="AR47" i="86"/>
  <c r="AR49" i="86" s="1"/>
  <c r="T14" i="196"/>
  <c r="AU47" i="86" l="1"/>
  <c r="AU49" i="86" s="1"/>
  <c r="AV45" i="86"/>
  <c r="AS53" i="86"/>
  <c r="C18" i="127"/>
  <c r="C19" i="127" s="1"/>
  <c r="C22" i="127" s="1"/>
  <c r="AW35" i="86" l="1"/>
  <c r="AW38" i="86"/>
  <c r="AX38" i="86" s="1"/>
  <c r="C25" i="127"/>
  <c r="AW45" i="86"/>
  <c r="AX45" i="86" s="1"/>
  <c r="AW44" i="86"/>
  <c r="AX44" i="86" s="1"/>
  <c r="AV47" i="86"/>
  <c r="AV49" i="86" s="1"/>
  <c r="AV53" i="86" s="1"/>
  <c r="AX35" i="86" l="1"/>
  <c r="AX47" i="86" s="1"/>
  <c r="AW47" i="86"/>
  <c r="AW17" i="86"/>
  <c r="AX17" i="86" l="1"/>
  <c r="AX21" i="86" s="1"/>
  <c r="AX49" i="86" s="1"/>
  <c r="AX53" i="86" s="1"/>
  <c r="AZ17" i="86"/>
  <c r="AW21" i="86"/>
  <c r="AW14" i="86" l="1"/>
  <c r="AW49" i="86"/>
  <c r="AX14" i="86"/>
  <c r="DI16" i="126" l="1"/>
  <c r="DI17" i="126"/>
  <c r="DI18" i="126"/>
  <c r="DI19" i="126"/>
  <c r="DI20" i="126"/>
  <c r="DI21" i="126"/>
  <c r="DI22" i="126"/>
  <c r="DI23" i="126"/>
  <c r="DI24" i="126"/>
  <c r="DI25" i="126"/>
  <c r="DI26" i="126"/>
  <c r="DI27" i="126"/>
  <c r="DI15" i="126"/>
  <c r="AG36" i="196"/>
  <c r="W37" i="196"/>
  <c r="W56" i="196" s="1"/>
  <c r="AA37" i="196"/>
  <c r="AA56" i="196" s="1"/>
  <c r="AA35" i="196"/>
  <c r="R35" i="196" s="1"/>
  <c r="Y35" i="196"/>
  <c r="P35" i="196" s="1"/>
  <c r="Y37" i="196"/>
  <c r="Y56" i="196" s="1"/>
  <c r="R37" i="196" l="1"/>
  <c r="R56" i="196" s="1"/>
  <c r="T35" i="196"/>
  <c r="T37" i="196" s="1"/>
  <c r="P37" i="196"/>
  <c r="P56" i="196" s="1"/>
  <c r="AM35" i="196"/>
  <c r="AN47" i="196"/>
  <c r="AN10" i="196"/>
  <c r="AN46" i="196"/>
  <c r="AN25" i="196"/>
  <c r="AN32" i="196"/>
  <c r="AN48" i="196"/>
  <c r="AN13" i="196"/>
  <c r="AN45" i="196"/>
  <c r="AC56" i="196"/>
  <c r="AN42" i="196"/>
  <c r="AN24" i="196"/>
  <c r="AN41" i="196"/>
  <c r="AN31" i="196"/>
  <c r="AN29" i="196"/>
  <c r="AN11" i="196"/>
  <c r="AN17" i="196"/>
  <c r="AN43" i="196"/>
  <c r="AN44" i="196"/>
  <c r="AN40" i="196"/>
  <c r="AN27" i="196"/>
  <c r="AN30" i="196"/>
  <c r="AN16" i="196"/>
  <c r="AN28" i="196"/>
  <c r="AN19" i="196"/>
  <c r="AN34" i="196"/>
  <c r="AN23" i="196"/>
  <c r="AN22" i="196"/>
  <c r="AN18" i="196"/>
  <c r="AN12" i="196"/>
  <c r="AN21" i="196"/>
  <c r="AN26" i="196"/>
  <c r="AN50" i="196"/>
  <c r="AN15" i="196"/>
  <c r="AN33" i="196"/>
  <c r="AN20" i="196"/>
  <c r="AN49" i="196"/>
  <c r="AN53" i="196"/>
  <c r="AN51" i="196"/>
  <c r="AN35" i="196"/>
  <c r="AC35" i="196"/>
  <c r="AO49" i="196" l="1"/>
  <c r="AP49" i="196" s="1"/>
  <c r="AO15" i="196"/>
  <c r="AP15" i="196" s="1"/>
  <c r="AO32" i="196"/>
  <c r="AP32" i="196" s="1"/>
  <c r="AO11" i="196"/>
  <c r="AO41" i="196"/>
  <c r="AP41" i="196" s="1"/>
  <c r="AO27" i="196"/>
  <c r="AP27" i="196" s="1"/>
  <c r="AO46" i="196"/>
  <c r="AP46" i="196" s="1"/>
  <c r="AO22" i="196"/>
  <c r="AP22" i="196" s="1"/>
  <c r="AO43" i="196"/>
  <c r="AP43" i="196" s="1"/>
  <c r="AO17" i="196"/>
  <c r="AP17" i="196" s="1"/>
  <c r="AO24" i="196"/>
  <c r="AP24" i="196" s="1"/>
  <c r="AO45" i="196"/>
  <c r="AP45" i="196" s="1"/>
  <c r="AO29" i="196"/>
  <c r="AP29" i="196" s="1"/>
  <c r="AO10" i="196"/>
  <c r="AP10" i="196" s="1"/>
  <c r="AO48" i="196"/>
  <c r="AP48" i="196" s="1"/>
  <c r="AO13" i="196"/>
  <c r="AP13" i="196" s="1"/>
  <c r="AO31" i="196"/>
  <c r="AO18" i="196"/>
  <c r="AP18" i="196" s="1"/>
  <c r="AO34" i="196"/>
  <c r="AP34" i="196" s="1"/>
  <c r="AO33" i="196"/>
  <c r="AP33" i="196" s="1"/>
  <c r="AO21" i="196"/>
  <c r="AP21" i="196" s="1"/>
  <c r="AO53" i="196"/>
  <c r="AP53" i="196" s="1"/>
  <c r="AO19" i="196"/>
  <c r="AP19" i="196" s="1"/>
  <c r="AO16" i="196"/>
  <c r="AP16" i="196" s="1"/>
  <c r="AO23" i="196"/>
  <c r="AP23" i="196" s="1"/>
  <c r="AO28" i="196"/>
  <c r="AP28" i="196" s="1"/>
  <c r="AO42" i="196"/>
  <c r="AP42" i="196" s="1"/>
  <c r="AO40" i="196"/>
  <c r="AP40" i="196" s="1"/>
  <c r="AO47" i="196"/>
  <c r="AP47" i="196" s="1"/>
  <c r="AO12" i="196"/>
  <c r="AP12" i="196" s="1"/>
  <c r="AO44" i="196"/>
  <c r="AP44" i="196" s="1"/>
  <c r="AO20" i="196"/>
  <c r="AP20" i="196" s="1"/>
  <c r="AO26" i="196"/>
  <c r="AP26" i="196" s="1"/>
  <c r="AO25" i="196"/>
  <c r="AP25" i="196" s="1"/>
  <c r="AO50" i="196"/>
  <c r="AP50" i="196" s="1"/>
  <c r="AO30" i="196"/>
  <c r="AP30" i="196" s="1"/>
  <c r="AO51" i="196"/>
  <c r="AP51" i="196" s="1"/>
  <c r="AO35" i="196"/>
  <c r="AP35" i="196" s="1"/>
  <c r="AC37" i="196"/>
  <c r="AP11" i="196"/>
  <c r="AP31" i="196"/>
  <c r="T56" i="196"/>
  <c r="T58" i="196" s="1"/>
  <c r="AP55" i="196" l="1"/>
</calcChain>
</file>

<file path=xl/sharedStrings.xml><?xml version="1.0" encoding="utf-8"?>
<sst xmlns="http://schemas.openxmlformats.org/spreadsheetml/2006/main" count="2431" uniqueCount="1285">
  <si>
    <t>OPERATING EXPENSE</t>
  </si>
  <si>
    <t>ACTUAL O&amp;M:</t>
  </si>
  <si>
    <t>NORMAL STORMS</t>
  </si>
  <si>
    <t xml:space="preserve">OPERATIONS </t>
  </si>
  <si>
    <t>TOTAL NORMAL STORMS</t>
  </si>
  <si>
    <t>INCREASE(DECREASE) OPERATING INCOME</t>
  </si>
  <si>
    <t>INCREASE(DECREASE) FIT @</t>
  </si>
  <si>
    <t>CHARGED TO EXPENSE</t>
  </si>
  <si>
    <t>INCREASE (DECREASE) EXPENSES</t>
  </si>
  <si>
    <t>INCREASE (DECREASE) TAXES OTHER</t>
  </si>
  <si>
    <t>SIX-YEAR AVERAGE STORM EXPENSE FOR RATE YEAR</t>
  </si>
  <si>
    <t>INCREASE (DECREASE) IN EXPENSE</t>
  </si>
  <si>
    <t xml:space="preserve">TRANS. EXP. INCL. 500KV O&amp;M </t>
  </si>
  <si>
    <t>INCREASE (DECREASE) FIT @</t>
  </si>
  <si>
    <t>UNCOLLECTIBLES CHARGED TO EXPENSE IN TEST YEAR</t>
  </si>
  <si>
    <t>INCREASE(DECREASE) NOI</t>
  </si>
  <si>
    <t>INCREASE (DECREASE) INCOME</t>
  </si>
  <si>
    <t>TRANSMISSION</t>
  </si>
  <si>
    <t>INCREASE (DECREASE) FIT</t>
  </si>
  <si>
    <t>SUM OF TAXES OTHER</t>
  </si>
  <si>
    <t xml:space="preserve">INCREASE (DECREASE) FIT @ </t>
  </si>
  <si>
    <t>DISTRIBUTION</t>
  </si>
  <si>
    <t>INCREASE (DECREASE) EXPENSE</t>
  </si>
  <si>
    <t>INCREASE(DECREASE) FIT</t>
  </si>
  <si>
    <t>TOTAL RESTATED FIT</t>
  </si>
  <si>
    <t>CUSTOMER ACCTS</t>
  </si>
  <si>
    <t>CUSTOMER SERVICE</t>
  </si>
  <si>
    <t>UNION EMPLOYEES</t>
  </si>
  <si>
    <t>CAPITAL</t>
  </si>
  <si>
    <t>INCREASE (DECREASE) FIT @ 35%</t>
  </si>
  <si>
    <t>NET PRODUCTION PROPERTY</t>
  </si>
  <si>
    <t>INCREASE (DECREASE) SALES TO CUSTOMERS</t>
  </si>
  <si>
    <t>UNCOLLECTIBLES @</t>
  </si>
  <si>
    <t>ANNUAL FILING FEE @</t>
  </si>
  <si>
    <t>STATE UTILITY TAX @</t>
  </si>
  <si>
    <t>GENERAL RATE INCREASE</t>
  </si>
  <si>
    <t>QUALIFIED RETIREMENT FUND</t>
  </si>
  <si>
    <t>PRODUCTION ADJUSTMENT</t>
  </si>
  <si>
    <t>POWER COSTS</t>
  </si>
  <si>
    <t>OPERATING INCOME REQUIREMENT</t>
  </si>
  <si>
    <t>PRO FORMA OPERATING INCOME</t>
  </si>
  <si>
    <t>Colstrip Def Depr FERC Adj. - Reg Asset</t>
  </si>
  <si>
    <t>Total Production Property Depreciation &amp; Amortization</t>
  </si>
  <si>
    <t>Production Factor</t>
  </si>
  <si>
    <t>Easements</t>
  </si>
  <si>
    <t>DEFERRED BALANCES FOR 10 YEAR AMORTIZATION AT</t>
  </si>
  <si>
    <t>Production Property Depreciation (FERC 403):</t>
  </si>
  <si>
    <t>Production Property Amortization (FERC 403):</t>
  </si>
  <si>
    <t>Tax Benefit of Production Adjusted Depreciation (FERC 403)</t>
  </si>
  <si>
    <t>Tax Benefit of Production Adjusted Amortization (FERC 403)</t>
  </si>
  <si>
    <t>WHITE RIVER PLANT COSTS</t>
  </si>
  <si>
    <t>PRO FORMA COST OF CAPITAL</t>
  </si>
  <si>
    <t>PAY</t>
  </si>
  <si>
    <t>INCENTIVE</t>
  </si>
  <si>
    <t>Structures &amp; Improvements</t>
  </si>
  <si>
    <t>TOTAL PROFORMA COSTS (LN 4 + LN 9 + LN 14 + LN 19)</t>
  </si>
  <si>
    <t>Reclass</t>
  </si>
  <si>
    <t>SALES FROM RESALE-FIRM/SPECIAL CONTRACT</t>
  </si>
  <si>
    <t>12/13/06 WIND STORM</t>
  </si>
  <si>
    <t>CUSTOMER ACCTS EXPENSES</t>
  </si>
  <si>
    <t>EXPENSES TO BE NORMALIZED:</t>
  </si>
  <si>
    <t>TOTAL INCREASE (DECREASE) EXPENSE</t>
  </si>
  <si>
    <t>GENERAL RATE CASE</t>
  </si>
  <si>
    <t>Remove</t>
  </si>
  <si>
    <t>Net Before</t>
  </si>
  <si>
    <t>FERC</t>
  </si>
  <si>
    <t>Prod Factor</t>
  </si>
  <si>
    <t>Steam Fuel</t>
  </si>
  <si>
    <t>Purchased Power</t>
  </si>
  <si>
    <t>Other Power Expense</t>
  </si>
  <si>
    <t>Wheeling</t>
  </si>
  <si>
    <t>Subtotal Amortization</t>
  </si>
  <si>
    <t>(PREV. SFAS 133)</t>
  </si>
  <si>
    <t>ACCOUNTING STANDARDS CODIFICATION 815 (FORMERLY SFAS 133)</t>
  </si>
  <si>
    <t>ASC 815</t>
  </si>
  <si>
    <t>Sales for Resale</t>
  </si>
  <si>
    <t>Resources</t>
  </si>
  <si>
    <t>Frederickson</t>
  </si>
  <si>
    <t>Fredonia 1-4</t>
  </si>
  <si>
    <t>Coal Fuel</t>
  </si>
  <si>
    <t>Natural Gas Fuel</t>
  </si>
  <si>
    <t>CONVERSION FACTOR</t>
  </si>
  <si>
    <t>PERCENT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</si>
  <si>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</si>
  <si>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</si>
  <si>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</si>
  <si>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</si>
  <si>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</si>
  <si>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</si>
  <si>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</si>
  <si>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</si>
  <si>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</si>
  <si>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</si>
  <si>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 REVENUE</t>
  </si>
  <si>
    <t>TOTAL</t>
  </si>
  <si>
    <t>RATE YEAR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</si>
  <si>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</si>
  <si>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</si>
  <si>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</si>
  <si>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</si>
  <si>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</si>
  <si>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</si>
  <si>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</si>
  <si>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SALES</t>
  </si>
  <si>
    <t>PLAN</t>
  </si>
  <si>
    <t>DAMAGE</t>
  </si>
  <si>
    <t>EXPENSES</t>
  </si>
  <si>
    <t>RESULTS OF</t>
  </si>
  <si>
    <t>OPERATIONS</t>
  </si>
  <si>
    <t>RATE</t>
  </si>
  <si>
    <t>1</t>
  </si>
  <si>
    <t>-</t>
  </si>
  <si>
    <t>TEMP ADJ</t>
  </si>
  <si>
    <t>MWH</t>
  </si>
  <si>
    <t>ADJ FOR LOSSES</t>
  </si>
  <si>
    <t>OPERATING REVENUES</t>
  </si>
  <si>
    <t>CHANGE</t>
  </si>
  <si>
    <t>PROFORMA BAD DEBT RATE</t>
  </si>
  <si>
    <t>RATE BASE</t>
  </si>
  <si>
    <t>ANNUAL FILING FEE</t>
  </si>
  <si>
    <t>INCREASE (DECREASE) NOI</t>
  </si>
  <si>
    <t>PROFORMA BAD DEBTS</t>
  </si>
  <si>
    <t>PAYROLL TAXES ASSOC WITH MERIT PAY</t>
  </si>
  <si>
    <t>Sumas</t>
  </si>
  <si>
    <t>Goldendale</t>
  </si>
  <si>
    <t>BENEFIT CONTRIBUTION:</t>
  </si>
  <si>
    <t>WAGES:</t>
  </si>
  <si>
    <t>TOTAL WAGES &amp; TAXES</t>
  </si>
  <si>
    <t xml:space="preserve"> RESIDENTIAL EXCHANGE</t>
  </si>
  <si>
    <t>TOTAL COMPANY CONTRIBUTION FOR MANAGEMENT</t>
  </si>
  <si>
    <t>INVESTMENT PLAN APPLICABLE TO MANAGEMENT</t>
  </si>
  <si>
    <t>WILD HORSE</t>
  </si>
  <si>
    <t xml:space="preserve"> SOLAR</t>
  </si>
  <si>
    <t>Purchase &amp; Interchange</t>
  </si>
  <si>
    <t>Other Power Supply</t>
  </si>
  <si>
    <t>Secondary Sales</t>
  </si>
  <si>
    <t>Non-Core Gas</t>
  </si>
  <si>
    <t>OPERATING EXPENSES:</t>
  </si>
  <si>
    <t>(dollars are in thousands)</t>
  </si>
  <si>
    <t>WESTCOAST PIPELINE CAPACITY - UE-100503 (BNP PARIBUS)</t>
  </si>
  <si>
    <t>WESTCOAST PIPELINE CAPACITY - UE-082013 (FB ENERGY)</t>
  </si>
  <si>
    <t xml:space="preserve">DEFERRED BALANCES FOR UE-090704 4 YEAR AMORTIZATION </t>
  </si>
  <si>
    <t>PRO FORMA COSTS APPLICABLE TO OPERATIONS</t>
  </si>
  <si>
    <t>REVENUE</t>
  </si>
  <si>
    <t>PENSION PLAN</t>
  </si>
  <si>
    <t>WAGE INCREASE</t>
  </si>
  <si>
    <t>INVESTMENT PLAN</t>
  </si>
  <si>
    <t>EMPLOYEE INSURANCE</t>
  </si>
  <si>
    <t>TEMPERATURE NORMALIZATION ADJUSTMENT:</t>
  </si>
  <si>
    <t>PROFORMA INTEREST</t>
  </si>
  <si>
    <t>PRO FORMA</t>
  </si>
  <si>
    <t>FIT</t>
  </si>
  <si>
    <t>PLANT BALANCE</t>
  </si>
  <si>
    <t>DEPRECIATION EXPENSE</t>
  </si>
  <si>
    <t>AMA OF REGULATORY ASSET/LIABILITY NET OF ACCUM AMORT AND DFIT</t>
  </si>
  <si>
    <t>ADJUSTMENT TO RATE BASE</t>
  </si>
  <si>
    <t>ADJUSTMENTS</t>
  </si>
  <si>
    <t>OPERATING INCOME DEFICIENCY</t>
  </si>
  <si>
    <t>REVENUE REQUIREMENT DEFICIENCY</t>
  </si>
  <si>
    <t xml:space="preserve">  DEFERRED TAXES</t>
  </si>
  <si>
    <t xml:space="preserve">  OTHER</t>
  </si>
  <si>
    <t xml:space="preserve">  ALLOWANCE FOR WORKING CAPITAL</t>
  </si>
  <si>
    <t>TEMPERATURE</t>
  </si>
  <si>
    <t xml:space="preserve">INCREASE (DECREASE) DEFERRED FIT @ </t>
  </si>
  <si>
    <t>Test Year Depreciable Production Property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</si>
  <si>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</si>
  <si>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</si>
  <si>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</si>
  <si>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</si>
  <si>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</si>
  <si>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</si>
  <si>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</si>
  <si>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</si>
  <si>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AMORTIZATION (OTHER THAN REGULATORY ASSETS/LIAB)</t>
  </si>
  <si>
    <t>LIBR. DEPREC. POST 1980 (AMA)</t>
  </si>
  <si>
    <t>NORMALIZATION</t>
  </si>
  <si>
    <t>Rate Increase</t>
  </si>
  <si>
    <t>REVENUE ADJUSTMENT:</t>
  </si>
  <si>
    <t>Total</t>
  </si>
  <si>
    <t>PAYROLL TAXES</t>
  </si>
  <si>
    <t>AND RESTATED</t>
  </si>
  <si>
    <t>Snoqualmie 1/2</t>
  </si>
  <si>
    <t>Freddie 1</t>
  </si>
  <si>
    <t>Baker License</t>
  </si>
  <si>
    <t>Snoqualmie License</t>
  </si>
  <si>
    <t>Lower Snake River</t>
  </si>
  <si>
    <t>Wild Horse</t>
  </si>
  <si>
    <t>Adjustments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</si>
  <si>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</si>
  <si>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</si>
  <si>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</si>
  <si>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</si>
  <si>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AMORTIZATION OF DEFERRED NET GAIN FOR TEST YEAR</t>
  </si>
  <si>
    <t>3-YR AVERAGE OF NET WRITE OFF RATE</t>
  </si>
  <si>
    <t>TEST PERIOD REVENUES</t>
  </si>
  <si>
    <t>D&amp;O</t>
  </si>
  <si>
    <t>DIRECTORS &amp; OFFICERS INSURANCE</t>
  </si>
  <si>
    <t>D &amp; O INS. CHG  EXPENSE</t>
  </si>
  <si>
    <t>MT ELECTRIC</t>
  </si>
  <si>
    <t xml:space="preserve">WILD HORSE SOLAR </t>
  </si>
  <si>
    <t>STORM DAMAGE</t>
  </si>
  <si>
    <t>REGULATORY ASSETS AND LIABILITIES</t>
  </si>
  <si>
    <t>TEMPERATURE NORMALIZATION</t>
  </si>
  <si>
    <t>REVENUES AND EXPENSES</t>
  </si>
  <si>
    <t>PASS-THROUGH REVENUES AND EXPENSES</t>
  </si>
  <si>
    <t>FEDERAL INCOME TAX</t>
  </si>
  <si>
    <t>TAX BENEFIT OF PRO FORMA INTEREST</t>
  </si>
  <si>
    <t>INCENTIVE PAY</t>
  </si>
  <si>
    <t>INTEREST ON CUSTOMER DEPOSITS</t>
  </si>
  <si>
    <t>RATE CASE EXPENSES</t>
  </si>
  <si>
    <t>DEFERRED GAINS/LOSSES ON PROPERTY SALES</t>
  </si>
  <si>
    <t>PROPERTY &amp; LIABILITY INSURANCE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</si>
  <si>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</si>
  <si>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</si>
  <si>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</si>
  <si>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</si>
  <si>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</si>
  <si>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</si>
  <si>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</si>
  <si>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SCHEDULE 40 - MED SEC VOLTAGE</t>
  </si>
  <si>
    <t>FIRM RESALE</t>
  </si>
  <si>
    <t>FERC PART 12 STUDY NON-CONSTRUCTION COSTS UE-070074</t>
  </si>
  <si>
    <t>&amp; LIABILITIES</t>
  </si>
  <si>
    <t>Rate Year</t>
  </si>
  <si>
    <t>REMOVE RESIDENTIAL EXCHANGE - SCH 194</t>
  </si>
  <si>
    <t>NORMALIZE INJURIES AND DAMAGES</t>
  </si>
  <si>
    <t>NORMALIZE</t>
  </si>
  <si>
    <t>INJ &amp; DMGS</t>
  </si>
  <si>
    <t>INCREASE (DECREASE) OPERATING EXPENSE</t>
  </si>
  <si>
    <t xml:space="preserve">ACCUM DEPRECIATION </t>
  </si>
  <si>
    <t>BEP</t>
  </si>
  <si>
    <t>&amp; EXPENSES</t>
  </si>
  <si>
    <t>REMOVE CONSERVATION RIDER - SCHEDULE 120</t>
  </si>
  <si>
    <t>REMOVE MUNICIPAL TAXES - SCHEDULE 81</t>
  </si>
  <si>
    <t>REMOVE LOW INCOME AMORTIZATION - SCHEDULE 129</t>
  </si>
  <si>
    <t>STATE UTILITY TAX</t>
  </si>
  <si>
    <t>PASS-THROUGH</t>
  </si>
  <si>
    <t>REVS. &amp; EXPS.</t>
  </si>
  <si>
    <t>REG ASSETS</t>
  </si>
  <si>
    <t>DEPRECIATION / AMORTIZATION:</t>
  </si>
  <si>
    <t>Factor</t>
  </si>
  <si>
    <t>various</t>
  </si>
  <si>
    <t>Puget Sound Energy</t>
  </si>
  <si>
    <t>% Tax</t>
  </si>
  <si>
    <t>Proforma</t>
  </si>
  <si>
    <t>Production</t>
  </si>
  <si>
    <t>Per Books</t>
  </si>
  <si>
    <t>Line</t>
  </si>
  <si>
    <t>Deductible</t>
  </si>
  <si>
    <t>Amount</t>
  </si>
  <si>
    <t>FIT Amount</t>
  </si>
  <si>
    <t>Subtotal Depreciation</t>
  </si>
  <si>
    <t>Non-Depreciable Production Property:</t>
  </si>
  <si>
    <t>Non-Depreciable Production Property</t>
  </si>
  <si>
    <t>ADMIN. &amp; GENERAL</t>
  </si>
  <si>
    <t>PRO FORMA INSURANCE COSTS</t>
  </si>
  <si>
    <t>CATASTROPHIC STORMS</t>
  </si>
  <si>
    <t>TOTAL WAGE INCREASE</t>
  </si>
  <si>
    <t>APPLICABLE TO OPERATIONS @</t>
  </si>
  <si>
    <t>OTHER POWER SUPPLY EXPENSES</t>
  </si>
  <si>
    <t xml:space="preserve">INCREASE(DECREASE) NOI </t>
  </si>
  <si>
    <t>RATE BASE:</t>
  </si>
  <si>
    <t>COST OF</t>
  </si>
  <si>
    <t>CAPITAL %</t>
  </si>
  <si>
    <t>12 MOS ENDED</t>
  </si>
  <si>
    <t>Rate Base</t>
  </si>
  <si>
    <t>DEFERRED G/L ON</t>
  </si>
  <si>
    <t>CUSTOMER SERVICE EXPENSES</t>
  </si>
  <si>
    <t>REMOVE REVENUE ASSOCIATED WITH RIDERS:</t>
  </si>
  <si>
    <t>TOTAL (INCREASE) DECREASE IN REVENUES</t>
  </si>
  <si>
    <t>DECREASE REVENUE SENSITIVE ITEMS FOR DECREASE IN REVENUES:</t>
  </si>
  <si>
    <t>REMOVE EXPENSES ASSOCIATED WITH RIDERS</t>
  </si>
  <si>
    <t>INCREASE (DECREASE) OPERATING INCOME BEFORE FIT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</si>
  <si>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</si>
  <si>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</si>
  <si>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</si>
  <si>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</si>
  <si>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</si>
  <si>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</si>
  <si>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</si>
  <si>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</si>
  <si>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</si>
  <si>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</si>
  <si>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BAD DEBTS</t>
  </si>
  <si>
    <t>MONTANA ELECTRIC ENERGY TAX</t>
  </si>
  <si>
    <r>
      <t xml:space="preserve">ANNUAL NORMALIZATION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</si>
  <si>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9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</si>
  <si>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LESS TEST YEAR EXPENSE</t>
  </si>
  <si>
    <t>OTHER OPERATING</t>
  </si>
  <si>
    <t>INCREASE (DECREASE ) EXPENSE</t>
  </si>
  <si>
    <t>Production Plant</t>
  </si>
  <si>
    <t>SALES TO CUSTOMERS:</t>
  </si>
  <si>
    <t>TAXES OTHER THAN INCOME TAXES</t>
  </si>
  <si>
    <t>INCOME TAXES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</si>
  <si>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</si>
  <si>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</si>
  <si>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</si>
  <si>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</si>
  <si>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</si>
  <si>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</si>
  <si>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</si>
  <si>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</si>
  <si>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</si>
  <si>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</si>
  <si>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TOTAL PRODUCTION EXPENSES</t>
  </si>
  <si>
    <t>TRANSMISSION EXPENSE</t>
  </si>
  <si>
    <t>DISTRIBUTION EXPENSE</t>
  </si>
  <si>
    <t>TOTAL INCREASE (DECREASE) REVENUES</t>
  </si>
  <si>
    <t xml:space="preserve">  DEFERRED DEBITS AND CREDITS</t>
  </si>
  <si>
    <t>NET WILD HORSE SOLAR PLANT RATEBASE</t>
  </si>
  <si>
    <t>RATEBASE (AMA) UTILITY PLANT RATEBASE</t>
  </si>
  <si>
    <t>ASC 815 OPERATING EXPENSE</t>
  </si>
  <si>
    <t>INTEREST EXPENSE AT MOST CURRENT INTEREST RATE</t>
  </si>
  <si>
    <t>LINE</t>
  </si>
  <si>
    <t>INCREASE</t>
  </si>
  <si>
    <t>NET</t>
  </si>
  <si>
    <t>GROSS</t>
  </si>
  <si>
    <t>SALES FOR</t>
  </si>
  <si>
    <t>WRITEOFF'S</t>
  </si>
  <si>
    <t>POWER</t>
  </si>
  <si>
    <t>FEDERAL</t>
  </si>
  <si>
    <t>BAD</t>
  </si>
  <si>
    <t xml:space="preserve">INTEREST ON </t>
  </si>
  <si>
    <t>EMPLOYEE</t>
  </si>
  <si>
    <t>INVESTMENT</t>
  </si>
  <si>
    <t>PRODUCTION</t>
  </si>
  <si>
    <t>PROFORMA</t>
  </si>
  <si>
    <t>STORM</t>
  </si>
  <si>
    <t>RATE CASE</t>
  </si>
  <si>
    <t>ACTUAL</t>
  </si>
  <si>
    <t>NO.</t>
  </si>
  <si>
    <t>Test Year</t>
  </si>
  <si>
    <t>Colstrip 1/2</t>
  </si>
  <si>
    <t>Colstrip 3/4</t>
  </si>
  <si>
    <t>Encogen</t>
  </si>
  <si>
    <t>Lower Baker</t>
  </si>
  <si>
    <t>Upper Baker</t>
  </si>
  <si>
    <t>Electron</t>
  </si>
  <si>
    <t>Crystal</t>
  </si>
  <si>
    <t>Sys Control &amp; Dispatch</t>
  </si>
  <si>
    <t>Adjustments:</t>
  </si>
  <si>
    <t>PRODUCTION O&amp;M</t>
  </si>
  <si>
    <t>Mint Farm</t>
  </si>
  <si>
    <t>AMORTIZATION OF REGULATORY ASSET/LIABILITY</t>
  </si>
  <si>
    <t xml:space="preserve">ACTUAL RESUTLS </t>
  </si>
  <si>
    <t>OF OPERATIONS</t>
  </si>
  <si>
    <t>CHARGED TO EXPENSE DURING TEST YEAR</t>
  </si>
  <si>
    <t>TOTAL RATE BASE</t>
  </si>
  <si>
    <t>ADJUSTED</t>
  </si>
  <si>
    <t>REQUIREMENT</t>
  </si>
  <si>
    <t>AFTER</t>
  </si>
  <si>
    <t>PUGET SOUND ENERGY-ELECTRIC</t>
  </si>
  <si>
    <t>GROSS UTILITY PLANT IN SERVICE</t>
  </si>
  <si>
    <t>ACCUM DEPR AND AMORT</t>
  </si>
  <si>
    <t>Hopkins Ridge</t>
  </si>
  <si>
    <t>DEFERRED INCOME TAX LIABILITY</t>
  </si>
  <si>
    <t>Total Power Costs</t>
  </si>
  <si>
    <t>AMORTIZ OF PROPERTY GAIN/LOSS</t>
  </si>
  <si>
    <t>PROPERTY INSURANCE EXPENSE</t>
  </si>
  <si>
    <t>LIABILITY INSURANCE EXPENSE</t>
  </si>
  <si>
    <t>INCREASE(DECREASE) EXPENSE</t>
  </si>
  <si>
    <t>PROPERTY &amp;</t>
  </si>
  <si>
    <t>LIABILITY INS</t>
  </si>
  <si>
    <t>NET RATE BASE</t>
  </si>
  <si>
    <t>PROPERTY SALES</t>
  </si>
  <si>
    <t>WAGE</t>
  </si>
  <si>
    <t>PENSION</t>
  </si>
  <si>
    <t>TOTAL INCENTIVE/MERIT PAY</t>
  </si>
  <si>
    <t>GREEN POWER - SCH 135/136 BENEFITS PORTION OF ADMIN</t>
  </si>
  <si>
    <t>GREEN POWER - SCH 135/136 TAXES PORTION OF ADMIN</t>
  </si>
  <si>
    <t>COLSTRIP COMMON FERC ADJUSTMENT</t>
  </si>
  <si>
    <t>COLSTRIP DEFERRED DEPRECIATION FERC ADJ.</t>
  </si>
  <si>
    <t>TEST</t>
  </si>
  <si>
    <t>DEPRECIATION</t>
  </si>
  <si>
    <t>PUGET SOUND ENERGY</t>
  </si>
  <si>
    <t>Description</t>
  </si>
  <si>
    <t>NEW</t>
  </si>
  <si>
    <t>WRITE-OFF'S</t>
  </si>
  <si>
    <t>Income Taxes</t>
  </si>
  <si>
    <t>Net</t>
  </si>
  <si>
    <t>Production O&amp;M</t>
  </si>
  <si>
    <t>456-17</t>
  </si>
  <si>
    <t>n/a</t>
  </si>
  <si>
    <t>Equity Return on Centralia Coal Transition PPA</t>
  </si>
  <si>
    <t>Change</t>
  </si>
  <si>
    <t>Northern Intertie Sales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</si>
  <si>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</si>
  <si>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</si>
  <si>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</si>
  <si>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</si>
  <si>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</si>
  <si>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</si>
  <si>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</si>
  <si>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</si>
  <si>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</si>
  <si>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</si>
  <si>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</si>
  <si>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</si>
  <si>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</si>
  <si>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Average</t>
  </si>
  <si>
    <t>Southern Intertie Sales</t>
  </si>
  <si>
    <t>Colstrip Sales</t>
  </si>
  <si>
    <t>Total Estimate of Transmission Sales Revenue on NI, SI, and Colstrip using formula rate detail</t>
  </si>
  <si>
    <t>Centralia Coal Transition PPA - Equity Adder</t>
  </si>
  <si>
    <t>Volume</t>
  </si>
  <si>
    <t>Dec 14 - Nov 15</t>
  </si>
  <si>
    <t>Dec 15 - Nov 16</t>
  </si>
  <si>
    <t>Dec 16 - Nov 17</t>
  </si>
  <si>
    <t>Dec 17 - Nov 18</t>
  </si>
  <si>
    <t>Dec 18 - Nov 19</t>
  </si>
  <si>
    <t>Dec 19 - Nov 20</t>
  </si>
  <si>
    <t>Dec 20 - Nov 21</t>
  </si>
  <si>
    <t>Dec 21 - Nov 22</t>
  </si>
  <si>
    <t>Dec 22 - Nov 23</t>
  </si>
  <si>
    <t>Dec 23 - Nov 24</t>
  </si>
  <si>
    <t>Dec 24 - Nov 25</t>
  </si>
  <si>
    <t>Total Life of Contract</t>
  </si>
  <si>
    <t>Sep</t>
  </si>
  <si>
    <t>MW</t>
  </si>
  <si>
    <t>Equity Return $$ at $1.49 per MWh</t>
  </si>
  <si>
    <t>PRODUCTION EXPENSES:</t>
  </si>
  <si>
    <t>501-STEAM FUEL</t>
  </si>
  <si>
    <t>547-FUEL</t>
  </si>
  <si>
    <t>555-PURCHASED POWER</t>
  </si>
  <si>
    <t>EQUITY RETURN ON CENTRALIA TRANSITION COAL PPA</t>
  </si>
  <si>
    <t>COLSTRIP 1&amp;2 (WECo) PREPAYMENT</t>
  </si>
  <si>
    <t>Adjustment Description</t>
  </si>
  <si>
    <t>Proform rate year major maintenance amortization.</t>
  </si>
  <si>
    <t xml:space="preserve">N/A - Rate Year = Test Year </t>
  </si>
  <si>
    <t>Proform in Rate Year Licensing Costs</t>
  </si>
  <si>
    <t>Ferndale</t>
  </si>
  <si>
    <t>Undistrib/Other Including Incentive Clearing, Compliance</t>
  </si>
  <si>
    <t>Proform rate year Vestas contract + Royalties based on RY MWhs</t>
  </si>
  <si>
    <t>Wild Horse Expansion</t>
  </si>
  <si>
    <t>Centralia</t>
  </si>
  <si>
    <t>Prod. O&amp;M incl. Benefits/Taxes</t>
  </si>
  <si>
    <t>2010 STORM DAMAGE</t>
  </si>
  <si>
    <t>2014 STORM DAMAGE-PENDING APPROVAL</t>
  </si>
  <si>
    <t>TOTAL DEPRECIATION / AMORTIZATION</t>
  </si>
  <si>
    <t>PRODUCTION RATE BASE:</t>
  </si>
  <si>
    <t xml:space="preserve">    PRODUCTION PROPERTY ACCUM DEPR. </t>
  </si>
  <si>
    <t xml:space="preserve">    NON-DEPRECIABLE PRODUCTION PROPERTY</t>
  </si>
  <si>
    <t xml:space="preserve">    PRODUCTION PROPERTY ACCUM AMORT.</t>
  </si>
  <si>
    <t>ACQUISITION ADJUSTMENT</t>
  </si>
  <si>
    <t xml:space="preserve">    ACCUMULATED AMORTIZATION ON ACQUISTION ADJ</t>
  </si>
  <si>
    <t>DEDUCT:</t>
  </si>
  <si>
    <t xml:space="preserve">    NOL DEFERRED TAX ASSET ATTRIBUTABLE TO PRODUCTION</t>
  </si>
  <si>
    <t xml:space="preserve">    TREASURY GRANTS FOR SNOQUALMIE AND BAKER</t>
  </si>
  <si>
    <t xml:space="preserve">    ACCUM AMORT OF TREASURY GRANTS FOR SNOQUALMIE AND BAKER</t>
  </si>
  <si>
    <t>TOTAL ADJUSTMENT TO PRODUCTION RATE BASE</t>
  </si>
  <si>
    <t>TREASURY GRANTS DEFERRAL - SNOQUALMIE</t>
  </si>
  <si>
    <t>TREASURY GRANTS DEFERRAL - BAKER</t>
  </si>
  <si>
    <t>CHELAN PUD CONTRACT INITITATION</t>
  </si>
  <si>
    <t xml:space="preserve">CHELAN - ROCK ISLAND SECURITY DEPOSIT </t>
  </si>
  <si>
    <t>LOWER SNAKE RIVER PREPAID TRANSM PRINCIPAL</t>
  </si>
  <si>
    <t>CARRYING CHARGES ON LSR PREPAID TRANSM</t>
  </si>
  <si>
    <t>MINT FARM DEFFRED - UE-090704 (ends Mar 2025)</t>
  </si>
  <si>
    <t>FERNDALE PLANT DEFERRAL (ends Oct 2019)</t>
  </si>
  <si>
    <t>ELECTRON UNRECOVERED PLANT COSTS</t>
  </si>
  <si>
    <t>TOTAL ADJUSTMENT TO REGULATORY ASSETS RATE BASE</t>
  </si>
  <si>
    <t>Revenue Requirement</t>
  </si>
  <si>
    <t>REMOVE PROPERTY TAX TRACKER - SCHEDULE 140</t>
  </si>
  <si>
    <t>REMOVE LOW INCOME RIDER - SCHEDULE 129</t>
  </si>
  <si>
    <t>REMOVE REC PROCEEDS - SCH 137</t>
  </si>
  <si>
    <t>REMOVE EXPENSES ASSOCIATED WITH SCH 137 REC PROCEEDS</t>
  </si>
  <si>
    <t>GREEN POWER - SCH 135/136</t>
  </si>
  <si>
    <t>GREEN POWER - SCH 135/136 ELIMINATE OVER EXPENSED</t>
  </si>
  <si>
    <t>REMOVE JPUD GAIN ON SALE SCH 133</t>
  </si>
  <si>
    <t>REMOVE CONSERVATION AMORTIZATON - SCHEDULE 120</t>
  </si>
  <si>
    <t>REMOVE PROPERTY TAX AMORTIZATION EXP - SCHEDULE 140</t>
  </si>
  <si>
    <t>REMOVE AMORT ON INTEREST ON REC PROCEEDS SCH 137</t>
  </si>
  <si>
    <t>GREEN POWER - SCH 135/136 CHARGED TO 908/909</t>
  </si>
  <si>
    <t>REMOVE JPUD AMORT EXPENSE SCH 133</t>
  </si>
  <si>
    <t>DEFERRED GAIN PENDING APPROVAL SINCE UE-111048</t>
  </si>
  <si>
    <t>DEFERRED LOSS PENDING APPROVAL SINCE UE-111048</t>
  </si>
  <si>
    <t>AMORTIZATION EXPENSE</t>
  </si>
  <si>
    <t>Exhibit A-1 Power Cost Baseline Rate</t>
  </si>
  <si>
    <t>Row</t>
  </si>
  <si>
    <t xml:space="preserve">Test Year </t>
  </si>
  <si>
    <t>Transmission Rate Base (Fixed)</t>
  </si>
  <si>
    <t>Production Rate Base (Fixed)</t>
  </si>
  <si>
    <t>Net of tax rate of return</t>
  </si>
  <si>
    <t>Test Yr</t>
  </si>
  <si>
    <t>$/MWh</t>
  </si>
  <si>
    <t>9A</t>
  </si>
  <si>
    <t>(I)</t>
  </si>
  <si>
    <t>(II)</t>
  </si>
  <si>
    <t>Regulatory Asset Recovery (on Row 3)</t>
  </si>
  <si>
    <t>10a</t>
  </si>
  <si>
    <t>Equity Adder Centralia Coal Transition PPA</t>
  </si>
  <si>
    <t>Fixed Asset Recovery Other (on Row 4)</t>
  </si>
  <si>
    <t>Fixed Asset Recovery-Prod Factored (on Row 5)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</si>
  <si>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</si>
  <si>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</si>
  <si>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</si>
  <si>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</si>
  <si>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</si>
  <si>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</si>
  <si>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</si>
  <si>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</si>
  <si>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</si>
  <si>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</si>
  <si>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</si>
  <si>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</si>
  <si>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</si>
  <si>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</si>
  <si>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Subtotal &amp; Baseline Rate</t>
  </si>
  <si>
    <t>Revenue Sensitive Items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</si>
  <si>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</si>
  <si>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</si>
  <si>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</si>
  <si>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</si>
  <si>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</si>
  <si>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COLSTRIP, 3RD AC &amp; NORTHERN INTERTIE</t>
  </si>
  <si>
    <t>TRANSMISSION PLANT INFORMATION</t>
  </si>
  <si>
    <t>AMA Accum Deprec/Amort</t>
  </si>
  <si>
    <t>Net Book Value</t>
  </si>
  <si>
    <t xml:space="preserve">12 Months Depreciation </t>
  </si>
  <si>
    <t>TRANS - COLSTRIP 1 &amp; 2</t>
  </si>
  <si>
    <t>E350</t>
  </si>
  <si>
    <t>Land and Land Rights</t>
  </si>
  <si>
    <t>E351</t>
  </si>
  <si>
    <t>E352</t>
  </si>
  <si>
    <t>E353</t>
  </si>
  <si>
    <t>Station Equipment</t>
  </si>
  <si>
    <t>E354</t>
  </si>
  <si>
    <t>Towers &amp; Fixtures</t>
  </si>
  <si>
    <t>E355</t>
  </si>
  <si>
    <t>Poles &amp; Fixtures</t>
  </si>
  <si>
    <t>E356</t>
  </si>
  <si>
    <t>OH Conductors &amp; Devices</t>
  </si>
  <si>
    <t>E359</t>
  </si>
  <si>
    <t>Roads &amp; Trails</t>
  </si>
  <si>
    <t>TOTAL COLSTRIP 1&amp;2 TRANSMISSION</t>
  </si>
  <si>
    <t>TRANS - COLSTRIP 3 &amp; 4</t>
  </si>
  <si>
    <t>TOTAL COLSTRIP 3&amp;4 TRANSMISSION</t>
  </si>
  <si>
    <t>TRANS - 3RD AC INTERTIE</t>
  </si>
  <si>
    <t>TOTAL 3RD NW-SW INTERTIE</t>
  </si>
  <si>
    <t>TRANS - NORTHERN INTERTIE</t>
  </si>
  <si>
    <t>TOTAL NORTHERN INTERTIE</t>
  </si>
  <si>
    <t>Accumulated Depreciation (AMA)</t>
  </si>
  <si>
    <t>Deferred Taxes (AMA)</t>
  </si>
  <si>
    <t xml:space="preserve">Transmission portion of: </t>
  </si>
  <si>
    <t>Colstrip Common FERC Adj, net of accum amort</t>
  </si>
  <si>
    <t>Colstrip Def Depr FERC Adj, net of accum amort</t>
  </si>
  <si>
    <t>Total Transmission Rate Base</t>
  </si>
  <si>
    <t>Encogen Acq. Adjustment</t>
  </si>
  <si>
    <t>Whitehorn Acq. Adjustment</t>
  </si>
  <si>
    <t>Mint Farm Acq. Adjustment</t>
  </si>
  <si>
    <t>Ferndale Acq. Adjustment</t>
  </si>
  <si>
    <t>REMOVE OVEREARNINGS ACCRUALS</t>
  </si>
  <si>
    <t>REMOVE EXPENSE RECOGNIZED FOR FUTURE PTC LIABILITY</t>
  </si>
  <si>
    <t>TOTAL INCREASE (DECREASE) EXPENSES</t>
  </si>
  <si>
    <t>TOTAL INCREASE (DECREASE) RSI</t>
  </si>
  <si>
    <t xml:space="preserve">Gross Plant - </t>
  </si>
  <si>
    <t xml:space="preserve">A/D Plant - </t>
  </si>
  <si>
    <t>Acquisition</t>
  </si>
  <si>
    <t>Accum</t>
  </si>
  <si>
    <t>Deferred</t>
  </si>
  <si>
    <t>Amort</t>
  </si>
  <si>
    <t>Gross Plant - Depr</t>
  </si>
  <si>
    <t>A/D - Depr</t>
  </si>
  <si>
    <t>Non Depr</t>
  </si>
  <si>
    <t>Adjustment</t>
  </si>
  <si>
    <t>Taxes</t>
  </si>
  <si>
    <t>Colstrip Common Ferc Adjustment</t>
  </si>
  <si>
    <t>Colstrip Deferred Depreciation Ferc Adj.</t>
  </si>
  <si>
    <t>NOL Deferred Tax Asset Attributable to Production</t>
  </si>
  <si>
    <t>Total Production Rate Base</t>
  </si>
  <si>
    <t>check=&gt;</t>
  </si>
  <si>
    <t>15e</t>
  </si>
  <si>
    <t>Brokerage Fees</t>
  </si>
  <si>
    <t>Calendar Year</t>
  </si>
  <si>
    <t xml:space="preserve">Variable </t>
  </si>
  <si>
    <t xml:space="preserve">Fixed </t>
  </si>
  <si>
    <t>Grossed up for RSI</t>
  </si>
  <si>
    <t>(III)</t>
  </si>
  <si>
    <t>Load in MWh</t>
  </si>
  <si>
    <t>ENERGY IMBALANCE MARKET</t>
  </si>
  <si>
    <t>GLACIER BATTERY STORAGE</t>
  </si>
  <si>
    <t>GLACIER</t>
  </si>
  <si>
    <t>BATTERY STRG</t>
  </si>
  <si>
    <t>STUDY</t>
  </si>
  <si>
    <t>2014 AND 2013 PCORC EXPENSES TO BE NORMALIZED</t>
  </si>
  <si>
    <t>Total Power Cost Adjustment</t>
  </si>
  <si>
    <t>V</t>
  </si>
  <si>
    <t>F</t>
  </si>
  <si>
    <t>500KV Trans Exp/O&amp;M</t>
  </si>
  <si>
    <t>Net power costs from  TY Margin or RY DEM Exh</t>
  </si>
  <si>
    <t>Purchses/(Sales) of Non-Core Gase</t>
  </si>
  <si>
    <t>GFG Fuel</t>
  </si>
  <si>
    <t xml:space="preserve">Factored </t>
  </si>
  <si>
    <t>Ben &amp; Tax</t>
  </si>
  <si>
    <t>F/V</t>
  </si>
  <si>
    <t>12MOE</t>
  </si>
  <si>
    <t>Variable PF</t>
  </si>
  <si>
    <t>Fixed PF</t>
  </si>
  <si>
    <t>(Pre-PF)</t>
  </si>
  <si>
    <t>PF</t>
  </si>
  <si>
    <t>BLR Net of RSI</t>
  </si>
  <si>
    <t>BLR Before RSI</t>
  </si>
  <si>
    <t>Baseline Rate Summarized</t>
  </si>
  <si>
    <t>Test Year DELIVERED Load (MWH's)</t>
  </si>
  <si>
    <t>Brokerage Fees 55700003</t>
  </si>
  <si>
    <t>Transmission</t>
  </si>
  <si>
    <t>Distribution</t>
  </si>
  <si>
    <t>TOTAL (LINE 21 THROUGH LINE 26)</t>
  </si>
  <si>
    <t>01/18/12 SNOW STORM - PENDING APPROVAL</t>
  </si>
  <si>
    <t>LESS TOTAL RATE YEAR AMORTIZATION</t>
  </si>
  <si>
    <t>Complement</t>
  </si>
  <si>
    <t>ORIGINAL PERIOD WAS 10 YEARS, NOV 2008 - OCT 2018</t>
  </si>
  <si>
    <t>STORM DAMAGE EXPENSE (LINE 8)</t>
  </si>
  <si>
    <t>No,</t>
  </si>
  <si>
    <t>Departments are 100% Reflected in the Model</t>
  </si>
  <si>
    <t>DEFERRED BALANCES FOR 6 YEAR AMORTIZATION AT</t>
  </si>
  <si>
    <t>Check=&gt;</t>
  </si>
  <si>
    <t>Transmission Revenue 456.1</t>
  </si>
  <si>
    <t xml:space="preserve">  ZO12                      Orders: Actual 12 Month Ended</t>
  </si>
  <si>
    <t>Cost elements</t>
  </si>
  <si>
    <t>Act. Costs</t>
  </si>
  <si>
    <t>92500701  1412 - Workers Compensation Admin - Com</t>
  </si>
  <si>
    <t>92500702  1412 - Workers Comp Insurance - Common</t>
  </si>
  <si>
    <t>92500703  1412 - Workers Comp Pmts to Employees-C</t>
  </si>
  <si>
    <t>92500704  1412-Move Part of Workr Comp Exp to B/S</t>
  </si>
  <si>
    <t>Debit</t>
  </si>
  <si>
    <t>Credit</t>
  </si>
  <si>
    <t>Over/underabsorption</t>
  </si>
  <si>
    <t>GPI MWh</t>
  </si>
  <si>
    <t>ENVIRONMENTAL REMEDIATION</t>
  </si>
  <si>
    <t>ELECTRIC ENVIRONMENTAL REMEDIATION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</si>
  <si>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</si>
  <si>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INSURANCE PROCEEDS &amp; THIRD PARTIES PAYMENTS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</si>
  <si>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</si>
  <si>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INCREASE (DECREASE) FIT @ 35% (LINE 11 X 35%)</t>
  </si>
  <si>
    <t>TOTAL RATE YEAR AMORTIZATION ENVIRONMENTAL (LINE 4 + LINE 9)</t>
  </si>
  <si>
    <t>ENVIRONMENTAL</t>
  </si>
  <si>
    <t>REMEDIATION</t>
  </si>
  <si>
    <t>ENERGY IMB</t>
  </si>
  <si>
    <t>MARKET</t>
  </si>
  <si>
    <t>Total Expected Rate Year Power Costs</t>
  </si>
  <si>
    <t>Total Rate Year Power Costs From Power Costs Group</t>
  </si>
  <si>
    <t>Add Production O&amp;M from Ron Roberts</t>
  </si>
  <si>
    <t>Reclass Benefits and Taxes shown seperately</t>
  </si>
  <si>
    <t>Add Rate Year Trans. Exp. Incl. 500Kv O&amp;M</t>
  </si>
  <si>
    <t xml:space="preserve">     Steam Fuel (variable)</t>
  </si>
  <si>
    <t xml:space="preserve">     GFG Fuel (variable)</t>
  </si>
  <si>
    <t xml:space="preserve">     Purchased Power (variable)</t>
  </si>
  <si>
    <t xml:space="preserve">     Other Power Expense (fixed)</t>
  </si>
  <si>
    <t xml:space="preserve">     Wheeling (variable)</t>
  </si>
  <si>
    <t xml:space="preserve">     Sales for Resale (variable)</t>
  </si>
  <si>
    <t>Power Costs Included In the 2016 GRC Model</t>
  </si>
  <si>
    <t xml:space="preserve">Adjustment to get to Production Factored Rate Year Power Costs </t>
  </si>
  <si>
    <t>Prod Factored RY</t>
  </si>
  <si>
    <t xml:space="preserve">     Production Factored RY Power Costs in Rates</t>
  </si>
  <si>
    <t>9.01 Test Year Power Costs (Includes Regulatory Amorts)</t>
  </si>
  <si>
    <t xml:space="preserve">     Subtotal - "Power Costs to Recover":</t>
  </si>
  <si>
    <t xml:space="preserve">     9.01 Increase/(Decrease) to TY</t>
  </si>
  <si>
    <t>INCENTIVE / MERIT PAY</t>
  </si>
  <si>
    <t>O&amp;M / A&amp;G  PRODUCTION RELATED</t>
  </si>
  <si>
    <t>TOTAL OTHER TAXES</t>
  </si>
  <si>
    <t>OTHER TAXES:</t>
  </si>
  <si>
    <t>Amount to be</t>
  </si>
  <si>
    <t>Factored</t>
  </si>
  <si>
    <t>DEPRECIATION STUDY</t>
  </si>
  <si>
    <t>403 ELEC. DEPRECIATION EXPENSE</t>
  </si>
  <si>
    <t>403 ELEC. PORTION OF COMMON</t>
  </si>
  <si>
    <t>403 DEPR. EXP. ON ASSETS NOT INCLUDED IN STUDY</t>
  </si>
  <si>
    <t>SUBTOTAL DEPRECIATION EXPENSE 403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</si>
  <si>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</si>
  <si>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</si>
  <si>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</si>
  <si>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</si>
  <si>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TOTAL  ADJUSTMENT TO RATEBASE</t>
  </si>
  <si>
    <t>TOTAL OPERATING EXPENSES</t>
  </si>
  <si>
    <t>TOTAL PRODUCTION O&amp;M / A&amp;G</t>
  </si>
  <si>
    <t>TOTAL REGULATORY ASSET ADJUSTMENT TO DECOUPLING RATE</t>
  </si>
  <si>
    <t>Calculated by Rates Department:</t>
  </si>
  <si>
    <t>Allocation</t>
  </si>
  <si>
    <t>MONTANA ENERGY TAX</t>
  </si>
  <si>
    <t>2015 STORM DAMAGE-PENDING APPROVAL</t>
  </si>
  <si>
    <t xml:space="preserve">TAXABLE INCOME (LOSS)  </t>
  </si>
  <si>
    <t>CURRENTLY PAYABLE</t>
  </si>
  <si>
    <t>DEFERRED FIT-OTHER</t>
  </si>
  <si>
    <t>DEFERRED FIT - INV TAX CREDIT, NET OF AMORT</t>
  </si>
  <si>
    <t>FIT PER BOOKS:</t>
  </si>
  <si>
    <t>DEFERRED FIT - DEBT</t>
  </si>
  <si>
    <t>DEFERRED FIT-CREDIT</t>
  </si>
  <si>
    <t>DEFERRED FIT- INV TAX CREDIT, NET OF AMORT</t>
  </si>
  <si>
    <t>TOTAL CHARED TO EXPENSE</t>
  </si>
  <si>
    <t>INCREASE(DECREASE) DEFERRED FIT</t>
  </si>
  <si>
    <t>NON-UNION (INCLUDING. EXECUTIVES)</t>
  </si>
  <si>
    <t>Notes:</t>
  </si>
  <si>
    <t xml:space="preserve"> (1)</t>
  </si>
  <si>
    <t xml:space="preserve"> (2)</t>
  </si>
  <si>
    <t xml:space="preserve"> (3)</t>
  </si>
  <si>
    <t>Total Transmission Before Depreciation Study 16GRC</t>
  </si>
  <si>
    <t>Deprecation Study 16GRC</t>
  </si>
  <si>
    <t>Total Transmission After Depreciation Study 16GRC</t>
  </si>
  <si>
    <t>Current 
Depr Rate</t>
  </si>
  <si>
    <t>Proposed 
Depr Rate V5</t>
  </si>
  <si>
    <t>Difference % Rate</t>
  </si>
  <si>
    <t>Proposed Depr Exp</t>
  </si>
  <si>
    <t>Depr Exp Increase
/(Decrease)</t>
  </si>
  <si>
    <t>Net Book Value After Depr Adj.</t>
  </si>
  <si>
    <t>b</t>
  </si>
  <si>
    <t>c</t>
  </si>
  <si>
    <t>d=c/b</t>
  </si>
  <si>
    <t>e=a*d</t>
  </si>
  <si>
    <t>f=e-a</t>
  </si>
  <si>
    <t>Colstrip Common FERC Adj. - Reg Asset (3)</t>
  </si>
  <si>
    <t xml:space="preserve">     TREASURY GRANTS DEFERRAL - SNOQUALMIE</t>
  </si>
  <si>
    <t xml:space="preserve">     TREASURY GRANTS DEFERRAL - BAKER</t>
  </si>
  <si>
    <t xml:space="preserve">     ELECTRON UNRECOVERED COSTS</t>
  </si>
  <si>
    <t xml:space="preserve">     MINT FARM DEFFRAL - UE-090704</t>
  </si>
  <si>
    <t xml:space="preserve">     LSR PLANT DEFERRAL - UE-111048</t>
  </si>
  <si>
    <t xml:space="preserve">     FERNDALE PLANT DEFERRAL - UE-130617</t>
  </si>
  <si>
    <t xml:space="preserve">      SNOQUALMIE UPGRADE PLANT DEFERRAL UE-130617</t>
  </si>
  <si>
    <t xml:space="preserve">     BAKER UPGRADE PLANT DEFERRAL UE-130617</t>
  </si>
  <si>
    <t xml:space="preserve">     FERC PART 12 STUDY NON-CONSTRUCTION COSTS UE-070074</t>
  </si>
  <si>
    <t xml:space="preserve">     CARRYING CHARGES ON LSR PREPAID TRANSM</t>
  </si>
  <si>
    <t>REGULATORY ASSETS RATE BASE (INCLUDES POWER COST REG ASSETS/LIAB):</t>
  </si>
  <si>
    <t>FIXED</t>
  </si>
  <si>
    <t>VARIABLE</t>
  </si>
  <si>
    <t>DEPRECIABLE PRODUCTION PROPERTY (INCLUDES HYDRO GRANTS)</t>
  </si>
  <si>
    <t>MINT FARM DEFFRED - UE-090704 (ENDS MAR 2025)</t>
  </si>
  <si>
    <t>LOWER SNAKE RIVER PLANT DEFERRAL (ENDS APR 2016)</t>
  </si>
  <si>
    <t>FERNDALE PLANT DEFERRAL (ENDS OCT 2019)</t>
  </si>
  <si>
    <t>SNOQUALMIE UPGRADE PLANT DEFERRAL (ENDS OCT 2018)</t>
  </si>
  <si>
    <t>BAKER UPGRADE PLANT DEFERRAL (ENDS OCT 2018)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</si>
  <si>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</si>
  <si>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</si>
  <si>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</si>
  <si>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</si>
  <si>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REMOVE SCHEDULE 142 - DECOUPLING AND K-FACTOR REVENUE</t>
  </si>
  <si>
    <t>TOTAL ADJUSTMENTS TO SALES TO CUSTOMERS</t>
  </si>
  <si>
    <t>OTHER</t>
  </si>
  <si>
    <t>REMOVE MUNICIPAL TAXES - SCHEDULE 81 - SALES FOR RESALE</t>
  </si>
  <si>
    <t>ADJUSTMENTS SALES TO CUSTOMERS</t>
  </si>
  <si>
    <t>Item</t>
  </si>
  <si>
    <t xml:space="preserve">Note </t>
  </si>
  <si>
    <t>Wages</t>
  </si>
  <si>
    <t>Incentives</t>
  </si>
  <si>
    <t>Benefits</t>
  </si>
  <si>
    <t>Payroll Tax</t>
  </si>
  <si>
    <t>TY Prod O&amp;M</t>
  </si>
  <si>
    <t>Production Portion</t>
  </si>
  <si>
    <t>Pension Adj</t>
  </si>
  <si>
    <t>Empl Insurance Adj</t>
  </si>
  <si>
    <t>Wage Adj</t>
  </si>
  <si>
    <t>Incentive Adj</t>
  </si>
  <si>
    <t>Workers Comp</t>
  </si>
  <si>
    <t>In SAP</t>
  </si>
  <si>
    <t>Total by Cost</t>
  </si>
  <si>
    <t>For Depreciation Related Costs</t>
  </si>
  <si>
    <t>For Wage, Incentive, Benefits, and Payroll Tax, and other Related Costs:</t>
  </si>
  <si>
    <t>Per Renewal Period</t>
  </si>
  <si>
    <t xml:space="preserve"> (4)</t>
  </si>
  <si>
    <t>Adjustment ("change")</t>
  </si>
  <si>
    <t>Found in TY or  Adj to in Following Costs</t>
  </si>
  <si>
    <t>factored in this adjustment.</t>
  </si>
  <si>
    <t>Power Costs (which include production O&amp;M and 557) are presented pro-forma, already net of the production factor in Adjustment 9.01.</t>
  </si>
  <si>
    <t>exclude them from being presented Pro-forma with the rest of the Power Costs and why they must be production factored here.  Once the test</t>
  </si>
  <si>
    <r>
      <t xml:space="preserve">(1)  TY Production </t>
    </r>
    <r>
      <rPr>
        <b/>
        <i/>
        <sz val="10"/>
        <rFont val="Arial"/>
        <family val="2"/>
      </rPr>
      <t>Wages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Incentive</t>
    </r>
    <r>
      <rPr>
        <sz val="10"/>
        <rFont val="Arial"/>
        <family val="2"/>
      </rPr>
      <t xml:space="preserve"> plan costs are included in  Production O&amp;M and 557 Power Costs by way of the Income Statement.</t>
    </r>
  </si>
  <si>
    <r>
      <t xml:space="preserve">Therefore, only the </t>
    </r>
    <r>
      <rPr>
        <b/>
        <i/>
        <sz val="10"/>
        <rFont val="Arial"/>
        <family val="2"/>
      </rPr>
      <t>change</t>
    </r>
    <r>
      <rPr>
        <sz val="10"/>
        <rFont val="Arial"/>
        <family val="2"/>
      </rPr>
      <t xml:space="preserve"> to production wages  and incentive costs (which are not included in Adjustment 9.01) needs to be production</t>
    </r>
  </si>
  <si>
    <r>
      <t xml:space="preserve">(2)  TY </t>
    </r>
    <r>
      <rPr>
        <b/>
        <i/>
        <sz val="10"/>
        <rFont val="Arial"/>
        <family val="2"/>
      </rPr>
      <t>Benefits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Payroll Tax</t>
    </r>
    <r>
      <rPr>
        <sz val="10"/>
        <rFont val="Arial"/>
        <family val="2"/>
      </rPr>
      <t xml:space="preserve"> are </t>
    </r>
    <r>
      <rPr>
        <b/>
        <i/>
        <sz val="10"/>
        <rFont val="Arial"/>
        <family val="2"/>
      </rPr>
      <t>removed</t>
    </r>
    <r>
      <rPr>
        <sz val="10"/>
        <rFont val="Arial"/>
        <family val="2"/>
      </rPr>
      <t xml:space="preserve"> from Power Costs in the "Power Cost Bridge to A-1" tab.  The removal of these test year costs</t>
    </r>
  </si>
  <si>
    <r>
      <t>year costs are considered, only the</t>
    </r>
    <r>
      <rPr>
        <b/>
        <i/>
        <sz val="10"/>
        <rFont val="Arial"/>
        <family val="2"/>
      </rPr>
      <t xml:space="preserve"> change</t>
    </r>
    <r>
      <rPr>
        <sz val="10"/>
        <rFont val="Arial"/>
        <family val="2"/>
      </rPr>
      <t xml:space="preserve"> to the test year must be production factored in other adjustments that impact Benefits and Tax costs</t>
    </r>
  </si>
  <si>
    <t>Wage - Prod O&amp;M</t>
  </si>
  <si>
    <t>Incent - Prod O&amp;M</t>
  </si>
  <si>
    <t>WAGES &amp; INCENTIVE - PROD O&amp;M</t>
  </si>
  <si>
    <t>Wage - Other Pwr 557</t>
  </si>
  <si>
    <t>Incent - Other Pwr 557</t>
  </si>
  <si>
    <t>TY Other Pwr 557</t>
  </si>
  <si>
    <t>OTHER POWER SUPPLY (PROD O&amp;M)</t>
  </si>
  <si>
    <t>OTHER PWR - 557</t>
  </si>
  <si>
    <t>WAGES &amp; INCENTIVE - OTHER PWR 557</t>
  </si>
  <si>
    <t xml:space="preserve"> &lt;-- includes Firm Wholesale</t>
  </si>
  <si>
    <t>BENEFITS - A&amp;G 926</t>
  </si>
  <si>
    <t>WORKER'S COMP - A&amp;G 926</t>
  </si>
  <si>
    <t>PROPERTY INSURANCE - A&amp;G 926</t>
  </si>
  <si>
    <t xml:space="preserve">(3)  Because of Flow-through Taxes, the FIT on Production Book Depreciation will be higher or lower than 35% depending on the increase or decrease </t>
  </si>
  <si>
    <t xml:space="preserve">of the Flow-through Depreciation Turnaround (difference between Book and Tax Flow-through Depreciation).  For the Test Year as a whole, Flow- </t>
  </si>
  <si>
    <t xml:space="preserve">through Book production depreciation is greater than Flow-through Tax production depreciation which results in a "Tax Detriment of Flow-through </t>
  </si>
  <si>
    <t xml:space="preserve">Depreciation" (as opposed to a "Tax Benefit of Flow-through Depreciation").  The Flow-through Depreciation is tracked and provided by the Tax Department.  </t>
  </si>
  <si>
    <t>&lt;==Prod Depr ETR</t>
  </si>
  <si>
    <t>Rate Year Ending  September</t>
  </si>
  <si>
    <t>AFTER TAX DEBT</t>
  </si>
  <si>
    <t>EQUITY</t>
  </si>
  <si>
    <t>TOTAL AFTER TAX COST OF CAPITAL</t>
  </si>
  <si>
    <t>TOTAL COST OF CAPITAL</t>
  </si>
  <si>
    <t>SHORT &amp; LONG TERM DEBT</t>
  </si>
  <si>
    <t>GOLDENDALE</t>
  </si>
  <si>
    <t>CAPACITY UPGRADE</t>
  </si>
  <si>
    <t>GOLDENDALE CAPACITY UPGRADE</t>
  </si>
  <si>
    <t>EIM RATEBASE (AMA)</t>
  </si>
  <si>
    <t>UTILITY PLANT RATEBASE</t>
  </si>
  <si>
    <t xml:space="preserve">DEFERRED FIT </t>
  </si>
  <si>
    <t>TOTAL  RATEBASE</t>
  </si>
  <si>
    <t>EIM OPERATING EXPENSE</t>
  </si>
  <si>
    <t>MINT FARM</t>
  </si>
  <si>
    <t>Goldendale Capacity Upgrade</t>
  </si>
  <si>
    <t>MINT FARM CAPACITY UPGRADE</t>
  </si>
  <si>
    <t>MINT FARM CAPACITY UPGRADE RATEBASE (AMA)</t>
  </si>
  <si>
    <t>Mint Farm Capacity Upgrade</t>
  </si>
  <si>
    <t>ADJUSTMENTS TO OTHER OPERATING REVENUE:</t>
  </si>
  <si>
    <t>557-OTHER POWER EXPENSE</t>
  </si>
  <si>
    <t xml:space="preserve">INCREASE (DECREASE) OPERATING INCOME </t>
  </si>
  <si>
    <t xml:space="preserve">    565-WHEELING</t>
  </si>
  <si>
    <t xml:space="preserve">    447-SALES FOR RESALE</t>
  </si>
  <si>
    <t xml:space="preserve">    456-PURCHASES/SALES OF NON-CORE GAS</t>
  </si>
  <si>
    <t>&lt;==s/b zero</t>
  </si>
  <si>
    <t>Line No.</t>
  </si>
  <si>
    <t>Firm Resale</t>
  </si>
  <si>
    <t>Rate Year:  Jan - Dec 2018</t>
  </si>
  <si>
    <t>Test Year 10/01/2015 - 09/30/2016</t>
  </si>
  <si>
    <t>2017 GRC Jan - Dec 2018</t>
  </si>
  <si>
    <t>2014 PCORC  Dec 14-Nov15</t>
  </si>
  <si>
    <t>Replace test year with Talen's rate year budget, proform rate year major maintenance amortization.</t>
  </si>
  <si>
    <t>Proforma rate year Siemens contract + Royalties based on RY MWhs, less: 2012 performance bonus removed from 2013 activity.</t>
  </si>
  <si>
    <t>2016 STORM DAMAGE-PENDING APPROVAL</t>
  </si>
  <si>
    <t>Test Year - Depreciable Prop + T Grants</t>
  </si>
  <si>
    <t>Wild Horse Solar Depreciation Expense (9.03)</t>
  </si>
  <si>
    <t>Detailed support for above adjustments - Test Year Worker's Comp</t>
  </si>
  <si>
    <t>Detailed support for above adjustments - Flow Thru Tax on Production Depreciation</t>
  </si>
  <si>
    <t>f/t</t>
  </si>
  <si>
    <t>total</t>
  </si>
  <si>
    <t>electric</t>
  </si>
  <si>
    <t>gas</t>
  </si>
  <si>
    <t>total with RTP</t>
  </si>
  <si>
    <t>net of RTP</t>
  </si>
  <si>
    <t>prorated for Oct-Dec</t>
  </si>
  <si>
    <t xml:space="preserve">prorated for Jan-Sept </t>
  </si>
  <si>
    <t>total test year</t>
  </si>
  <si>
    <t>Rate</t>
  </si>
  <si>
    <t xml:space="preserve">2017 GENERAL RATE CASE </t>
  </si>
  <si>
    <t>FOR THE TWELVE MONTHS ENDED SEPTEMBER 30, 2016</t>
  </si>
  <si>
    <t>SOUTH KING SERVICE CENTER</t>
  </si>
  <si>
    <t>WHITE RIVER</t>
  </si>
  <si>
    <t xml:space="preserve">WHITE </t>
  </si>
  <si>
    <t>RIVER</t>
  </si>
  <si>
    <t>TOTAL AMORTIZATION OF REG ASSETS/LIABS</t>
  </si>
  <si>
    <t>SOUTH KING</t>
  </si>
  <si>
    <t>SERVICE CENTER</t>
  </si>
  <si>
    <t>SOUTH KING SERVICE CENTER RATEBASE (AMA)</t>
  </si>
  <si>
    <t>GLACIER BATTERY STORAGE RATEBASE</t>
  </si>
  <si>
    <t>NET SOUTH KING RATEBASE</t>
  </si>
  <si>
    <t xml:space="preserve">September </t>
  </si>
  <si>
    <t>NORMALIZED TEST PERIOD REVENUES</t>
  </si>
  <si>
    <t>CHARGED TO EXPENSE  12 MONTHS ENDED 9/30/2016</t>
  </si>
  <si>
    <t>2010 STORM DAMAGE PENDING APPROVAL</t>
  </si>
  <si>
    <t>AT START OF RATE YEAR (01/01/2018):</t>
  </si>
  <si>
    <t>ADD:  TEMPERATURE NORMALIZATION ADJUSTMENT</t>
  </si>
  <si>
    <t xml:space="preserve">Test Year:  12MOE Sept 2016  </t>
  </si>
  <si>
    <t>Transmission Sales calculated with FERC formula rates effective June 2016 to May 2017 (WA $1.9501, Southern Intertie $1.0931, Colstrip $2.6523 per kw-month)</t>
  </si>
  <si>
    <t>17GRC RY Jan - Dec 2018</t>
  </si>
  <si>
    <t>2017 GRC vs. 2014 PCORC  as Filed</t>
  </si>
  <si>
    <t>Whitehorn 1-4</t>
  </si>
  <si>
    <t>2017 GRC</t>
  </si>
  <si>
    <t>2017 General Rate Case</t>
  </si>
  <si>
    <t>OATT Transmission Revenue</t>
  </si>
  <si>
    <t>Add Rate Year OATT Transmission Revenue</t>
  </si>
  <si>
    <t>9/30/2016</t>
  </si>
  <si>
    <t>Oct 1, 2015_Sept 30, 2016 17GRC</t>
  </si>
  <si>
    <t>POWERTAX PRORATION CALCULATION (WITH Bonus)</t>
  </si>
  <si>
    <t>For the Twelve Months Ended 9/30/2016</t>
  </si>
  <si>
    <t>Rate Year:  Twelve Months Ended 12/31/2018</t>
  </si>
  <si>
    <t xml:space="preserve">In this case Flow-through Depreciation for 12MOE Sept 2016 is negative $13.4M and must be subtracted from (subtracting a negative effectively adds to)  </t>
  </si>
  <si>
    <t>Regulatory Assets (1) (Fixed)</t>
  </si>
  <si>
    <t>N/A (formerly hedging line of credit)</t>
  </si>
  <si>
    <t>(IV)</t>
  </si>
  <si>
    <t>(V)</t>
  </si>
  <si>
    <t>Prod Cost</t>
  </si>
  <si>
    <t>In Decoupling</t>
  </si>
  <si>
    <t>In PCA</t>
  </si>
  <si>
    <t>Variable</t>
  </si>
  <si>
    <t xml:space="preserve">     Brokerage Fees (variable)</t>
  </si>
  <si>
    <t xml:space="preserve">     Purchses/(Sales) of Non-Core Gase (variable)</t>
  </si>
  <si>
    <t>Add Rate Yeare Equity Return on Centralia Coal Transition PPA (variable)</t>
  </si>
  <si>
    <t>SHARE OF DEFERRED UNASSIGNED RECOVERIES AS OF SEPTEMBER 30, 2016</t>
  </si>
  <si>
    <t>RECLASSIFY TRANSPORTATION REVENUE TO SALES TO CUSTOMERS</t>
  </si>
  <si>
    <t>SALES FOR RESALE FIRM</t>
  </si>
  <si>
    <t>SCHEDULE 40 - LARGE DEC VOLTAGE</t>
  </si>
  <si>
    <t>SCHEDULE 40 - PRIMARY VOLTAGE</t>
  </si>
  <si>
    <t>FOR THE TEST YEAR ENDED SEPTEMBER 30, 2016</t>
  </si>
  <si>
    <t>REMOVE CURRENT PERIOD DECOUPLING DEFERRALS</t>
  </si>
  <si>
    <t>REMOVE AMORTIZATION DECOUPLING DEFERRALS</t>
  </si>
  <si>
    <t>2017 GRC As Filed - Prices at September 23, 2016</t>
  </si>
  <si>
    <t>17GRC As Filed</t>
  </si>
  <si>
    <t>14PCORC Compliance</t>
  </si>
  <si>
    <t>PUGET SOUND ENERGY, INC.</t>
  </si>
  <si>
    <t>2017 GRC As Filed Power Costs Projections - AURORA + Not in Models - DRAFT</t>
  </si>
  <si>
    <t xml:space="preserve">Rate Year January 2018 through December 2018 </t>
  </si>
  <si>
    <t>Gas Price date: September 23, 2016</t>
  </si>
  <si>
    <t>TREASURY GRANTS</t>
  </si>
  <si>
    <t>TOTAL TREASURY GRANTS RATEBASE</t>
  </si>
  <si>
    <t>TOTAL TREASURY GRANTS EXPENSE</t>
  </si>
  <si>
    <t>DEPR-LEASEHOLD IMPROV.</t>
  </si>
  <si>
    <t>PLANT BALANCE-LEASE IMPROV</t>
  </si>
  <si>
    <t>ACCUM DEP-LEASE. IMPROVE.</t>
  </si>
  <si>
    <t>HYDRO TREASURY GRANTS RATEBASE</t>
  </si>
  <si>
    <t>HYDRO TREASURY GRANTS OPERATING EXPENSE</t>
  </si>
  <si>
    <t>RECLASS OF HYDRO</t>
  </si>
  <si>
    <t>NON POWER COST RELATED REG ASSETS &amp; LIAB</t>
  </si>
  <si>
    <t>Rate Year KWh</t>
  </si>
  <si>
    <t>WETT Tax Rate</t>
  </si>
  <si>
    <t xml:space="preserve">     WETT Tax</t>
  </si>
  <si>
    <t>EEELT Tax Rate</t>
  </si>
  <si>
    <t xml:space="preserve">     EEELT Tax</t>
  </si>
  <si>
    <t>RESTATED ENERGY TAX (LINE 1 X LINE 2)</t>
  </si>
  <si>
    <t>TRANSFER OF HYDRO TREASURY GRANTS IN RATEBASE</t>
  </si>
  <si>
    <t xml:space="preserve">Reconcile to Show Adjustments Received from Other </t>
  </si>
  <si>
    <t>Full Load assumed in Production Adj (MWHs)</t>
  </si>
  <si>
    <t>Full Load assumed in Power Costs (MWHs)</t>
  </si>
  <si>
    <t>In Model</t>
  </si>
  <si>
    <t>PORTION INCLUDED IN DEPRECIATION STUDY ADJ</t>
  </si>
  <si>
    <t xml:space="preserve">     WHITE RIVER AMA</t>
  </si>
  <si>
    <t xml:space="preserve">WHITE RIVER PLANT REGULATORY ASSET </t>
  </si>
  <si>
    <t>WHITE RIVER PLANT IN SERVICE FERC 101</t>
  </si>
  <si>
    <t>WHITE RIVER FUTURE USE PLANT FERC 105</t>
  </si>
  <si>
    <t>TOTAL WHITE RIVER</t>
  </si>
  <si>
    <t xml:space="preserve">ACCUMULATED AMORTIZATION </t>
  </si>
  <si>
    <t xml:space="preserve">    TOTAL WHITE RIVER NET</t>
  </si>
  <si>
    <t xml:space="preserve">     WHITE RIVER AMORTIZATION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</si>
  <si>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</si>
  <si>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</si>
  <si>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</si>
  <si>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</si>
  <si>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</si>
  <si>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PLANT BALANCE-BUILDING PURCHASE</t>
  </si>
  <si>
    <t>ACCUM DEPRECIATION-ON BUILDING PURCHASE</t>
  </si>
  <si>
    <t>ACC DEP-NEW BLG-PORTION INC IN DEP STUDY</t>
  </si>
  <si>
    <t xml:space="preserve">RENT CHARGED TO O&amp;M </t>
  </si>
  <si>
    <t>DEPR EXP-PORTION INC DEPR STUDY ADJ</t>
  </si>
  <si>
    <t>STATE UTILITY TAX SAVINGS FOR LINE 12</t>
  </si>
  <si>
    <t>For stand alone adjustments impacting ratebase</t>
  </si>
  <si>
    <t>ETIF</t>
  </si>
  <si>
    <t>Reported in FERC</t>
  </si>
  <si>
    <t>12MOE SAP</t>
  </si>
  <si>
    <t>Check</t>
  </si>
  <si>
    <t>to I/S</t>
  </si>
  <si>
    <t>PURCHASED POWER</t>
  </si>
  <si>
    <t>OTHER POWER SUPPLY</t>
  </si>
  <si>
    <t>ADFIT PORTION INCLUDED IN DEPRECIATION STUDY ADJ</t>
  </si>
  <si>
    <t>ACCUM DEPR-PORTION NEW DEPR STUDY</t>
  </si>
  <si>
    <t>DEPR EXP-PORTION FOR NEW DEPR STUDY</t>
  </si>
  <si>
    <t xml:space="preserve">   DEPRECIATION EXPENSE</t>
  </si>
  <si>
    <t xml:space="preserve">   DEFERRED INCOME TAX LIABILITY</t>
  </si>
  <si>
    <t xml:space="preserve">   DEF IN TAX LIAB-PORT NEW DEPR STUDY</t>
  </si>
  <si>
    <t>Glacier Battery Depreciation Expense (9.07)</t>
  </si>
  <si>
    <t xml:space="preserve">RATE YEAR NON-UNION WAGE INCREASE </t>
  </si>
  <si>
    <r>
      <t>UTILITY PLANT RATEBASE -</t>
    </r>
    <r>
      <rPr>
        <i/>
        <u/>
        <sz val="10"/>
        <rFont val="Times New Roman"/>
        <family val="1"/>
      </rPr>
      <t xml:space="preserve"> </t>
    </r>
    <r>
      <rPr>
        <b/>
        <i/>
        <u/>
        <sz val="10"/>
        <rFont val="Times New Roman"/>
        <family val="1"/>
      </rPr>
      <t>RETIRED ASSET</t>
    </r>
  </si>
  <si>
    <t xml:space="preserve">ACCUM DEFERRED FIT </t>
  </si>
  <si>
    <r>
      <t xml:space="preserve">UTILITY PLANT RATEBASE - </t>
    </r>
    <r>
      <rPr>
        <b/>
        <i/>
        <u/>
        <sz val="10"/>
        <rFont val="Times New Roman"/>
        <family val="1"/>
      </rPr>
      <t>NEW ADDITION</t>
    </r>
  </si>
  <si>
    <t>GOLDENDALE CAPACITY UPGRADE OPERATING EXPENSE</t>
  </si>
  <si>
    <t>TOTAL DEPRECIATION</t>
  </si>
  <si>
    <t>RETIRED ASSET DERPRECATION EXPENSE</t>
  </si>
  <si>
    <t>NEW ASSET DEPRECIATION EXPENSE</t>
  </si>
  <si>
    <t>NEW SERVICE AGREEMENT</t>
  </si>
  <si>
    <t>CUST REC &amp; COLLECTION EXPENSE</t>
  </si>
  <si>
    <t>DOCKET UE-160203 &amp; UG-160204 CREDIT CARD FEES</t>
  </si>
  <si>
    <t>AMORTIZATION OF DEFERRAL</t>
  </si>
  <si>
    <t>EXPECTED RATE YEAR LEVEL OF FEES</t>
  </si>
  <si>
    <t>2017 GRC Depreciation Study (8.06)</t>
  </si>
  <si>
    <t>NON-UNION EMPLOYEES</t>
  </si>
  <si>
    <t>EXCISE TAXES</t>
  </si>
  <si>
    <t>WUTC FILING FEE</t>
  </si>
  <si>
    <t>INCREASE(DECREASE) EXCISE AND WUTC FILING FEE</t>
  </si>
  <si>
    <t xml:space="preserve">INCREASE(DECREASE) OPERATING EXPENSE </t>
  </si>
  <si>
    <t>FILING FEE AND EXCISE TAX</t>
  </si>
  <si>
    <t>DFIT</t>
  </si>
  <si>
    <t>FOR TEST YEAR 9/30/16</t>
  </si>
  <si>
    <t>EXCISE TAX AND</t>
  </si>
  <si>
    <t>A/D PORTION INCLUDED IN DEPRECIATION STUDY</t>
  </si>
  <si>
    <t>DFIT PORTION INCLUDED IN DEPRECIATION STUDY</t>
  </si>
  <si>
    <t>DEP EXP PORTION INCLUDED IN DEPRECIATION STUDY</t>
  </si>
  <si>
    <t xml:space="preserve">       the Book Production Depreciation before applying the 35% tax rate, in this case resulting in an effective tax rate that is higher than 35%.  </t>
  </si>
  <si>
    <t>AMORTIZATION OF TREASURY GRANTS (407.4)</t>
  </si>
  <si>
    <t>check =&gt;</t>
  </si>
  <si>
    <t>Electric Labor Allocation:</t>
  </si>
  <si>
    <t>TY A&amp;G 926 (related to Other Pwr 557)</t>
  </si>
  <si>
    <t>TY A&amp;G 926 (related to Prod O&amp;M)</t>
  </si>
  <si>
    <t>Investment Plan Adj</t>
  </si>
  <si>
    <t>such as:  Pension, Investment Plan, Employee Insurance.</t>
  </si>
  <si>
    <t>Plant AMA 9/30/2016</t>
  </si>
  <si>
    <t>DEF TAX LIAB-PORT INC IN DEPR STUDY</t>
  </si>
  <si>
    <t xml:space="preserve">     WHITE RIVER REGULATORY ASSET</t>
  </si>
  <si>
    <t>WHITE RIVER REGULATORY ASSET</t>
  </si>
  <si>
    <t>(1) - Amortization is picked up in Regulatory Assets and Liabilities Adjustment and White River Adjustment.</t>
  </si>
  <si>
    <t>404 DEPR. EXP. ON ASSETS NOT INCLUDED IN STUDY</t>
  </si>
  <si>
    <t>411.10 ACCRETION EXP. - ASC 410 (RECOVERED IN RATES)</t>
  </si>
  <si>
    <t>411.10 ACCRETION EXP. - ASC 410 (NOT RECOVERED IN RATES)</t>
  </si>
  <si>
    <t>SUBTOTAL ACCRETION EXPENSE 411.10</t>
  </si>
  <si>
    <t>DEPRECIATION EXPENSE 403 ASSOCIATED WITH FLEET</t>
  </si>
  <si>
    <t>For Ratebase Portion of Production Adjustment 7.13</t>
  </si>
  <si>
    <t xml:space="preserve">  Depreciation  Study (6.06)</t>
  </si>
  <si>
    <t>Wild Horse Solar (7.03)</t>
  </si>
  <si>
    <t>Glacier Battery (7.07)</t>
  </si>
  <si>
    <t>Goldendale Capacity Upgrade (7.09)</t>
  </si>
  <si>
    <t>Mint Farm Capacity Upgrade (7.10)</t>
  </si>
  <si>
    <t>White River (7.11)</t>
  </si>
  <si>
    <t>Hydro Grant Transfer to Accum Deprec (7.12)</t>
  </si>
  <si>
    <t>For Op Expense Portion of Production Adjustment 7.13</t>
  </si>
  <si>
    <t xml:space="preserve">TOTAL REGULATORY ASSETS AND LIABILITIES RATEBASE </t>
  </si>
  <si>
    <t>a</t>
  </si>
  <si>
    <t xml:space="preserve">c  </t>
  </si>
  <si>
    <t>d</t>
  </si>
  <si>
    <t xml:space="preserve">e  </t>
  </si>
  <si>
    <t>f</t>
  </si>
  <si>
    <t>g</t>
  </si>
  <si>
    <t>h</t>
  </si>
  <si>
    <t>i</t>
  </si>
  <si>
    <t>j</t>
  </si>
  <si>
    <t>k</t>
  </si>
  <si>
    <t>l</t>
  </si>
  <si>
    <t>Determination of Net Power Costs in Adjustment KJB 7.01</t>
  </si>
  <si>
    <t>&lt;==Check to Prod Adj</t>
  </si>
  <si>
    <t>PF'd</t>
  </si>
  <si>
    <t>PAYMENT</t>
  </si>
  <si>
    <t>PROCESSING COSTS</t>
  </si>
  <si>
    <t>PAYMENT PROCESSING COSTS</t>
  </si>
  <si>
    <t>2017 GRC Initial Filing</t>
  </si>
  <si>
    <t>2014 PCORC Initial Filing</t>
  </si>
  <si>
    <t>COLSTRIP 1/2 RETIREMENT ACCOUNT</t>
  </si>
  <si>
    <t>STATEMENT OF OPERATING INCOME AND ADJUSTMENTS</t>
  </si>
  <si>
    <r>
      <t xml:space="preserve">501-Steam Fuel </t>
    </r>
    <r>
      <rPr>
        <sz val="9"/>
        <color rgb="FFFF0000"/>
        <rFont val="Arial"/>
        <family val="2"/>
      </rPr>
      <t>Incl PC Reg Amort</t>
    </r>
  </si>
  <si>
    <r>
      <t xml:space="preserve">555-Purchased power </t>
    </r>
    <r>
      <rPr>
        <sz val="9"/>
        <color rgb="FFFF0000"/>
        <rFont val="Arial"/>
        <family val="2"/>
      </rPr>
      <t>Incl PC Reg Amort</t>
    </r>
  </si>
  <si>
    <r>
      <t xml:space="preserve">547-Fuel </t>
    </r>
    <r>
      <rPr>
        <sz val="9"/>
        <color rgb="FFFF0000"/>
        <rFont val="Arial"/>
        <family val="2"/>
      </rPr>
      <t>Incl PC Reg Amort</t>
    </r>
  </si>
  <si>
    <r>
      <t xml:space="preserve">565-Wheeling </t>
    </r>
    <r>
      <rPr>
        <sz val="9"/>
        <color rgb="FFFF0000"/>
        <rFont val="Arial"/>
        <family val="2"/>
      </rPr>
      <t>Incl PC Reg Amort</t>
    </r>
  </si>
  <si>
    <r>
      <t xml:space="preserve">Amortization  - Regulatory Assets &amp; Liab - </t>
    </r>
    <r>
      <rPr>
        <sz val="9"/>
        <color rgb="FFFF0000"/>
        <rFont val="Arial"/>
        <family val="2"/>
      </rPr>
      <t>Non PC Only</t>
    </r>
    <r>
      <rPr>
        <sz val="9"/>
        <rFont val="Arial"/>
        <family val="2"/>
      </rPr>
      <t xml:space="preserve"> (1)</t>
    </r>
  </si>
  <si>
    <t>ELECTRIC COST OF SERVICE SUMMARY</t>
  </si>
  <si>
    <t>Adjusted Test Year Twelve Months ended September 2016 @ Proforma Rev Requirement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</si>
  <si>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</si>
  <si>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</si>
  <si>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</si>
  <si>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</si>
  <si>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</si>
  <si>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</si>
  <si>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</si>
  <si>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</si>
  <si>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</si>
  <si>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</si>
  <si>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Pri Volt Sch 31</t>
  </si>
  <si>
    <t>Pri Volt Sch 35</t>
  </si>
  <si>
    <t>Pri Volt Sch 43</t>
  </si>
  <si>
    <t>check</t>
  </si>
  <si>
    <t>Pri Volt
Sch 31/35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</si>
  <si>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</si>
  <si>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</si>
  <si>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</si>
  <si>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</si>
  <si>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</si>
  <si>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</si>
  <si>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</si>
  <si>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</si>
  <si>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</si>
  <si>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</si>
  <si>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</si>
  <si>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</si>
  <si>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Plant in Service</t>
  </si>
  <si>
    <t>Accumulated Reserve</t>
  </si>
  <si>
    <t>Other Ratebase Items</t>
  </si>
  <si>
    <t>Revenue at Current Rates</t>
  </si>
  <si>
    <t>Firm Sales</t>
  </si>
  <si>
    <t>Non-Firm Sales</t>
  </si>
  <si>
    <t>Other Operating Revenue</t>
  </si>
  <si>
    <t>TOTAL REVENUE - Current</t>
  </si>
  <si>
    <t>Expenses at Current Rates</t>
  </si>
  <si>
    <t>Operation and Maintenance</t>
  </si>
  <si>
    <t>Depreciation Expense</t>
  </si>
  <si>
    <t>Taxes Other Than Income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</si>
  <si>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</si>
  <si>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</si>
  <si>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</si>
  <si>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</si>
  <si>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</si>
  <si>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</si>
  <si>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</si>
  <si>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Revenue Conversion Factor</t>
  </si>
  <si>
    <t>Revenue Deficiency / (Surplus)</t>
  </si>
  <si>
    <t>Revenues Other Than Rate Sch. Rev.</t>
  </si>
  <si>
    <t>Rate Schedule Revenue Requirement</t>
  </si>
  <si>
    <t>Deficiency / (Surplus) as % of Firm Sales</t>
  </si>
  <si>
    <t>Expense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</si>
  <si>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</si>
  <si>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</si>
  <si>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</si>
  <si>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</si>
  <si>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</si>
  <si>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Deficiency</t>
  </si>
  <si>
    <t>Current Revenue to Cost Ratio</t>
  </si>
  <si>
    <t>Parity Ratio</t>
  </si>
  <si>
    <t>Proposed Revenue to Cost Ratio</t>
  </si>
  <si>
    <t>Functional Rate Base</t>
  </si>
  <si>
    <t>System Total</t>
  </si>
  <si>
    <t>Demand</t>
  </si>
  <si>
    <t>Energy</t>
  </si>
  <si>
    <t>Customer</t>
  </si>
  <si>
    <t>~</t>
  </si>
  <si>
    <t>Functional Revenue Requirement</t>
  </si>
  <si>
    <t>TOTAL REVENUE REQUIREMENT</t>
  </si>
  <si>
    <t>Unit Costs (per kWh)</t>
  </si>
  <si>
    <t>Delivered kWh</t>
  </si>
  <si>
    <t>Allocate Deficiency to Cost</t>
  </si>
  <si>
    <t>Uncollectible Expense</t>
  </si>
  <si>
    <t>Regulatory Exp</t>
  </si>
  <si>
    <t>Utility Tax</t>
  </si>
  <si>
    <t>Total Deficiency (Expense)</t>
  </si>
  <si>
    <t>Allocation to Class</t>
  </si>
  <si>
    <t xml:space="preserve">CAE - Uncollect Accts </t>
  </si>
  <si>
    <t xml:space="preserve">A&amp;G Exp - Reg Comm Exp </t>
  </si>
  <si>
    <t>Other Taxes - Wash Excise - Allocated</t>
  </si>
  <si>
    <t>Current Federal Income Tax @ Rate</t>
  </si>
  <si>
    <t>COST</t>
  </si>
  <si>
    <t>%</t>
  </si>
  <si>
    <t xml:space="preserve"> OF INTEREST AND GRANTS</t>
  </si>
  <si>
    <t>REMOVE SCHEDULE 95A TREASURY GRANTS AMORTIZATION</t>
  </si>
  <si>
    <t>RECLASSIFY TRANSPORTATION REVENUE FROM OTHER OP. REVENUES</t>
  </si>
  <si>
    <t>DEFERRED FIT-DEBIT</t>
  </si>
  <si>
    <t>WEIGHTED AVERAGE COST OF DEBT</t>
  </si>
  <si>
    <t>ADJUSTMENT TO ACCUM. DEPREC. AT 50% DEPREC. EXP. LINE 21</t>
  </si>
  <si>
    <t>2009 AND 2011 GRC EXPENSES TO BE NORMALIZED</t>
  </si>
  <si>
    <t>DEFERRED GAIN RECORDED FOR UE-111048, at 12/31/2017</t>
  </si>
  <si>
    <t>DEFERRED LOSS RECORDED FOR UE-111048, at 12/31/2017</t>
  </si>
  <si>
    <t>TOTAL DEFERRED NET LOSS FOR UE-111048, at 12/31/2017 TO AMORTIZE (LN 1 + LN 2)</t>
  </si>
  <si>
    <t>NET LOSS PENDING APPROVAL (LN 5 + LN 6)</t>
  </si>
  <si>
    <t>NET GAIN (LN 3 + LN 7)</t>
  </si>
  <si>
    <t>ANNUAL AMORTIZATION (LN 9 ÷ 36) x 12</t>
  </si>
  <si>
    <t>INCREASE (DECREASE) EXPENSE  (LN 13 - LN 11)</t>
  </si>
  <si>
    <t>DEFERRED COSTS NET OF SITE SPECIFIC RECOVERIES AS OF SEPTEMBER 30, 2016</t>
  </si>
  <si>
    <t>INCREASE (DECREASE) OPERATING EXPENSE (LINES 3 &amp; 9)</t>
  </si>
  <si>
    <t>456-1 VARIABLE TRANSM. INCOME - COLSTRIP, 3RD AC &amp; NI</t>
  </si>
  <si>
    <t>TRANSMISSION LINE LOSS % FOR WECC</t>
  </si>
  <si>
    <t xml:space="preserve">   A/D PORTION INCLUDED IN DEPRECIATION STUDY ADJ</t>
  </si>
  <si>
    <t xml:space="preserve">  TWELVE MONTHS ENDED 09/30/11</t>
  </si>
  <si>
    <t xml:space="preserve">  TWELVE MONTHS ENDED 09/30/12</t>
  </si>
  <si>
    <t xml:space="preserve">  TWELVE MONTHS ENDED 09/30/13</t>
  </si>
  <si>
    <t xml:space="preserve">  TWELVE MONTHS ENDED 09/30/14</t>
  </si>
  <si>
    <t xml:space="preserve">  TWELVE MONTHS ENDED 09/30/15</t>
  </si>
  <si>
    <t xml:space="preserve">  TWELVE MONTHS ENDED 09/30/16</t>
  </si>
  <si>
    <t>ANNUAL AMORTIZATION (LINE 27 ÷ 48) x 12</t>
  </si>
  <si>
    <t>TOTAL RATE YEAR AMORTIZATION (LINE 29 + LINE 36 + LINE 40)</t>
  </si>
  <si>
    <t>ANNUAL AMORTIZATION (LINE 39 ÷ 72 (6 YEARS) X 12)</t>
  </si>
  <si>
    <t>TOTAL INCREASE (DECREASE) OPERATING EXPENSE (LINE 16 + LINE 46)</t>
  </si>
  <si>
    <t>INCREASE (DECREASE) FIT @ 35% (LINE 489 X 35%)</t>
  </si>
  <si>
    <t>START OF RATE YEAR (01/01/18):</t>
  </si>
  <si>
    <t xml:space="preserve">(NOTE 1) THE ADJUSTMENTS FOR AMORTIZATION OF POWER COST RELATED REGULATORY ASSETS AND </t>
  </si>
  <si>
    <t xml:space="preserve">LIABILITIES ARE PERFORMED IN THE POWER COST ADJUSTMENT (ADJUSTMENT NO. 9.01) </t>
  </si>
  <si>
    <t>AND THEREFORE ARE NOT ADJUSTED HERE.</t>
  </si>
  <si>
    <t xml:space="preserve"> YEAR</t>
  </si>
  <si>
    <r>
      <t xml:space="preserve">ANNUAL AMORTIZATION (LINE 34 </t>
    </r>
    <r>
      <rPr>
        <sz val="9"/>
        <color rgb="FF000000"/>
        <rFont val="Symbol"/>
        <family val="1"/>
        <charset val="2"/>
      </rPr>
      <t>¸</t>
    </r>
    <r>
      <rPr>
        <sz val="10"/>
        <color rgb="FF000000"/>
        <rFont val="Times New Roman"/>
        <family val="1"/>
      </rPr>
      <t xml:space="preserve"> 10 (01/2018 - 10/2018) x 10)</t>
    </r>
  </si>
  <si>
    <t>NET HYDRO TREASURY GRANTS BALANCE IN DEFFERED DEBITS &amp; CREDITS</t>
  </si>
  <si>
    <t>APPLIED TO ALL BUT LINE 19</t>
  </si>
  <si>
    <t>APPLIED ONLY TO LINE 19</t>
  </si>
  <si>
    <t>OPERATING EXPENSE:</t>
  </si>
  <si>
    <t>FACTOR</t>
  </si>
  <si>
    <t>AMORTIZATION ON REGULATORY ASSETS (EXXLUDES POWER REG AMORT)</t>
  </si>
  <si>
    <t>RATEBASE:</t>
  </si>
  <si>
    <t>Exhibit No.___(KJB-8)</t>
  </si>
  <si>
    <t>Page 1 of 1</t>
  </si>
  <si>
    <t>TAX BENEFIT OF</t>
  </si>
  <si>
    <t xml:space="preserve"> PROFORMA INTEREST</t>
  </si>
  <si>
    <t>|------------------------ (NOTE 1) -------------------------|</t>
  </si>
  <si>
    <t>17GRC Depreciation Study</t>
  </si>
  <si>
    <t>Parameters</t>
  </si>
  <si>
    <t xml:space="preserve">Rev. Req. </t>
  </si>
  <si>
    <t>Pre-Tax</t>
  </si>
  <si>
    <t xml:space="preserve">Adj. </t>
  </si>
  <si>
    <t xml:space="preserve">Net Oper. </t>
  </si>
  <si>
    <t xml:space="preserve">Def. / </t>
  </si>
  <si>
    <t>Revenue Conversion</t>
  </si>
  <si>
    <t xml:space="preserve">No. </t>
  </si>
  <si>
    <t>Income</t>
  </si>
  <si>
    <t>(Suf.)</t>
  </si>
  <si>
    <t>Tax Rate</t>
  </si>
  <si>
    <t>Cost of Capital</t>
  </si>
  <si>
    <t>Capital</t>
  </si>
  <si>
    <t>Weighted</t>
  </si>
  <si>
    <t>Restating Adjustments:</t>
  </si>
  <si>
    <t>Component</t>
  </si>
  <si>
    <t>Structure</t>
  </si>
  <si>
    <t>Cost</t>
  </si>
  <si>
    <t>Total Debt</t>
  </si>
  <si>
    <t>Common</t>
  </si>
  <si>
    <t>Restated Results</t>
  </si>
  <si>
    <t>Pro Forma Adjustments</t>
  </si>
  <si>
    <t>ICNU Proposed</t>
  </si>
  <si>
    <t>Impact of ICNU Adjustments:</t>
  </si>
  <si>
    <t>ICNU Position</t>
  </si>
  <si>
    <t>Pro Forma Results</t>
  </si>
  <si>
    <t>Per Book Results (Y/E Sep. 30, 2016)</t>
  </si>
  <si>
    <t>ICNU Neutral</t>
  </si>
  <si>
    <t>Electric Revenue Requirement Summary ($000)</t>
  </si>
  <si>
    <t>IN-1</t>
  </si>
  <si>
    <t>Colstrip End of Life Accounting</t>
  </si>
  <si>
    <t>ICNU Oppose</t>
  </si>
  <si>
    <t>IN-2</t>
  </si>
  <si>
    <t>Pro Forma Net Operating Loss Carryforward</t>
  </si>
  <si>
    <t>IN-3</t>
  </si>
  <si>
    <t>PTC Amortization</t>
  </si>
  <si>
    <t>Adj. IN-1</t>
  </si>
  <si>
    <t xml:space="preserve">COLSTRIP END OF LIFE ACCOUNTING </t>
  </si>
  <si>
    <t>DR.</t>
  </si>
  <si>
    <t>CR.</t>
  </si>
  <si>
    <t>Adj. IN-3</t>
  </si>
  <si>
    <t>PRODUCTION TAX CREDIT REGULATORY LIABILITY AMORTIZATION</t>
  </si>
  <si>
    <t>FERC 182.2.xx COLSTRIP END OF LIFE BALANCING ACCOUNT</t>
  </si>
  <si>
    <t>RATE BASE IMPACT OF RECLASSIFICATION</t>
  </si>
  <si>
    <t>FERC 407.xx - AMORTOF UNRECVRD COLSTRIP 1&amp;2 COSTS</t>
  </si>
  <si>
    <t>REGULATORY LIABILITY BALANCE 12/31/2016</t>
  </si>
  <si>
    <t>AMORTIZATION (S/L 4.5 YEARS)</t>
  </si>
  <si>
    <t>190.433-NET OPERATING LOSS CARRYFORWARD</t>
  </si>
  <si>
    <t>NET OPERATING LOSS CARRYFORWARDS</t>
  </si>
  <si>
    <t>ACCOUNTING</t>
  </si>
  <si>
    <t>COLST. 1&amp;2 EOL</t>
  </si>
  <si>
    <t>PTC REG. LIAB.</t>
  </si>
  <si>
    <t>AMORT</t>
  </si>
  <si>
    <t>NOL</t>
  </si>
  <si>
    <t>C/F</t>
  </si>
  <si>
    <t>IN-4</t>
  </si>
  <si>
    <t>Plant Held for Future Use</t>
  </si>
  <si>
    <t>Adj. IN-4</t>
  </si>
  <si>
    <t>PLANT HELD FOR FUTURE USE</t>
  </si>
  <si>
    <t>FERC 105 - PLANT HELD FOR FUTURE USE</t>
  </si>
  <si>
    <t>TEST PERIOD</t>
  </si>
  <si>
    <t>Adj. IN-2</t>
  </si>
  <si>
    <t>2018 AMORTIZATION (INCLUDES RETURN ON BALANCE):</t>
  </si>
  <si>
    <t>Revenues &amp; Expenses</t>
  </si>
  <si>
    <t>Temperature Normalization</t>
  </si>
  <si>
    <t>Pass-Through Revs. &amp; Exps.</t>
  </si>
  <si>
    <t>Federal Income Tax</t>
  </si>
  <si>
    <t>Tax Benefit Of Proforma Interest</t>
  </si>
  <si>
    <t>Depreciation Study</t>
  </si>
  <si>
    <t>Normalize Inj &amp; Dmgs</t>
  </si>
  <si>
    <t>Bad Debts</t>
  </si>
  <si>
    <t>Incentive Pay</t>
  </si>
  <si>
    <t>D&amp;O Insurance</t>
  </si>
  <si>
    <t>Interest On Cust Deposits</t>
  </si>
  <si>
    <t>Rate Case Expenses</t>
  </si>
  <si>
    <t>Deferred G/L On Property Sales</t>
  </si>
  <si>
    <t>Property &amp; Liability Ins</t>
  </si>
  <si>
    <t>Pension Plan</t>
  </si>
  <si>
    <t>Wage Increase</t>
  </si>
  <si>
    <t>Investment Plan</t>
  </si>
  <si>
    <t>Employee Insurance</t>
  </si>
  <si>
    <t>Environmental Remediation</t>
  </si>
  <si>
    <t>Payment Processing Costs</t>
  </si>
  <si>
    <t>South King Service Center</t>
  </si>
  <si>
    <t>Excise Tax And Wutc Filing Fee</t>
  </si>
  <si>
    <t>Power Costs</t>
  </si>
  <si>
    <t>Wild Horse Solar</t>
  </si>
  <si>
    <t>Storm Damage</t>
  </si>
  <si>
    <t>Reg Assets &amp; Liabilities</t>
  </si>
  <si>
    <t>Glacier Battery Strg</t>
  </si>
  <si>
    <t>Energy Imb Market</t>
  </si>
  <si>
    <t>White River</t>
  </si>
  <si>
    <t>Reclass Of Hydro Treasury Grants</t>
  </si>
  <si>
    <t>Production Adjustment</t>
  </si>
  <si>
    <t>ICNU Update</t>
  </si>
  <si>
    <t>MT Electric Energy Tax</t>
  </si>
  <si>
    <t>ASC 815 (Prev. SFAS 133)</t>
  </si>
  <si>
    <t>Adj. 7.01</t>
  </si>
  <si>
    <t>PLANT HELD FOR</t>
  </si>
  <si>
    <t>FUTURE USE</t>
  </si>
  <si>
    <t xml:space="preserve">PTC REGULATORY LIABILITY </t>
  </si>
  <si>
    <t>ALLOWANCE FOR DEFERRED INCOME TAXES</t>
  </si>
  <si>
    <t xml:space="preserve">INCREASE(DECREASE) POST TAX OPERATING EXPENSE </t>
  </si>
  <si>
    <t>PRE TAX OPERATING EXPENSE @ 35%</t>
  </si>
  <si>
    <t>TAX EFFECTS INTERNALIZED TO ACCOUNT IN CARRYING CHARGE</t>
  </si>
  <si>
    <t>Filed Rate Base</t>
  </si>
  <si>
    <t>Rate of Return Impact</t>
  </si>
  <si>
    <t>Filed Rate Of Return</t>
  </si>
  <si>
    <t>Company Filing @ ICNU Cost of Capital</t>
  </si>
  <si>
    <t>Less: Firm Sales for Resale</t>
  </si>
  <si>
    <t>Tax Sync Alloc</t>
  </si>
  <si>
    <t>Production Alloc</t>
  </si>
  <si>
    <t>Total Adj. .</t>
  </si>
  <si>
    <t>1/1/2018 RECLASSIFICATION:</t>
  </si>
  <si>
    <t>RESTATING ADJUSTMENT DETAIL</t>
  </si>
  <si>
    <t>PRO FORMA ADJUSTMENT DETAIL</t>
  </si>
  <si>
    <t xml:space="preserve">ADJUSTED RESULTS DETAIL </t>
  </si>
  <si>
    <t>PUGET SOUND ENERGY - ELECTRIC REVENUE REQUIREMENT CALCULATIONS</t>
  </si>
  <si>
    <t>Ardmore Substation Overruns</t>
  </si>
  <si>
    <t>IN-6</t>
  </si>
  <si>
    <t xml:space="preserve">ARDMORE </t>
  </si>
  <si>
    <t>SUB OVRRN</t>
  </si>
  <si>
    <t>&lt;--Unreconciled in this version, to be updated in Cross Answering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</si>
</sst>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#,##0.0000000;\(#,##0.0000000\)"/>
    <numFmt numFmtId="170" formatCode="#,##0;\(#,##0\)"/>
    <numFmt numFmtId="171" formatCode="yyyy"/>
    <numFmt numFmtId="172" formatCode="0.0000000%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_);[Red]_(* \(#,##0\);_(* &quot;-&quot;_);_(@_)"/>
    <numFmt numFmtId="176" formatCode="_(&quot;$&quot;* #,##0_);[Red]_(&quot;$&quot;* \(#,##0\);_(&quot;$&quot;* &quot;-&quot;_);_(@_)"/>
    <numFmt numFmtId="177" formatCode="_(* #,##0.00000_);_(* \(#,##0.00000\);_(* &quot;-&quot;??_);_(@_)"/>
    <numFmt numFmtId="178" formatCode="0.000000"/>
    <numFmt numFmtId="179" formatCode="_(* #,##0.0_);_(* \(#,##0.0\);_(* &quot;-&quot;_);_(@_)"/>
    <numFmt numFmtId="180" formatCode="0.00000%"/>
    <numFmt numFmtId="181" formatCode="&quot;PAGE&quot;\ 0.00"/>
    <numFmt numFmtId="182" formatCode="_(* #,##0.000000_);_(* \(#,##0.000000\);_(* &quot;-&quot;??????_);_(@_)"/>
    <numFmt numFmtId="183" formatCode="_(* #,##0.000000_);_(* \(#,##0.000000\);_(* &quot;-&quot;??_);_(@_)"/>
    <numFmt numFmtId="184" formatCode="_(* #,##0.0_);_(* \(#,##0.0\);_(* &quot;-&quot;??_);_(@_)"/>
    <numFmt numFmtId="185" formatCode="_(&quot;$&quot;* #,##0.000_);_(&quot;$&quot;* \(#,##0.000\);_(&quot;$&quot;* &quot;-&quot;??_);_(@_)"/>
    <numFmt numFmtId="186" formatCode="_(* #,##0.0000000_);_(* \(#,##0.0000000\);_(* &quot;-&quot;??_);_(@_)"/>
    <numFmt numFmtId="187" formatCode="0.00_);\(0.00\)"/>
    <numFmt numFmtId="188" formatCode="0.0"/>
    <numFmt numFmtId="189" formatCode="0.00_)"/>
    <numFmt numFmtId="190" formatCode="0.0000000"/>
    <numFmt numFmtId="191" formatCode="0000"/>
    <numFmt numFmtId="192" formatCode="000000"/>
    <numFmt numFmtId="193" formatCode="_-* ###0_-;\(###0\);_-* &quot;–&quot;_-;_-@_-"/>
    <numFmt numFmtId="194" formatCode="_-* #,###_-;\(#,###\);_-* &quot;–&quot;_-;_-@_-"/>
    <numFmt numFmtId="195" formatCode="_-\ #,##0.0_-;\(#,##0.0\);_-* &quot;–&quot;_-;_-@_-"/>
    <numFmt numFmtId="196" formatCode="d\.mmm\.yy"/>
    <numFmt numFmtId="197" formatCode="0.000_)"/>
    <numFmt numFmtId="198" formatCode="[$-409]mmm\-yy;@"/>
    <numFmt numFmtId="199" formatCode="#."/>
    <numFmt numFmtId="200" formatCode="#,##0.0"/>
    <numFmt numFmtId="201" formatCode="#,##0.0_);[Red]\(#,##0.0\)"/>
    <numFmt numFmtId="202" formatCode="_(* ###0_);_(* \(###0\);_(* &quot;-&quot;_);_(@_)"/>
    <numFmt numFmtId="203" formatCode="m/d/yy\ h:mm\ AM/PM"/>
    <numFmt numFmtId="204" formatCode="m/d/yy\ h:mm"/>
    <numFmt numFmtId="205" formatCode="_([$€-2]* #,##0.00_);_([$€-2]* \(#,##0.00\);_([$€-2]* &quot;-&quot;??_)"/>
    <numFmt numFmtId="206" formatCode="#,###,##0.00;\(#,###,##0.00\)"/>
    <numFmt numFmtId="207" formatCode="&quot;$&quot;#,###,##0.00;\(&quot;$&quot;#,###,##0.00\)"/>
    <numFmt numFmtId="208" formatCode="#,##0.00%;\(#,##0.00%\)"/>
    <numFmt numFmtId="209" formatCode="_(&quot;$&quot;* #,##0.0_);_(&quot;$&quot;* \(#,##0.0\);_(&quot;$&quot;* &quot;-&quot;??_);_(@_)"/>
    <numFmt numFmtId="210" formatCode="0.0000_);\(0.0000\)"/>
    <numFmt numFmtId="211" formatCode="mmm\-yyyy"/>
    <numFmt numFmtId="212" formatCode="&quot;$&quot;#,"/>
    <numFmt numFmtId="213" formatCode="&quot;$&quot;#,##0;\-&quot;$&quot;#,##0"/>
    <numFmt numFmtId="214" formatCode="0000000"/>
    <numFmt numFmtId="215" formatCode="#,##0_);\-#,##0_);\-_)"/>
    <numFmt numFmtId="216" formatCode="#,##0.00_);\-#,##0.00_);\-_)"/>
    <numFmt numFmtId="217" formatCode="#,##0.000_);[Red]\(#,##0.000\)"/>
    <numFmt numFmtId="218" formatCode="0.00\ ;\-0.00\ ;&quot;- &quot;"/>
    <numFmt numFmtId="219" formatCode="_(&quot;$&quot;* #,##0.0000_);_(&quot;$&quot;* \(#,##0.0000\);_(&quot;$&quot;* &quot;-&quot;????_);_(@_)"/>
    <numFmt numFmtId="220" formatCode="#,##0.0_);\-#,##0.0_);\-_)"/>
    <numFmt numFmtId="221" formatCode="mmm\ dd\,\ yyyy"/>
    <numFmt numFmtId="222" formatCode="&quot;$&quot;#,##0.00"/>
    <numFmt numFmtId="223" formatCode="0.00\ "/>
    <numFmt numFmtId="224" formatCode="&quot;Adj.&quot;\ 0.00"/>
    <numFmt numFmtId="225" formatCode="_(&quot;$&quot;* #,##0.000000_);_(&quot;$&quot;* \(#,##0.000000\);_(&quot;$&quot;* &quot;-&quot;??_);_(@_)"/>
    <numFmt numFmtId="226" formatCode="0.000"/>
    <numFmt numFmtId="227" formatCode="_(* #,##0.00_);_(* \(#,##0.00\);_(* &quot;-&quot;_);_(@_)"/>
  </numFmts>
  <fonts count="24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8.8000000000000007"/>
      <name val="Symbol"/>
      <family val="1"/>
      <charset val="2"/>
    </font>
    <font>
      <sz val="8"/>
      <name val="Helv"/>
    </font>
    <font>
      <sz val="12"/>
      <name val="Arial"/>
      <family val="2"/>
    </font>
    <font>
      <sz val="10"/>
      <color indexed="14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u/>
      <sz val="14"/>
      <color indexed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indexed="2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0"/>
      <name val="Helv"/>
    </font>
    <font>
      <b/>
      <sz val="8"/>
      <color rgb="FFFF0000"/>
      <name val="Helv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Calibri"/>
      <family val="2"/>
      <scheme val="minor"/>
    </font>
    <font>
      <b/>
      <sz val="10"/>
      <color rgb="FF0000FF"/>
      <name val="Times New Roman"/>
      <family val="1"/>
    </font>
    <font>
      <b/>
      <sz val="14"/>
      <color rgb="FFFF0000"/>
      <name val="Arial"/>
      <family val="2"/>
    </font>
    <font>
      <sz val="10"/>
      <color rgb="FF0000FF"/>
      <name val="Times New Roman"/>
      <family val="1"/>
    </font>
    <font>
      <b/>
      <sz val="10"/>
      <name val="Helv"/>
    </font>
    <font>
      <sz val="12"/>
      <name val="Times New Roman"/>
      <family val="1"/>
    </font>
    <font>
      <sz val="1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indexed="20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11"/>
      <color indexed="62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9"/>
      <color rgb="FFFA7D00"/>
      <name val="Calibri"/>
      <family val="2"/>
    </font>
    <font>
      <sz val="12"/>
      <color rgb="FFFA7D0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2"/>
      <name val="Times"/>
      <family val="1"/>
    </font>
    <font>
      <sz val="12"/>
      <color indexed="10"/>
      <name val="Times"/>
      <family val="1"/>
    </font>
    <font>
      <sz val="12"/>
      <name val="Helv"/>
    </font>
    <font>
      <b/>
      <i/>
      <sz val="10"/>
      <name val="Helv"/>
    </font>
    <font>
      <i/>
      <sz val="10"/>
      <name val="Helv"/>
    </font>
    <font>
      <i/>
      <sz val="8"/>
      <color rgb="FF00B0F0"/>
      <name val="Arial"/>
      <family val="2"/>
    </font>
    <font>
      <sz val="10"/>
      <color theme="1"/>
      <name val="Calibri"/>
      <family val="2"/>
    </font>
    <font>
      <sz val="9"/>
      <name val="Helv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0"/>
      <color rgb="FFFF0066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theme="1"/>
      <name val="Times New Roman"/>
      <family val="1"/>
    </font>
    <font>
      <sz val="11"/>
      <color rgb="FF0000FF"/>
      <name val="Calibri"/>
      <family val="2"/>
      <scheme val="minor"/>
    </font>
    <font>
      <sz val="11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FF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rgb="FF000000"/>
      <name val="Symbol"/>
      <family val="1"/>
      <charset val="2"/>
    </font>
    <font>
      <sz val="10"/>
      <color theme="0" tint="-0.249977111117893"/>
      <name val="Times New Roman"/>
      <family val="1"/>
    </font>
    <font>
      <b/>
      <sz val="10"/>
      <color rgb="FF002F3A"/>
      <name val="Times New Roman"/>
      <family val="1"/>
    </font>
    <font>
      <b/>
      <sz val="11"/>
      <name val="Times New Roman"/>
      <family val="1"/>
    </font>
    <font>
      <sz val="10"/>
      <color rgb="FF005B70"/>
      <name val="Times New Roman"/>
      <family val="1"/>
    </font>
    <font>
      <b/>
      <sz val="10"/>
      <color rgb="FF005B70"/>
      <name val="Times New Roman"/>
      <family val="1"/>
    </font>
    <font>
      <i/>
      <sz val="10"/>
      <color rgb="FF005B70"/>
      <name val="Times New Roman"/>
      <family val="1"/>
    </font>
    <font>
      <sz val="8"/>
      <color rgb="FF005B70"/>
      <name val="Helv"/>
    </font>
  </fonts>
  <fills count="9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33"/>
        <bgColor indexed="64"/>
      </patternFill>
    </fill>
  </fills>
  <borders count="1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294">
    <xf numFmtId="178" fontId="0" fillId="0" borderId="0">
      <alignment horizontal="left" wrapText="1"/>
    </xf>
    <xf numFmtId="43" fontId="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79" fillId="0" borderId="0"/>
    <xf numFmtId="44" fontId="13" fillId="0" borderId="0" applyFont="0" applyFill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1" fillId="35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4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1" fillId="36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2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1" fillId="37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4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1" fillId="38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2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1" fillId="39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4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1" fillId="4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2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1" fillId="41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4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1" fillId="42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2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1" fillId="43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4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2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1" fillId="39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4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1" fillId="41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2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1" fillId="4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4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1" fillId="35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2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1" fillId="3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4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2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1" fillId="44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4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1" fillId="45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2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1" fillId="38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4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1" fillId="42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2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1" fillId="43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4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1" fillId="35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2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1" fillId="39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4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1" fillId="46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2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3" fillId="43" borderId="0" applyNumberFormat="0" applyBorder="0" applyAlignment="0" applyProtection="0"/>
    <xf numFmtId="0" fontId="78" fillId="14" borderId="0" applyNumberFormat="0" applyBorder="0" applyAlignment="0" applyProtection="0"/>
    <xf numFmtId="0" fontId="83" fillId="47" borderId="0" applyNumberFormat="0" applyBorder="0" applyAlignment="0" applyProtection="0"/>
    <xf numFmtId="0" fontId="84" fillId="14" borderId="0" applyNumberFormat="0" applyBorder="0" applyAlignment="0" applyProtection="0"/>
    <xf numFmtId="0" fontId="85" fillId="14" borderId="0" applyNumberFormat="0" applyBorder="0" applyAlignment="0" applyProtection="0"/>
    <xf numFmtId="0" fontId="83" fillId="48" borderId="0" applyNumberFormat="0" applyBorder="0" applyAlignment="0" applyProtection="0"/>
    <xf numFmtId="0" fontId="78" fillId="18" borderId="0" applyNumberFormat="0" applyBorder="0" applyAlignment="0" applyProtection="0"/>
    <xf numFmtId="0" fontId="83" fillId="37" borderId="0" applyNumberFormat="0" applyBorder="0" applyAlignment="0" applyProtection="0"/>
    <xf numFmtId="0" fontId="84" fillId="18" borderId="0" applyNumberFormat="0" applyBorder="0" applyAlignment="0" applyProtection="0"/>
    <xf numFmtId="0" fontId="85" fillId="18" borderId="0" applyNumberFormat="0" applyBorder="0" applyAlignment="0" applyProtection="0"/>
    <xf numFmtId="0" fontId="83" fillId="46" borderId="0" applyNumberFormat="0" applyBorder="0" applyAlignment="0" applyProtection="0"/>
    <xf numFmtId="0" fontId="78" fillId="22" borderId="0" applyNumberFormat="0" applyBorder="0" applyAlignment="0" applyProtection="0"/>
    <xf numFmtId="0" fontId="83" fillId="45" borderId="0" applyNumberFormat="0" applyBorder="0" applyAlignment="0" applyProtection="0"/>
    <xf numFmtId="0" fontId="84" fillId="22" borderId="0" applyNumberFormat="0" applyBorder="0" applyAlignment="0" applyProtection="0"/>
    <xf numFmtId="0" fontId="85" fillId="22" borderId="0" applyNumberFormat="0" applyBorder="0" applyAlignment="0" applyProtection="0"/>
    <xf numFmtId="0" fontId="83" fillId="38" borderId="0" applyNumberFormat="0" applyBorder="0" applyAlignment="0" applyProtection="0"/>
    <xf numFmtId="0" fontId="78" fillId="26" borderId="0" applyNumberFormat="0" applyBorder="0" applyAlignment="0" applyProtection="0"/>
    <xf numFmtId="0" fontId="83" fillId="49" borderId="0" applyNumberFormat="0" applyBorder="0" applyAlignment="0" applyProtection="0"/>
    <xf numFmtId="0" fontId="84" fillId="26" borderId="0" applyNumberFormat="0" applyBorder="0" applyAlignment="0" applyProtection="0"/>
    <xf numFmtId="0" fontId="85" fillId="26" borderId="0" applyNumberFormat="0" applyBorder="0" applyAlignment="0" applyProtection="0"/>
    <xf numFmtId="0" fontId="83" fillId="43" borderId="0" applyNumberFormat="0" applyBorder="0" applyAlignment="0" applyProtection="0"/>
    <xf numFmtId="0" fontId="78" fillId="30" borderId="0" applyNumberFormat="0" applyBorder="0" applyAlignment="0" applyProtection="0"/>
    <xf numFmtId="0" fontId="83" fillId="50" borderId="0" applyNumberFormat="0" applyBorder="0" applyAlignment="0" applyProtection="0"/>
    <xf numFmtId="0" fontId="84" fillId="30" borderId="0" applyNumberFormat="0" applyBorder="0" applyAlignment="0" applyProtection="0"/>
    <xf numFmtId="0" fontId="85" fillId="30" borderId="0" applyNumberFormat="0" applyBorder="0" applyAlignment="0" applyProtection="0"/>
    <xf numFmtId="0" fontId="83" fillId="37" borderId="0" applyNumberFormat="0" applyBorder="0" applyAlignment="0" applyProtection="0"/>
    <xf numFmtId="0" fontId="78" fillId="34" borderId="0" applyNumberFormat="0" applyBorder="0" applyAlignment="0" applyProtection="0"/>
    <xf numFmtId="0" fontId="83" fillId="51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3" fillId="52" borderId="0" applyNumberFormat="0" applyBorder="0" applyAlignment="0" applyProtection="0"/>
    <xf numFmtId="0" fontId="78" fillId="11" borderId="0" applyNumberFormat="0" applyBorder="0" applyAlignment="0" applyProtection="0"/>
    <xf numFmtId="0" fontId="83" fillId="53" borderId="0" applyNumberFormat="0" applyBorder="0" applyAlignment="0" applyProtection="0"/>
    <xf numFmtId="0" fontId="84" fillId="11" borderId="0" applyNumberFormat="0" applyBorder="0" applyAlignment="0" applyProtection="0"/>
    <xf numFmtId="0" fontId="85" fillId="11" borderId="0" applyNumberFormat="0" applyBorder="0" applyAlignment="0" applyProtection="0"/>
    <xf numFmtId="0" fontId="83" fillId="48" borderId="0" applyNumberFormat="0" applyBorder="0" applyAlignment="0" applyProtection="0"/>
    <xf numFmtId="0" fontId="78" fillId="15" borderId="0" applyNumberFormat="0" applyBorder="0" applyAlignment="0" applyProtection="0"/>
    <xf numFmtId="0" fontId="83" fillId="54" borderId="0" applyNumberFormat="0" applyBorder="0" applyAlignment="0" applyProtection="0"/>
    <xf numFmtId="0" fontId="84" fillId="15" borderId="0" applyNumberFormat="0" applyBorder="0" applyAlignment="0" applyProtection="0"/>
    <xf numFmtId="0" fontId="85" fillId="15" borderId="0" applyNumberFormat="0" applyBorder="0" applyAlignment="0" applyProtection="0"/>
    <xf numFmtId="0" fontId="83" fillId="46" borderId="0" applyNumberFormat="0" applyBorder="0" applyAlignment="0" applyProtection="0"/>
    <xf numFmtId="0" fontId="78" fillId="19" borderId="0" applyNumberFormat="0" applyBorder="0" applyAlignment="0" applyProtection="0"/>
    <xf numFmtId="0" fontId="83" fillId="55" borderId="0" applyNumberFormat="0" applyBorder="0" applyAlignment="0" applyProtection="0"/>
    <xf numFmtId="0" fontId="84" fillId="19" borderId="0" applyNumberFormat="0" applyBorder="0" applyAlignment="0" applyProtection="0"/>
    <xf numFmtId="0" fontId="85" fillId="19" borderId="0" applyNumberFormat="0" applyBorder="0" applyAlignment="0" applyProtection="0"/>
    <xf numFmtId="0" fontId="83" fillId="56" borderId="0" applyNumberFormat="0" applyBorder="0" applyAlignment="0" applyProtection="0"/>
    <xf numFmtId="0" fontId="78" fillId="23" borderId="0" applyNumberFormat="0" applyBorder="0" applyAlignment="0" applyProtection="0"/>
    <xf numFmtId="0" fontId="83" fillId="49" borderId="0" applyNumberFormat="0" applyBorder="0" applyAlignment="0" applyProtection="0"/>
    <xf numFmtId="0" fontId="84" fillId="23" borderId="0" applyNumberFormat="0" applyBorder="0" applyAlignment="0" applyProtection="0"/>
    <xf numFmtId="0" fontId="85" fillId="23" borderId="0" applyNumberFormat="0" applyBorder="0" applyAlignment="0" applyProtection="0"/>
    <xf numFmtId="0" fontId="83" fillId="50" borderId="0" applyNumberFormat="0" applyBorder="0" applyAlignment="0" applyProtection="0"/>
    <xf numFmtId="0" fontId="78" fillId="27" borderId="0" applyNumberFormat="0" applyBorder="0" applyAlignment="0" applyProtection="0"/>
    <xf numFmtId="0" fontId="84" fillId="27" borderId="0" applyNumberFormat="0" applyBorder="0" applyAlignment="0" applyProtection="0"/>
    <xf numFmtId="0" fontId="85" fillId="27" borderId="0" applyNumberFormat="0" applyBorder="0" applyAlignment="0" applyProtection="0"/>
    <xf numFmtId="0" fontId="83" fillId="54" borderId="0" applyNumberFormat="0" applyBorder="0" applyAlignment="0" applyProtection="0"/>
    <xf numFmtId="0" fontId="78" fillId="31" borderId="0" applyNumberFormat="0" applyBorder="0" applyAlignment="0" applyProtection="0"/>
    <xf numFmtId="0" fontId="83" fillId="48" borderId="0" applyNumberFormat="0" applyBorder="0" applyAlignment="0" applyProtection="0"/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6" fillId="42" borderId="0" applyNumberFormat="0" applyBorder="0" applyAlignment="0" applyProtection="0"/>
    <xf numFmtId="0" fontId="70" fillId="5" borderId="0" applyNumberFormat="0" applyBorder="0" applyAlignment="0" applyProtection="0"/>
    <xf numFmtId="0" fontId="86" fillId="38" borderId="0" applyNumberFormat="0" applyBorder="0" applyAlignment="0" applyProtection="0"/>
    <xf numFmtId="0" fontId="87" fillId="5" borderId="0" applyNumberFormat="0" applyBorder="0" applyAlignment="0" applyProtection="0"/>
    <xf numFmtId="0" fontId="88" fillId="5" borderId="0" applyNumberFormat="0" applyBorder="0" applyAlignment="0" applyProtection="0"/>
    <xf numFmtId="0" fontId="89" fillId="57" borderId="61" applyNumberFormat="0" applyAlignment="0" applyProtection="0"/>
    <xf numFmtId="0" fontId="74" fillId="8" borderId="55" applyNumberFormat="0" applyAlignment="0" applyProtection="0"/>
    <xf numFmtId="0" fontId="90" fillId="58" borderId="61" applyNumberFormat="0" applyAlignment="0" applyProtection="0"/>
    <xf numFmtId="0" fontId="91" fillId="8" borderId="55" applyNumberFormat="0" applyAlignment="0" applyProtection="0"/>
    <xf numFmtId="0" fontId="92" fillId="8" borderId="55" applyNumberFormat="0" applyAlignment="0" applyProtection="0"/>
    <xf numFmtId="0" fontId="93" fillId="59" borderId="62" applyNumberFormat="0" applyAlignment="0" applyProtection="0"/>
    <xf numFmtId="0" fontId="76" fillId="9" borderId="58" applyNumberFormat="0" applyAlignment="0" applyProtection="0"/>
    <xf numFmtId="0" fontId="94" fillId="9" borderId="58" applyNumberFormat="0" applyAlignment="0" applyProtection="0"/>
    <xf numFmtId="0" fontId="95" fillId="9" borderId="5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43" borderId="0" applyNumberFormat="0" applyBorder="0" applyAlignment="0" applyProtection="0"/>
    <xf numFmtId="0" fontId="69" fillId="4" borderId="0" applyNumberFormat="0" applyBorder="0" applyAlignment="0" applyProtection="0"/>
    <xf numFmtId="0" fontId="99" fillId="40" borderId="0" applyNumberFormat="0" applyBorder="0" applyAlignment="0" applyProtection="0"/>
    <xf numFmtId="0" fontId="100" fillId="4" borderId="0" applyNumberFormat="0" applyBorder="0" applyAlignment="0" applyProtection="0"/>
    <xf numFmtId="0" fontId="101" fillId="4" borderId="0" applyNumberFormat="0" applyBorder="0" applyAlignment="0" applyProtection="0"/>
    <xf numFmtId="38" fontId="16" fillId="60" borderId="0" applyNumberFormat="0" applyBorder="0" applyAlignment="0" applyProtection="0"/>
    <xf numFmtId="38" fontId="16" fillId="60" borderId="0" applyNumberFormat="0" applyBorder="0" applyAlignment="0" applyProtection="0"/>
    <xf numFmtId="0" fontId="102" fillId="0" borderId="63" applyNumberFormat="0" applyFill="0" applyAlignment="0" applyProtection="0"/>
    <xf numFmtId="0" fontId="66" fillId="0" borderId="52" applyNumberFormat="0" applyFill="0" applyAlignment="0" applyProtection="0"/>
    <xf numFmtId="0" fontId="103" fillId="0" borderId="64" applyNumberFormat="0" applyFill="0" applyAlignment="0" applyProtection="0"/>
    <xf numFmtId="0" fontId="104" fillId="0" borderId="52" applyNumberFormat="0" applyFill="0" applyAlignment="0" applyProtection="0"/>
    <xf numFmtId="0" fontId="105" fillId="0" borderId="65" applyNumberFormat="0" applyFill="0" applyAlignment="0" applyProtection="0"/>
    <xf numFmtId="0" fontId="67" fillId="0" borderId="53" applyNumberFormat="0" applyFill="0" applyAlignment="0" applyProtection="0"/>
    <xf numFmtId="0" fontId="106" fillId="0" borderId="66" applyNumberFormat="0" applyFill="0" applyAlignment="0" applyProtection="0"/>
    <xf numFmtId="0" fontId="107" fillId="0" borderId="53" applyNumberFormat="0" applyFill="0" applyAlignment="0" applyProtection="0"/>
    <xf numFmtId="0" fontId="108" fillId="0" borderId="67" applyNumberFormat="0" applyFill="0" applyAlignment="0" applyProtection="0"/>
    <xf numFmtId="0" fontId="68" fillId="0" borderId="54" applyNumberFormat="0" applyFill="0" applyAlignment="0" applyProtection="0"/>
    <xf numFmtId="0" fontId="109" fillId="0" borderId="68" applyNumberFormat="0" applyFill="0" applyAlignment="0" applyProtection="0"/>
    <xf numFmtId="0" fontId="110" fillId="0" borderId="54" applyNumberFormat="0" applyFill="0" applyAlignment="0" applyProtection="0"/>
    <xf numFmtId="0" fontId="10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0" fontId="111" fillId="44" borderId="61" applyNumberFormat="0" applyAlignment="0" applyProtection="0"/>
    <xf numFmtId="0" fontId="72" fillId="7" borderId="55" applyNumberFormat="0" applyAlignment="0" applyProtection="0"/>
    <xf numFmtId="0" fontId="111" fillId="44" borderId="61" applyNumberFormat="0" applyAlignment="0" applyProtection="0"/>
    <xf numFmtId="0" fontId="112" fillId="7" borderId="55" applyNumberFormat="0" applyAlignment="0" applyProtection="0"/>
    <xf numFmtId="0" fontId="111" fillId="41" borderId="61" applyNumberFormat="0" applyAlignment="0" applyProtection="0"/>
    <xf numFmtId="0" fontId="113" fillId="7" borderId="55" applyNumberFormat="0" applyAlignment="0" applyProtection="0"/>
    <xf numFmtId="0" fontId="111" fillId="44" borderId="61" applyNumberFormat="0" applyAlignment="0" applyProtection="0"/>
    <xf numFmtId="0" fontId="111" fillId="44" borderId="61" applyNumberFormat="0" applyAlignment="0" applyProtection="0"/>
    <xf numFmtId="0" fontId="111" fillId="44" borderId="61" applyNumberFormat="0" applyAlignment="0" applyProtection="0"/>
    <xf numFmtId="0" fontId="111" fillId="44" borderId="61" applyNumberFormat="0" applyAlignment="0" applyProtection="0"/>
    <xf numFmtId="0" fontId="114" fillId="0" borderId="69" applyNumberFormat="0" applyFill="0" applyAlignment="0" applyProtection="0"/>
    <xf numFmtId="0" fontId="75" fillId="0" borderId="57" applyNumberFormat="0" applyFill="0" applyAlignment="0" applyProtection="0"/>
    <xf numFmtId="0" fontId="115" fillId="0" borderId="70" applyNumberFormat="0" applyFill="0" applyAlignment="0" applyProtection="0"/>
    <xf numFmtId="0" fontId="116" fillId="0" borderId="57" applyNumberFormat="0" applyFill="0" applyAlignment="0" applyProtection="0"/>
    <xf numFmtId="0" fontId="117" fillId="0" borderId="57" applyNumberFormat="0" applyFill="0" applyAlignment="0" applyProtection="0"/>
    <xf numFmtId="0" fontId="118" fillId="44" borderId="0" applyNumberFormat="0" applyBorder="0" applyAlignment="0" applyProtection="0"/>
    <xf numFmtId="0" fontId="71" fillId="6" borderId="0" applyNumberFormat="0" applyBorder="0" applyAlignment="0" applyProtection="0"/>
    <xf numFmtId="0" fontId="119" fillId="44" borderId="0" applyNumberFormat="0" applyBorder="0" applyAlignment="0" applyProtection="0"/>
    <xf numFmtId="0" fontId="120" fillId="6" borderId="0" applyNumberFormat="0" applyBorder="0" applyAlignment="0" applyProtection="0"/>
    <xf numFmtId="0" fontId="121" fillId="6" borderId="0" applyNumberFormat="0" applyBorder="0" applyAlignment="0" applyProtection="0"/>
    <xf numFmtId="189" fontId="122" fillId="0" borderId="0"/>
    <xf numFmtId="0" fontId="4" fillId="0" borderId="0"/>
    <xf numFmtId="0" fontId="4" fillId="0" borderId="0"/>
    <xf numFmtId="0" fontId="80" fillId="0" borderId="0"/>
    <xf numFmtId="0" fontId="4" fillId="0" borderId="0"/>
    <xf numFmtId="0" fontId="80" fillId="0" borderId="0"/>
    <xf numFmtId="0" fontId="80" fillId="0" borderId="0"/>
    <xf numFmtId="0" fontId="8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13" fillId="0" borderId="0"/>
    <xf numFmtId="0" fontId="64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82" fillId="0" borderId="0"/>
    <xf numFmtId="0" fontId="4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/>
    <xf numFmtId="0" fontId="6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/>
    <xf numFmtId="0" fontId="80" fillId="0" borderId="0"/>
    <xf numFmtId="0" fontId="80" fillId="0" borderId="0"/>
    <xf numFmtId="0" fontId="4" fillId="0" borderId="0"/>
    <xf numFmtId="0" fontId="6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123" fillId="39" borderId="71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4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123" fillId="39" borderId="71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28" fillId="39" borderId="71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2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124" fillId="57" borderId="72" applyNumberFormat="0" applyAlignment="0" applyProtection="0"/>
    <xf numFmtId="0" fontId="73" fillId="8" borderId="56" applyNumberFormat="0" applyAlignment="0" applyProtection="0"/>
    <xf numFmtId="0" fontId="124" fillId="58" borderId="72" applyNumberFormat="0" applyAlignment="0" applyProtection="0"/>
    <xf numFmtId="0" fontId="125" fillId="8" borderId="56" applyNumberFormat="0" applyAlignment="0" applyProtection="0"/>
    <xf numFmtId="0" fontId="126" fillId="8" borderId="56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73" applyNumberFormat="0" applyFill="0" applyAlignment="0" applyProtection="0"/>
    <xf numFmtId="0" fontId="33" fillId="0" borderId="60" applyNumberFormat="0" applyFill="0" applyAlignment="0" applyProtection="0"/>
    <xf numFmtId="0" fontId="129" fillId="0" borderId="74" applyNumberFormat="0" applyFill="0" applyAlignment="0" applyProtection="0"/>
    <xf numFmtId="0" fontId="130" fillId="0" borderId="60" applyNumberFormat="0" applyFill="0" applyAlignment="0" applyProtection="0"/>
    <xf numFmtId="0" fontId="131" fillId="0" borderId="60" applyNumberFormat="0" applyFill="0" applyAlignment="0" applyProtection="0"/>
    <xf numFmtId="0" fontId="1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4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63" fillId="0" borderId="0"/>
    <xf numFmtId="0" fontId="6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63" fillId="0" borderId="0"/>
    <xf numFmtId="0" fontId="6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6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6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6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0" fontId="13" fillId="0" borderId="0"/>
    <xf numFmtId="0" fontId="6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0" fontId="13" fillId="0" borderId="0"/>
    <xf numFmtId="191" fontId="135" fillId="0" borderId="0">
      <alignment horizontal="left"/>
    </xf>
    <xf numFmtId="192" fontId="136" fillId="0" borderId="0">
      <alignment horizontal="left"/>
    </xf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8" fillId="0" borderId="0"/>
    <xf numFmtId="0" fontId="139" fillId="12" borderId="0" applyNumberFormat="0" applyBorder="0" applyAlignment="0" applyProtection="0"/>
    <xf numFmtId="0" fontId="13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5" borderId="0" applyNumberFormat="0" applyBorder="0" applyAlignment="0" applyProtection="0"/>
    <xf numFmtId="0" fontId="13" fillId="0" borderId="0"/>
    <xf numFmtId="0" fontId="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12" borderId="0" applyNumberFormat="0" applyBorder="0" applyAlignment="0" applyProtection="0"/>
    <xf numFmtId="0" fontId="139" fillId="12" borderId="0" applyNumberFormat="0" applyBorder="0" applyAlignment="0" applyProtection="0"/>
    <xf numFmtId="0" fontId="139" fillId="12" borderId="0" applyNumberFormat="0" applyBorder="0" applyAlignment="0" applyProtection="0"/>
    <xf numFmtId="0" fontId="139" fillId="12" borderId="0" applyNumberFormat="0" applyBorder="0" applyAlignment="0" applyProtection="0"/>
    <xf numFmtId="0" fontId="139" fillId="12" borderId="0" applyNumberFormat="0" applyBorder="0" applyAlignment="0" applyProtection="0"/>
    <xf numFmtId="0" fontId="139" fillId="12" borderId="0" applyNumberFormat="0" applyBorder="0" applyAlignment="0" applyProtection="0"/>
    <xf numFmtId="0" fontId="139" fillId="16" borderId="0" applyNumberFormat="0" applyBorder="0" applyAlignment="0" applyProtection="0"/>
    <xf numFmtId="0" fontId="139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7" borderId="0" applyNumberFormat="0" applyBorder="0" applyAlignment="0" applyProtection="0"/>
    <xf numFmtId="0" fontId="13" fillId="0" borderId="0"/>
    <xf numFmtId="0" fontId="3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16" borderId="0" applyNumberFormat="0" applyBorder="0" applyAlignment="0" applyProtection="0"/>
    <xf numFmtId="0" fontId="139" fillId="16" borderId="0" applyNumberFormat="0" applyBorder="0" applyAlignment="0" applyProtection="0"/>
    <xf numFmtId="0" fontId="139" fillId="16" borderId="0" applyNumberFormat="0" applyBorder="0" applyAlignment="0" applyProtection="0"/>
    <xf numFmtId="0" fontId="139" fillId="16" borderId="0" applyNumberFormat="0" applyBorder="0" applyAlignment="0" applyProtection="0"/>
    <xf numFmtId="0" fontId="139" fillId="16" borderId="0" applyNumberFormat="0" applyBorder="0" applyAlignment="0" applyProtection="0"/>
    <xf numFmtId="0" fontId="139" fillId="16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41" borderId="0" applyNumberFormat="0" applyBorder="0" applyAlignment="0" applyProtection="0"/>
    <xf numFmtId="0" fontId="13" fillId="0" borderId="0"/>
    <xf numFmtId="0" fontId="3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8" borderId="0" applyNumberFormat="0" applyBorder="0" applyAlignment="0" applyProtection="0"/>
    <xf numFmtId="0" fontId="13" fillId="0" borderId="0"/>
    <xf numFmtId="0" fontId="3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13" borderId="0" applyNumberFormat="0" applyBorder="0" applyAlignment="0" applyProtection="0"/>
    <xf numFmtId="0" fontId="13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43" borderId="0" applyNumberFormat="0" applyBorder="0" applyAlignment="0" applyProtection="0"/>
    <xf numFmtId="0" fontId="13" fillId="0" borderId="0"/>
    <xf numFmtId="0" fontId="3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13" borderId="0" applyNumberFormat="0" applyBorder="0" applyAlignment="0" applyProtection="0"/>
    <xf numFmtId="0" fontId="139" fillId="13" borderId="0" applyNumberFormat="0" applyBorder="0" applyAlignment="0" applyProtection="0"/>
    <xf numFmtId="0" fontId="139" fillId="13" borderId="0" applyNumberFormat="0" applyBorder="0" applyAlignment="0" applyProtection="0"/>
    <xf numFmtId="0" fontId="139" fillId="13" borderId="0" applyNumberFormat="0" applyBorder="0" applyAlignment="0" applyProtection="0"/>
    <xf numFmtId="0" fontId="139" fillId="13" borderId="0" applyNumberFormat="0" applyBorder="0" applyAlignment="0" applyProtection="0"/>
    <xf numFmtId="0" fontId="139" fillId="13" borderId="0" applyNumberFormat="0" applyBorder="0" applyAlignment="0" applyProtection="0"/>
    <xf numFmtId="0" fontId="139" fillId="17" borderId="0" applyNumberFormat="0" applyBorder="0" applyAlignment="0" applyProtection="0"/>
    <xf numFmtId="0" fontId="139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17" borderId="0" applyNumberFormat="0" applyBorder="0" applyAlignment="0" applyProtection="0"/>
    <xf numFmtId="0" fontId="13" fillId="0" borderId="0"/>
    <xf numFmtId="0" fontId="3" fillId="1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1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17" borderId="0" applyNumberFormat="0" applyBorder="0" applyAlignment="0" applyProtection="0"/>
    <xf numFmtId="0" fontId="139" fillId="17" borderId="0" applyNumberFormat="0" applyBorder="0" applyAlignment="0" applyProtection="0"/>
    <xf numFmtId="0" fontId="139" fillId="17" borderId="0" applyNumberFormat="0" applyBorder="0" applyAlignment="0" applyProtection="0"/>
    <xf numFmtId="0" fontId="139" fillId="17" borderId="0" applyNumberFormat="0" applyBorder="0" applyAlignment="0" applyProtection="0"/>
    <xf numFmtId="0" fontId="139" fillId="17" borderId="0" applyNumberFormat="0" applyBorder="0" applyAlignment="0" applyProtection="0"/>
    <xf numFmtId="0" fontId="139" fillId="17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44" borderId="0" applyNumberFormat="0" applyBorder="0" applyAlignment="0" applyProtection="0"/>
    <xf numFmtId="0" fontId="13" fillId="0" borderId="0"/>
    <xf numFmtId="0" fontId="3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8" borderId="0" applyNumberFormat="0" applyBorder="0" applyAlignment="0" applyProtection="0"/>
    <xf numFmtId="0" fontId="13" fillId="0" borderId="0"/>
    <xf numFmtId="0" fontId="3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43" borderId="0" applyNumberFormat="0" applyBorder="0" applyAlignment="0" applyProtection="0"/>
    <xf numFmtId="0" fontId="13" fillId="0" borderId="0"/>
    <xf numFmtId="0" fontId="3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83" fillId="47" borderId="0" applyNumberFormat="0" applyBorder="0" applyAlignment="0" applyProtection="0"/>
    <xf numFmtId="0" fontId="13" fillId="0" borderId="0"/>
    <xf numFmtId="0" fontId="13" fillId="0" borderId="0"/>
    <xf numFmtId="0" fontId="78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14" borderId="0" applyNumberFormat="0" applyBorder="0" applyAlignment="0" applyProtection="0"/>
    <xf numFmtId="0" fontId="13" fillId="0" borderId="0"/>
    <xf numFmtId="0" fontId="83" fillId="37" borderId="0" applyNumberFormat="0" applyBorder="0" applyAlignment="0" applyProtection="0"/>
    <xf numFmtId="0" fontId="13" fillId="0" borderId="0"/>
    <xf numFmtId="0" fontId="13" fillId="0" borderId="0"/>
    <xf numFmtId="0" fontId="78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18" borderId="0" applyNumberFormat="0" applyBorder="0" applyAlignment="0" applyProtection="0"/>
    <xf numFmtId="0" fontId="13" fillId="0" borderId="0"/>
    <xf numFmtId="0" fontId="83" fillId="45" borderId="0" applyNumberFormat="0" applyBorder="0" applyAlignment="0" applyProtection="0"/>
    <xf numFmtId="0" fontId="13" fillId="0" borderId="0"/>
    <xf numFmtId="0" fontId="13" fillId="0" borderId="0"/>
    <xf numFmtId="0" fontId="78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22" borderId="0" applyNumberFormat="0" applyBorder="0" applyAlignment="0" applyProtection="0"/>
    <xf numFmtId="0" fontId="13" fillId="0" borderId="0"/>
    <xf numFmtId="0" fontId="83" fillId="49" borderId="0" applyNumberFormat="0" applyBorder="0" applyAlignment="0" applyProtection="0"/>
    <xf numFmtId="0" fontId="13" fillId="0" borderId="0"/>
    <xf numFmtId="0" fontId="13" fillId="0" borderId="0"/>
    <xf numFmtId="0" fontId="78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2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26" borderId="0" applyNumberFormat="0" applyBorder="0" applyAlignment="0" applyProtection="0"/>
    <xf numFmtId="0" fontId="13" fillId="0" borderId="0"/>
    <xf numFmtId="0" fontId="83" fillId="50" borderId="0" applyNumberFormat="0" applyBorder="0" applyAlignment="0" applyProtection="0"/>
    <xf numFmtId="0" fontId="13" fillId="0" borderId="0"/>
    <xf numFmtId="0" fontId="13" fillId="0" borderId="0"/>
    <xf numFmtId="0" fontId="78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30" borderId="0" applyNumberFormat="0" applyBorder="0" applyAlignment="0" applyProtection="0"/>
    <xf numFmtId="0" fontId="13" fillId="0" borderId="0"/>
    <xf numFmtId="0" fontId="83" fillId="51" borderId="0" applyNumberFormat="0" applyBorder="0" applyAlignment="0" applyProtection="0"/>
    <xf numFmtId="0" fontId="13" fillId="0" borderId="0"/>
    <xf numFmtId="0" fontId="13" fillId="0" borderId="0"/>
    <xf numFmtId="0" fontId="78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3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3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3" borderId="0" applyNumberFormat="0" applyBorder="0" applyAlignment="0" applyProtection="0"/>
    <xf numFmtId="0" fontId="13" fillId="0" borderId="0"/>
    <xf numFmtId="0" fontId="13" fillId="0" borderId="0"/>
    <xf numFmtId="0" fontId="78" fillId="5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11" borderId="0" applyNumberFormat="0" applyBorder="0" applyAlignment="0" applyProtection="0"/>
    <xf numFmtId="0" fontId="13" fillId="0" borderId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4" borderId="0" applyNumberFormat="0" applyBorder="0" applyAlignment="0" applyProtection="0"/>
    <xf numFmtId="0" fontId="13" fillId="0" borderId="0"/>
    <xf numFmtId="0" fontId="13" fillId="0" borderId="0"/>
    <xf numFmtId="0" fontId="78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15" borderId="0" applyNumberFormat="0" applyBorder="0" applyAlignment="0" applyProtection="0"/>
    <xf numFmtId="0" fontId="13" fillId="0" borderId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5" borderId="0" applyNumberFormat="0" applyBorder="0" applyAlignment="0" applyProtection="0"/>
    <xf numFmtId="0" fontId="13" fillId="0" borderId="0"/>
    <xf numFmtId="0" fontId="13" fillId="0" borderId="0"/>
    <xf numFmtId="0" fontId="78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1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19" borderId="0" applyNumberFormat="0" applyBorder="0" applyAlignment="0" applyProtection="0"/>
    <xf numFmtId="0" fontId="13" fillId="0" borderId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9" borderId="0" applyNumberFormat="0" applyBorder="0" applyAlignment="0" applyProtection="0"/>
    <xf numFmtId="0" fontId="13" fillId="0" borderId="0"/>
    <xf numFmtId="0" fontId="13" fillId="0" borderId="0"/>
    <xf numFmtId="0" fontId="78" fillId="5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3" fillId="5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2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23" borderId="0" applyNumberFormat="0" applyBorder="0" applyAlignment="0" applyProtection="0"/>
    <xf numFmtId="0" fontId="13" fillId="0" borderId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0" borderId="0" applyNumberFormat="0" applyBorder="0" applyAlignment="0" applyProtection="0"/>
    <xf numFmtId="0" fontId="13" fillId="0" borderId="0"/>
    <xf numFmtId="0" fontId="13" fillId="0" borderId="0"/>
    <xf numFmtId="0" fontId="78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0" borderId="0" applyNumberFormat="0" applyBorder="0" applyAlignment="0" applyProtection="0"/>
    <xf numFmtId="0" fontId="13" fillId="0" borderId="0"/>
    <xf numFmtId="0" fontId="140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8" borderId="0" applyNumberFormat="0" applyBorder="0" applyAlignment="0" applyProtection="0"/>
    <xf numFmtId="0" fontId="13" fillId="0" borderId="0"/>
    <xf numFmtId="0" fontId="13" fillId="0" borderId="0"/>
    <xf numFmtId="0" fontId="78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31" borderId="0" applyNumberFormat="0" applyBorder="0" applyAlignment="0" applyProtection="0"/>
    <xf numFmtId="0" fontId="13" fillId="0" borderId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86" fillId="38" borderId="0" applyNumberFormat="0" applyBorder="0" applyAlignment="0" applyProtection="0"/>
    <xf numFmtId="0" fontId="13" fillId="0" borderId="0"/>
    <xf numFmtId="0" fontId="13" fillId="0" borderId="0"/>
    <xf numFmtId="0" fontId="70" fillId="4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6" fillId="4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1" fillId="5" borderId="0" applyNumberFormat="0" applyBorder="0" applyAlignment="0" applyProtection="0"/>
    <xf numFmtId="0" fontId="13" fillId="0" borderId="0"/>
    <xf numFmtId="1" fontId="142" fillId="63" borderId="11" applyNumberFormat="0" applyBorder="0" applyAlignment="0">
      <alignment horizontal="center" vertical="top" wrapText="1"/>
      <protection hidden="1"/>
    </xf>
    <xf numFmtId="1" fontId="142" fillId="63" borderId="11" applyNumberFormat="0" applyBorder="0" applyAlignment="0">
      <alignment horizontal="center" vertical="top" wrapText="1"/>
      <protection hidden="1"/>
    </xf>
    <xf numFmtId="0" fontId="136" fillId="0" borderId="0" applyFont="0" applyFill="0" applyBorder="0" applyAlignment="0" applyProtection="0">
      <alignment horizontal="right"/>
    </xf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49" fontId="143" fillId="0" borderId="0"/>
    <xf numFmtId="2" fontId="144" fillId="0" borderId="0"/>
    <xf numFmtId="0" fontId="16" fillId="0" borderId="0">
      <alignment vertical="center"/>
    </xf>
    <xf numFmtId="0" fontId="145" fillId="0" borderId="76">
      <alignment horizontal="left" vertical="center"/>
    </xf>
    <xf numFmtId="193" fontId="146" fillId="0" borderId="0">
      <alignment horizontal="right" vertical="center"/>
    </xf>
    <xf numFmtId="194" fontId="16" fillId="0" borderId="0">
      <alignment horizontal="right" vertical="center"/>
    </xf>
    <xf numFmtId="194" fontId="145" fillId="0" borderId="0">
      <alignment horizontal="right" vertical="center"/>
    </xf>
    <xf numFmtId="195" fontId="16" fillId="0" borderId="0" applyFont="0" applyFill="0" applyBorder="0" applyAlignment="0" applyProtection="0">
      <alignment horizontal="right"/>
    </xf>
    <xf numFmtId="0" fontId="147" fillId="0" borderId="0">
      <alignment vertical="center"/>
    </xf>
    <xf numFmtId="196" fontId="20" fillId="0" borderId="0" applyFill="0" applyBorder="0" applyAlignment="0"/>
    <xf numFmtId="196" fontId="20" fillId="0" borderId="0" applyFill="0" applyBorder="0" applyAlignment="0"/>
    <xf numFmtId="196" fontId="20" fillId="0" borderId="0" applyFill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58" borderId="61" applyNumberFormat="0" applyAlignment="0" applyProtection="0"/>
    <xf numFmtId="0" fontId="13" fillId="0" borderId="0"/>
    <xf numFmtId="0" fontId="90" fillId="58" borderId="61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58" borderId="61" applyNumberFormat="0" applyAlignment="0" applyProtection="0"/>
    <xf numFmtId="41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8" fillId="5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57" borderId="61" applyNumberFormat="0" applyAlignment="0" applyProtection="0"/>
    <xf numFmtId="0" fontId="89" fillId="57" borderId="61" applyNumberFormat="0" applyAlignment="0" applyProtection="0"/>
    <xf numFmtId="41" fontId="13" fillId="61" borderId="0"/>
    <xf numFmtId="0" fontId="13" fillId="0" borderId="0"/>
    <xf numFmtId="0" fontId="13" fillId="0" borderId="0"/>
    <xf numFmtId="41" fontId="13" fillId="61" borderId="0"/>
    <xf numFmtId="41" fontId="13" fillId="61" borderId="0"/>
    <xf numFmtId="0" fontId="13" fillId="0" borderId="0"/>
    <xf numFmtId="0" fontId="13" fillId="0" borderId="0"/>
    <xf numFmtId="0" fontId="74" fillId="8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61" borderId="0"/>
    <xf numFmtId="41" fontId="13" fillId="61" borderId="0"/>
    <xf numFmtId="0" fontId="13" fillId="0" borderId="0"/>
    <xf numFmtId="0" fontId="13" fillId="0" borderId="0"/>
    <xf numFmtId="41" fontId="13" fillId="61" borderId="0"/>
    <xf numFmtId="41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3" fillId="59" borderId="62" applyNumberFormat="0" applyAlignment="0" applyProtection="0"/>
    <xf numFmtId="0" fontId="13" fillId="0" borderId="0"/>
    <xf numFmtId="0" fontId="13" fillId="0" borderId="0"/>
    <xf numFmtId="0" fontId="76" fillId="9" borderId="58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3" fillId="59" borderId="62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3" fillId="59" borderId="62" applyNumberFormat="0" applyAlignment="0" applyProtection="0"/>
    <xf numFmtId="0" fontId="13" fillId="0" borderId="0"/>
    <xf numFmtId="0" fontId="149" fillId="9" borderId="58" applyNumberFormat="0" applyAlignment="0" applyProtection="0"/>
    <xf numFmtId="41" fontId="13" fillId="60" borderId="0"/>
    <xf numFmtId="41" fontId="13" fillId="60" borderId="0"/>
    <xf numFmtId="41" fontId="13" fillId="60" borderId="0"/>
    <xf numFmtId="0" fontId="13" fillId="0" borderId="0"/>
    <xf numFmtId="0" fontId="13" fillId="0" borderId="0"/>
    <xf numFmtId="41" fontId="13" fillId="60" borderId="0"/>
    <xf numFmtId="0" fontId="13" fillId="0" borderId="0"/>
    <xf numFmtId="0" fontId="13" fillId="0" borderId="0"/>
    <xf numFmtId="0" fontId="13" fillId="0" borderId="0"/>
    <xf numFmtId="0" fontId="13" fillId="0" borderId="0"/>
    <xf numFmtId="1" fontId="150" fillId="0" borderId="77">
      <alignment vertical="top"/>
    </xf>
    <xf numFmtId="1" fontId="150" fillId="0" borderId="77">
      <alignment vertical="top"/>
    </xf>
    <xf numFmtId="188" fontId="147" fillId="0" borderId="0" applyBorder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97" fontId="151" fillId="0" borderId="0"/>
    <xf numFmtId="197" fontId="151" fillId="0" borderId="0"/>
    <xf numFmtId="197" fontId="151" fillId="0" borderId="0"/>
    <xf numFmtId="197" fontId="151" fillId="0" borderId="0"/>
    <xf numFmtId="197" fontId="151" fillId="0" borderId="0"/>
    <xf numFmtId="197" fontId="151" fillId="0" borderId="0"/>
    <xf numFmtId="197" fontId="151" fillId="0" borderId="0"/>
    <xf numFmtId="197" fontId="151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0" fontId="13" fillId="0" borderId="0"/>
    <xf numFmtId="0" fontId="13" fillId="0" borderId="0"/>
    <xf numFmtId="43" fontId="153" fillId="0" borderId="0" applyFont="0" applyFill="0" applyBorder="0" applyAlignment="0" applyProtection="0"/>
    <xf numFmtId="0" fontId="13" fillId="0" borderId="0"/>
    <xf numFmtId="43" fontId="15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5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54" fillId="0" borderId="0" applyFont="0" applyFill="0" applyBorder="0" applyAlignment="0" applyProtection="0"/>
    <xf numFmtId="0" fontId="28" fillId="0" borderId="0"/>
    <xf numFmtId="0" fontId="28" fillId="0" borderId="0"/>
    <xf numFmtId="0" fontId="13" fillId="0" borderId="0"/>
    <xf numFmtId="0" fontId="28" fillId="0" borderId="0"/>
    <xf numFmtId="0" fontId="13" fillId="0" borderId="0"/>
    <xf numFmtId="0" fontId="155" fillId="0" borderId="0"/>
    <xf numFmtId="0" fontId="13" fillId="0" borderId="0"/>
    <xf numFmtId="3" fontId="156" fillId="0" borderId="0" applyFont="0" applyFill="0" applyBorder="0" applyAlignment="0" applyProtection="0"/>
    <xf numFmtId="0" fontId="13" fillId="0" borderId="0"/>
    <xf numFmtId="3" fontId="156" fillId="0" borderId="0" applyFont="0" applyFill="0" applyBorder="0" applyAlignment="0" applyProtection="0"/>
    <xf numFmtId="0" fontId="13" fillId="0" borderId="0"/>
    <xf numFmtId="3" fontId="156" fillId="0" borderId="0" applyFont="0" applyFill="0" applyBorder="0" applyAlignment="0" applyProtection="0"/>
    <xf numFmtId="0" fontId="13" fillId="0" borderId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99" fontId="157" fillId="0" borderId="0">
      <protection locked="0"/>
    </xf>
    <xf numFmtId="0" fontId="155" fillId="0" borderId="0"/>
    <xf numFmtId="0" fontId="13" fillId="0" borderId="0"/>
    <xf numFmtId="0" fontId="28" fillId="0" borderId="0"/>
    <xf numFmtId="0" fontId="158" fillId="0" borderId="0"/>
    <xf numFmtId="0" fontId="159" fillId="0" borderId="0" applyNumberFormat="0" applyAlignment="0">
      <alignment horizontal="left"/>
    </xf>
    <xf numFmtId="0" fontId="159" fillId="0" borderId="0" applyNumberFormat="0" applyAlignment="0">
      <alignment horizontal="left"/>
    </xf>
    <xf numFmtId="0" fontId="159" fillId="0" borderId="0" applyNumberFormat="0" applyAlignment="0">
      <alignment horizontal="left"/>
    </xf>
    <xf numFmtId="0" fontId="13" fillId="0" borderId="0"/>
    <xf numFmtId="0" fontId="13" fillId="0" borderId="0"/>
    <xf numFmtId="0" fontId="13" fillId="0" borderId="0"/>
    <xf numFmtId="0" fontId="160" fillId="0" borderId="0" applyNumberFormat="0" applyAlignment="0"/>
    <xf numFmtId="0" fontId="160" fillId="0" borderId="0" applyNumberFormat="0" applyAlignment="0"/>
    <xf numFmtId="0" fontId="160" fillId="0" borderId="0" applyNumberFormat="0" applyAlignment="0"/>
    <xf numFmtId="0" fontId="13" fillId="0" borderId="0"/>
    <xf numFmtId="0" fontId="13" fillId="0" borderId="0"/>
    <xf numFmtId="0" fontId="13" fillId="0" borderId="0"/>
    <xf numFmtId="200" fontId="161" fillId="0" borderId="0"/>
    <xf numFmtId="0" fontId="28" fillId="0" borderId="0"/>
    <xf numFmtId="0" fontId="13" fillId="0" borderId="0"/>
    <xf numFmtId="0" fontId="155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5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/>
    <xf numFmtId="0" fontId="13" fillId="0" borderId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/>
    <xf numFmtId="20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03" fontId="13" fillId="0" borderId="0" applyFont="0" applyFill="0" applyBorder="0" applyAlignment="0" applyProtection="0"/>
    <xf numFmtId="0" fontId="13" fillId="0" borderId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/>
    <xf numFmtId="0" fontId="13" fillId="0" borderId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54" fillId="0" borderId="0" applyFont="0" applyFill="0" applyBorder="0" applyAlignment="0" applyProtection="0"/>
    <xf numFmtId="14" fontId="123" fillId="0" borderId="0"/>
    <xf numFmtId="0" fontId="156" fillId="0" borderId="0" applyFont="0" applyFill="0" applyBorder="0" applyAlignment="0" applyProtection="0"/>
    <xf numFmtId="0" fontId="13" fillId="0" borderId="0"/>
    <xf numFmtId="0" fontId="156" fillId="0" borderId="0" applyFont="0" applyFill="0" applyBorder="0" applyAlignment="0" applyProtection="0"/>
    <xf numFmtId="0" fontId="13" fillId="0" borderId="0"/>
    <xf numFmtId="0" fontId="156" fillId="0" borderId="0" applyFont="0" applyFill="0" applyBorder="0" applyAlignment="0" applyProtection="0"/>
    <xf numFmtId="0" fontId="1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4" fontId="123" fillId="0" borderId="0"/>
    <xf numFmtId="14" fontId="123" fillId="0" borderId="0"/>
    <xf numFmtId="14" fontId="123" fillId="0" borderId="0"/>
    <xf numFmtId="204" fontId="13" fillId="0" borderId="0" applyFont="0" applyFill="0" applyBorder="0" applyAlignment="0" applyProtection="0">
      <alignment wrapText="1"/>
    </xf>
    <xf numFmtId="204" fontId="13" fillId="0" borderId="0" applyFont="0" applyFill="0" applyBorder="0" applyAlignment="0" applyProtection="0">
      <alignment wrapText="1"/>
    </xf>
    <xf numFmtId="0" fontId="1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/>
    <xf numFmtId="17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/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0" fontId="13" fillId="0" borderId="0"/>
    <xf numFmtId="0" fontId="13" fillId="0" borderId="0"/>
    <xf numFmtId="20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6" fillId="0" borderId="0" applyNumberFormat="0" applyFill="0" applyBorder="0" applyAlignment="0" applyProtection="0"/>
    <xf numFmtId="0" fontId="13" fillId="0" borderId="0"/>
    <xf numFmtId="0" fontId="13" fillId="0" borderId="0"/>
    <xf numFmtId="0" fontId="7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6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6" fillId="0" borderId="0" applyNumberFormat="0" applyFill="0" applyBorder="0" applyAlignment="0" applyProtection="0"/>
    <xf numFmtId="0" fontId="13" fillId="0" borderId="0"/>
    <xf numFmtId="0" fontId="162" fillId="0" borderId="0" applyNumberFormat="0" applyFill="0" applyBorder="0" applyAlignment="0" applyProtection="0"/>
    <xf numFmtId="1" fontId="163" fillId="64" borderId="34" applyNumberFormat="0" applyBorder="0" applyAlignment="0">
      <alignment horizontal="centerContinuous" vertical="center"/>
      <protection locked="0"/>
    </xf>
    <xf numFmtId="1" fontId="163" fillId="64" borderId="34" applyNumberFormat="0" applyBorder="0" applyAlignment="0">
      <alignment horizontal="centerContinuous" vertical="center"/>
      <protection locked="0"/>
    </xf>
    <xf numFmtId="1" fontId="163" fillId="64" borderId="34" applyNumberFormat="0" applyBorder="0" applyAlignment="0">
      <alignment horizontal="centerContinuous" vertical="center"/>
      <protection locked="0"/>
    </xf>
    <xf numFmtId="1" fontId="163" fillId="64" borderId="34" applyNumberFormat="0" applyBorder="0" applyAlignment="0">
      <alignment horizontal="centerContinuous" vertical="center"/>
      <protection locked="0"/>
    </xf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200" fontId="16" fillId="0" borderId="0"/>
    <xf numFmtId="206" fontId="164" fillId="0" borderId="0"/>
    <xf numFmtId="206" fontId="164" fillId="0" borderId="0"/>
    <xf numFmtId="206" fontId="164" fillId="0" borderId="0"/>
    <xf numFmtId="207" fontId="164" fillId="0" borderId="0"/>
    <xf numFmtId="207" fontId="164" fillId="0" borderId="0"/>
    <xf numFmtId="208" fontId="164" fillId="0" borderId="0"/>
    <xf numFmtId="208" fontId="164" fillId="0" borderId="0"/>
    <xf numFmtId="195" fontId="165" fillId="0" borderId="0">
      <alignment horizontal="right"/>
    </xf>
    <xf numFmtId="0" fontId="166" fillId="0" borderId="0">
      <alignment vertical="center"/>
    </xf>
    <xf numFmtId="0" fontId="167" fillId="0" borderId="0">
      <alignment horizontal="right"/>
    </xf>
    <xf numFmtId="194" fontId="168" fillId="0" borderId="0">
      <alignment horizontal="right" vertical="center"/>
    </xf>
    <xf numFmtId="194" fontId="165" fillId="0" borderId="0" applyFill="0" applyBorder="0">
      <alignment horizontal="right" vertical="center"/>
    </xf>
    <xf numFmtId="0" fontId="99" fillId="40" borderId="0" applyNumberFormat="0" applyBorder="0" applyAlignment="0" applyProtection="0"/>
    <xf numFmtId="0" fontId="13" fillId="0" borderId="0"/>
    <xf numFmtId="0" fontId="13" fillId="0" borderId="0"/>
    <xf numFmtId="0" fontId="69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9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69" fillId="4" borderId="0" applyNumberFormat="0" applyBorder="0" applyAlignment="0" applyProtection="0"/>
    <xf numFmtId="0" fontId="13" fillId="0" borderId="0"/>
    <xf numFmtId="38" fontId="16" fillId="60" borderId="0" applyNumberFormat="0" applyBorder="0" applyAlignment="0" applyProtection="0"/>
    <xf numFmtId="38" fontId="13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38" fontId="16" fillId="60" borderId="0" applyNumberFormat="0" applyBorder="0" applyAlignment="0" applyProtection="0"/>
    <xf numFmtId="38" fontId="16" fillId="60" borderId="0" applyNumberFormat="0" applyBorder="0" applyAlignment="0" applyProtection="0"/>
    <xf numFmtId="38" fontId="13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38" fontId="16" fillId="60" borderId="0" applyNumberFormat="0" applyBorder="0" applyAlignment="0" applyProtection="0"/>
    <xf numFmtId="38" fontId="16" fillId="60" borderId="0" applyNumberFormat="0" applyBorder="0" applyAlignment="0" applyProtection="0"/>
    <xf numFmtId="0" fontId="13" fillId="0" borderId="0"/>
    <xf numFmtId="0" fontId="13" fillId="0" borderId="0"/>
    <xf numFmtId="38" fontId="16" fillId="60" borderId="0" applyNumberFormat="0" applyBorder="0" applyAlignment="0" applyProtection="0"/>
    <xf numFmtId="38" fontId="16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13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38" fontId="16" fillId="60" borderId="0" applyNumberFormat="0" applyBorder="0" applyAlignment="0" applyProtection="0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209" fontId="45" fillId="0" borderId="0" applyNumberFormat="0" applyFill="0" applyBorder="0" applyProtection="0">
      <alignment horizontal="right"/>
    </xf>
    <xf numFmtId="0" fontId="25" fillId="0" borderId="1" applyNumberFormat="0" applyAlignment="0" applyProtection="0">
      <alignment horizontal="left"/>
    </xf>
    <xf numFmtId="0" fontId="25" fillId="0" borderId="1" applyNumberFormat="0" applyAlignment="0" applyProtection="0">
      <alignment horizontal="left"/>
    </xf>
    <xf numFmtId="0" fontId="13" fillId="0" borderId="0"/>
    <xf numFmtId="0" fontId="25" fillId="0" borderId="1" applyNumberFormat="0" applyAlignment="0" applyProtection="0">
      <alignment horizontal="left"/>
    </xf>
    <xf numFmtId="0" fontId="25" fillId="0" borderId="1" applyNumberFormat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25" fillId="0" borderId="1" applyNumberFormat="0" applyAlignment="0" applyProtection="0">
      <alignment horizontal="left"/>
    </xf>
    <xf numFmtId="0" fontId="25" fillId="0" borderId="43">
      <alignment horizontal="left"/>
    </xf>
    <xf numFmtId="0" fontId="25" fillId="0" borderId="43">
      <alignment horizontal="left"/>
    </xf>
    <xf numFmtId="0" fontId="13" fillId="0" borderId="0"/>
    <xf numFmtId="0" fontId="25" fillId="0" borderId="43">
      <alignment horizontal="left"/>
    </xf>
    <xf numFmtId="0" fontId="25" fillId="0" borderId="43">
      <alignment horizontal="left"/>
    </xf>
    <xf numFmtId="0" fontId="25" fillId="0" borderId="43">
      <alignment horizontal="left"/>
    </xf>
    <xf numFmtId="0" fontId="25" fillId="0" borderId="43">
      <alignment horizontal="left"/>
    </xf>
    <xf numFmtId="0" fontId="13" fillId="0" borderId="0"/>
    <xf numFmtId="0" fontId="25" fillId="0" borderId="43">
      <alignment horizontal="left"/>
    </xf>
    <xf numFmtId="0" fontId="25" fillId="0" borderId="43">
      <alignment horizontal="left"/>
    </xf>
    <xf numFmtId="0" fontId="13" fillId="0" borderId="0"/>
    <xf numFmtId="0" fontId="25" fillId="0" borderId="43">
      <alignment horizontal="left"/>
    </xf>
    <xf numFmtId="0" fontId="25" fillId="0" borderId="43">
      <alignment horizontal="left"/>
    </xf>
    <xf numFmtId="0" fontId="13" fillId="0" borderId="0"/>
    <xf numFmtId="0" fontId="25" fillId="0" borderId="43">
      <alignment horizontal="left"/>
    </xf>
    <xf numFmtId="0" fontId="25" fillId="0" borderId="43">
      <alignment horizontal="left"/>
    </xf>
    <xf numFmtId="0" fontId="25" fillId="0" borderId="43">
      <alignment horizontal="left"/>
    </xf>
    <xf numFmtId="0" fontId="171" fillId="63" borderId="0" applyNumberFormat="0" applyBorder="0" applyAlignment="0">
      <protection hidden="1"/>
    </xf>
    <xf numFmtId="0" fontId="103" fillId="0" borderId="64" applyNumberFormat="0" applyFill="0" applyAlignment="0" applyProtection="0"/>
    <xf numFmtId="0" fontId="13" fillId="0" borderId="0"/>
    <xf numFmtId="0" fontId="13" fillId="0" borderId="0"/>
    <xf numFmtId="0" fontId="102" fillId="0" borderId="6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2" fillId="0" borderId="6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3" fillId="0" borderId="0"/>
    <xf numFmtId="0" fontId="13" fillId="0" borderId="0"/>
    <xf numFmtId="0" fontId="66" fillId="0" borderId="52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06" fillId="0" borderId="66" applyNumberFormat="0" applyFill="0" applyAlignment="0" applyProtection="0"/>
    <xf numFmtId="0" fontId="13" fillId="0" borderId="0"/>
    <xf numFmtId="0" fontId="13" fillId="0" borderId="0"/>
    <xf numFmtId="0" fontId="105" fillId="0" borderId="65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5" fillId="0" borderId="65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3" fillId="0" borderId="0"/>
    <xf numFmtId="0" fontId="13" fillId="0" borderId="0"/>
    <xf numFmtId="0" fontId="67" fillId="0" borderId="5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8" fillId="0" borderId="67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3" fillId="0" borderId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68" fillId="0" borderId="54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10" fillId="0" borderId="54" applyNumberFormat="0" applyFill="0" applyAlignment="0" applyProtection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0" applyNumberFormat="0" applyFill="0" applyBorder="0" applyAlignment="0" applyProtection="0"/>
    <xf numFmtId="0" fontId="13" fillId="0" borderId="0"/>
    <xf numFmtId="0" fontId="13" fillId="0" borderId="0"/>
    <xf numFmtId="0" fontId="10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6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10" fillId="0" borderId="0" applyNumberFormat="0" applyFill="0" applyBorder="0" applyAlignment="0" applyProtection="0"/>
    <xf numFmtId="0" fontId="13" fillId="0" borderId="0"/>
    <xf numFmtId="38" fontId="147" fillId="0" borderId="0"/>
    <xf numFmtId="38" fontId="147" fillId="0" borderId="0"/>
    <xf numFmtId="0" fontId="13" fillId="0" borderId="0"/>
    <xf numFmtId="38" fontId="147" fillId="0" borderId="0"/>
    <xf numFmtId="38" fontId="147" fillId="0" borderId="0"/>
    <xf numFmtId="0" fontId="13" fillId="0" borderId="0"/>
    <xf numFmtId="0" fontId="13" fillId="0" borderId="0"/>
    <xf numFmtId="0" fontId="13" fillId="0" borderId="0"/>
    <xf numFmtId="40" fontId="147" fillId="0" borderId="0"/>
    <xf numFmtId="40" fontId="147" fillId="0" borderId="0"/>
    <xf numFmtId="0" fontId="13" fillId="0" borderId="0"/>
    <xf numFmtId="40" fontId="147" fillId="0" borderId="0"/>
    <xf numFmtId="40" fontId="1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3" fillId="0" borderId="0"/>
    <xf numFmtId="10" fontId="16" fillId="61" borderId="49" applyNumberFormat="0" applyBorder="0" applyAlignment="0" applyProtection="0"/>
    <xf numFmtId="10" fontId="13" fillId="61" borderId="49" applyNumberFormat="0" applyBorder="0" applyAlignment="0" applyProtection="0"/>
    <xf numFmtId="10" fontId="13" fillId="61" borderId="49" applyNumberFormat="0" applyBorder="0" applyAlignment="0" applyProtection="0"/>
    <xf numFmtId="10" fontId="16" fillId="61" borderId="49" applyNumberFormat="0" applyBorder="0" applyAlignment="0" applyProtection="0"/>
    <xf numFmtId="0" fontId="13" fillId="0" borderId="0"/>
    <xf numFmtId="0" fontId="13" fillId="0" borderId="0"/>
    <xf numFmtId="0" fontId="13" fillId="0" borderId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10" fontId="13" fillId="61" borderId="49" applyNumberFormat="0" applyBorder="0" applyAlignment="0" applyProtection="0"/>
    <xf numFmtId="10" fontId="13" fillId="61" borderId="49" applyNumberFormat="0" applyBorder="0" applyAlignment="0" applyProtection="0"/>
    <xf numFmtId="10" fontId="16" fillId="61" borderId="49" applyNumberFormat="0" applyBorder="0" applyAlignment="0" applyProtection="0"/>
    <xf numFmtId="0" fontId="13" fillId="0" borderId="0"/>
    <xf numFmtId="0" fontId="13" fillId="0" borderId="0"/>
    <xf numFmtId="0" fontId="13" fillId="0" borderId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0" fontId="13" fillId="0" borderId="0"/>
    <xf numFmtId="10" fontId="16" fillId="61" borderId="49" applyNumberFormat="0" applyBorder="0" applyAlignment="0" applyProtection="0"/>
    <xf numFmtId="0" fontId="13" fillId="0" borderId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0" fontId="13" fillId="0" borderId="0"/>
    <xf numFmtId="0" fontId="13" fillId="0" borderId="0"/>
    <xf numFmtId="0" fontId="13" fillId="0" borderId="0"/>
    <xf numFmtId="10" fontId="16" fillId="61" borderId="49" applyNumberFormat="0" applyBorder="0" applyAlignment="0" applyProtection="0"/>
    <xf numFmtId="0" fontId="13" fillId="0" borderId="0"/>
    <xf numFmtId="0" fontId="13" fillId="0" borderId="0"/>
    <xf numFmtId="0" fontId="13" fillId="0" borderId="0"/>
    <xf numFmtId="10" fontId="16" fillId="61" borderId="49" applyNumberFormat="0" applyBorder="0" applyAlignment="0" applyProtection="0"/>
    <xf numFmtId="10" fontId="13" fillId="61" borderId="49" applyNumberFormat="0" applyBorder="0" applyAlignment="0" applyProtection="0"/>
    <xf numFmtId="0" fontId="13" fillId="0" borderId="0"/>
    <xf numFmtId="0" fontId="13" fillId="0" borderId="0"/>
    <xf numFmtId="0" fontId="13" fillId="0" borderId="0"/>
    <xf numFmtId="10" fontId="13" fillId="61" borderId="49" applyNumberFormat="0" applyBorder="0" applyAlignment="0" applyProtection="0"/>
    <xf numFmtId="0" fontId="13" fillId="0" borderId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0" fontId="111" fillId="41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72" fillId="7" borderId="55" applyNumberFormat="0" applyAlignment="0" applyProtection="0"/>
    <xf numFmtId="0" fontId="13" fillId="0" borderId="0"/>
    <xf numFmtId="0" fontId="72" fillId="7" borderId="55" applyNumberFormat="0" applyAlignment="0" applyProtection="0"/>
    <xf numFmtId="0" fontId="13" fillId="0" borderId="0"/>
    <xf numFmtId="0" fontId="111" fillId="41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111" fillId="41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72" fillId="7" borderId="55" applyNumberFormat="0" applyAlignment="0" applyProtection="0"/>
    <xf numFmtId="0" fontId="13" fillId="0" borderId="0"/>
    <xf numFmtId="0" fontId="72" fillId="7" borderId="55" applyNumberFormat="0" applyAlignment="0" applyProtection="0"/>
    <xf numFmtId="0" fontId="13" fillId="0" borderId="0"/>
    <xf numFmtId="0" fontId="72" fillId="7" borderId="55" applyNumberFormat="0" applyAlignment="0" applyProtection="0"/>
    <xf numFmtId="0" fontId="13" fillId="0" borderId="0"/>
    <xf numFmtId="0" fontId="72" fillId="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73" fillId="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11" fillId="41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72" fillId="44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1" fillId="44" borderId="78" applyNumberFormat="0" applyAlignment="0" applyProtection="0"/>
    <xf numFmtId="0" fontId="13" fillId="0" borderId="0"/>
    <xf numFmtId="0" fontId="111" fillId="44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173" fillId="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73" fillId="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73" fillId="7" borderId="55" applyNumberFormat="0" applyAlignment="0" applyProtection="0"/>
    <xf numFmtId="0" fontId="13" fillId="0" borderId="0"/>
    <xf numFmtId="0" fontId="72" fillId="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1" fillId="44" borderId="78" applyNumberFormat="0" applyAlignment="0" applyProtection="0"/>
    <xf numFmtId="0" fontId="13" fillId="0" borderId="0"/>
    <xf numFmtId="0" fontId="111" fillId="44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7" borderId="55" applyNumberFormat="0" applyAlignment="0" applyProtection="0"/>
    <xf numFmtId="0" fontId="72" fillId="7" borderId="55" applyNumberFormat="0" applyAlignment="0" applyProtection="0"/>
    <xf numFmtId="0" fontId="72" fillId="7" borderId="55" applyNumberFormat="0" applyAlignment="0" applyProtection="0"/>
    <xf numFmtId="0" fontId="13" fillId="0" borderId="0"/>
    <xf numFmtId="0" fontId="13" fillId="0" borderId="0"/>
    <xf numFmtId="0" fontId="111" fillId="41" borderId="78" applyNumberFormat="0" applyAlignment="0" applyProtection="0"/>
    <xf numFmtId="0" fontId="72" fillId="7" borderId="55" applyNumberFormat="0" applyAlignment="0" applyProtection="0"/>
    <xf numFmtId="0" fontId="13" fillId="0" borderId="0"/>
    <xf numFmtId="0" fontId="13" fillId="0" borderId="0"/>
    <xf numFmtId="0" fontId="111" fillId="41" borderId="78" applyNumberFormat="0" applyAlignment="0" applyProtection="0"/>
    <xf numFmtId="0" fontId="72" fillId="7" borderId="55" applyNumberFormat="0" applyAlignment="0" applyProtection="0"/>
    <xf numFmtId="0" fontId="13" fillId="0" borderId="0"/>
    <xf numFmtId="0" fontId="13" fillId="0" borderId="0"/>
    <xf numFmtId="0" fontId="111" fillId="41" borderId="78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7" borderId="55" applyNumberFormat="0" applyAlignment="0" applyProtection="0"/>
    <xf numFmtId="0" fontId="13" fillId="0" borderId="0"/>
    <xf numFmtId="41" fontId="24" fillId="65" borderId="79">
      <alignment horizontal="left"/>
      <protection locked="0"/>
    </xf>
    <xf numFmtId="41" fontId="24" fillId="65" borderId="79">
      <alignment horizontal="left"/>
      <protection locked="0"/>
    </xf>
    <xf numFmtId="0" fontId="13" fillId="0" borderId="0"/>
    <xf numFmtId="0" fontId="13" fillId="0" borderId="0"/>
    <xf numFmtId="10" fontId="24" fillId="65" borderId="79">
      <alignment horizontal="right"/>
      <protection locked="0"/>
    </xf>
    <xf numFmtId="10" fontId="24" fillId="65" borderId="79">
      <alignment horizontal="right"/>
      <protection locked="0"/>
    </xf>
    <xf numFmtId="0" fontId="13" fillId="0" borderId="0"/>
    <xf numFmtId="0" fontId="13" fillId="0" borderId="0"/>
    <xf numFmtId="10" fontId="24" fillId="65" borderId="79">
      <alignment horizontal="right"/>
      <protection locked="0"/>
    </xf>
    <xf numFmtId="41" fontId="24" fillId="65" borderId="79">
      <alignment horizontal="left"/>
      <protection locked="0"/>
    </xf>
    <xf numFmtId="0" fontId="170" fillId="0" borderId="0"/>
    <xf numFmtId="0" fontId="170" fillId="0" borderId="80"/>
    <xf numFmtId="0" fontId="170" fillId="0" borderId="80"/>
    <xf numFmtId="0" fontId="170" fillId="0" borderId="80"/>
    <xf numFmtId="0" fontId="170" fillId="0" borderId="80"/>
    <xf numFmtId="0" fontId="170" fillId="0" borderId="80"/>
    <xf numFmtId="0" fontId="170" fillId="0" borderId="80"/>
    <xf numFmtId="0" fontId="170" fillId="0" borderId="80"/>
    <xf numFmtId="0" fontId="170" fillId="0" borderId="80"/>
    <xf numFmtId="0" fontId="170" fillId="0" borderId="80"/>
    <xf numFmtId="0" fontId="16" fillId="60" borderId="0"/>
    <xf numFmtId="0" fontId="16" fillId="6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74" fillId="0" borderId="0" applyFill="0" applyBorder="0" applyAlignment="0" applyProtection="0"/>
    <xf numFmtId="3" fontId="174" fillId="0" borderId="0" applyFill="0" applyBorder="0" applyAlignment="0" applyProtection="0"/>
    <xf numFmtId="3" fontId="174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15" fillId="0" borderId="70" applyNumberFormat="0" applyFill="0" applyAlignment="0" applyProtection="0"/>
    <xf numFmtId="0" fontId="13" fillId="0" borderId="0"/>
    <xf numFmtId="0" fontId="13" fillId="0" borderId="0"/>
    <xf numFmtId="0" fontId="114" fillId="0" borderId="6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4" fillId="0" borderId="6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57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75" fillId="0" borderId="57" applyNumberFormat="0" applyFill="0" applyAlignment="0" applyProtection="0"/>
    <xf numFmtId="0" fontId="13" fillId="0" borderId="0"/>
    <xf numFmtId="2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0" fontId="13" fillId="0" borderId="0"/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0" fontId="13" fillId="0" borderId="0"/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0" fontId="13" fillId="0" borderId="0"/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0" fontId="13" fillId="0" borderId="0"/>
    <xf numFmtId="0" fontId="13" fillId="0" borderId="0"/>
    <xf numFmtId="0" fontId="13" fillId="0" borderId="0"/>
    <xf numFmtId="44" fontId="18" fillId="0" borderId="37" applyNumberFormat="0" applyFont="0" applyAlignment="0">
      <alignment horizont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6" fillId="66" borderId="0">
      <alignment horizontal="center"/>
    </xf>
    <xf numFmtId="0" fontId="119" fillId="44" borderId="0" applyNumberFormat="0" applyBorder="0" applyAlignment="0" applyProtection="0"/>
    <xf numFmtId="0" fontId="13" fillId="0" borderId="0"/>
    <xf numFmtId="0" fontId="13" fillId="0" borderId="0"/>
    <xf numFmtId="0" fontId="176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77" fillId="6" borderId="0" applyNumberFormat="0" applyBorder="0" applyAlignment="0" applyProtection="0"/>
    <xf numFmtId="0" fontId="13" fillId="0" borderId="0"/>
    <xf numFmtId="37" fontId="178" fillId="0" borderId="0"/>
    <xf numFmtId="37" fontId="178" fillId="0" borderId="0"/>
    <xf numFmtId="37" fontId="178" fillId="0" borderId="0"/>
    <xf numFmtId="0" fontId="13" fillId="0" borderId="0"/>
    <xf numFmtId="0" fontId="13" fillId="0" borderId="0"/>
    <xf numFmtId="0" fontId="13" fillId="0" borderId="0"/>
    <xf numFmtId="212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213" fontId="13" fillId="0" borderId="0"/>
    <xf numFmtId="21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3" fontId="13" fillId="0" borderId="0"/>
    <xf numFmtId="21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3" fontId="13" fillId="0" borderId="0"/>
    <xf numFmtId="21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7" fontId="13" fillId="0" borderId="0"/>
    <xf numFmtId="18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7" fontId="13" fillId="0" borderId="0"/>
    <xf numFmtId="187" fontId="13" fillId="0" borderId="0"/>
    <xf numFmtId="0" fontId="13" fillId="0" borderId="0"/>
    <xf numFmtId="0" fontId="13" fillId="0" borderId="0"/>
    <xf numFmtId="0" fontId="13" fillId="0" borderId="0"/>
    <xf numFmtId="18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7" fontId="13" fillId="0" borderId="0"/>
    <xf numFmtId="18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9" fontId="122" fillId="0" borderId="0"/>
    <xf numFmtId="0" fontId="13" fillId="0" borderId="0"/>
    <xf numFmtId="214" fontId="64" fillId="0" borderId="0"/>
    <xf numFmtId="214" fontId="64" fillId="0" borderId="0"/>
    <xf numFmtId="215" fontId="16" fillId="0" borderId="0"/>
    <xf numFmtId="216" fontId="16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0" fillId="0" borderId="0"/>
    <xf numFmtId="0" fontId="13" fillId="0" borderId="0"/>
    <xf numFmtId="0" fontId="180" fillId="0" borderId="0"/>
    <xf numFmtId="0" fontId="180" fillId="0" borderId="0"/>
    <xf numFmtId="0" fontId="18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4" fillId="0" borderId="0"/>
    <xf numFmtId="0" fontId="179" fillId="0" borderId="0"/>
    <xf numFmtId="0" fontId="179" fillId="0" borderId="0"/>
    <xf numFmtId="217" fontId="13" fillId="0" borderId="0">
      <alignment horizontal="left" wrapText="1"/>
    </xf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7" fontId="13" fillId="0" borderId="0">
      <alignment horizontal="left" wrapText="1"/>
    </xf>
    <xf numFmtId="0" fontId="13" fillId="0" borderId="0"/>
    <xf numFmtId="217" fontId="13" fillId="0" borderId="0">
      <alignment horizontal="left" wrapText="1"/>
    </xf>
    <xf numFmtId="0" fontId="13" fillId="0" borderId="0"/>
    <xf numFmtId="217" fontId="13" fillId="0" borderId="0">
      <alignment horizontal="left" wrapText="1"/>
    </xf>
    <xf numFmtId="0" fontId="13" fillId="0" borderId="0"/>
    <xf numFmtId="217" fontId="13" fillId="0" borderId="0">
      <alignment horizontal="left" wrapText="1"/>
    </xf>
    <xf numFmtId="0" fontId="13" fillId="0" borderId="0"/>
    <xf numFmtId="217" fontId="13" fillId="0" borderId="0">
      <alignment horizontal="left" wrapText="1"/>
    </xf>
    <xf numFmtId="0" fontId="13" fillId="0" borderId="0"/>
    <xf numFmtId="0" fontId="13" fillId="0" borderId="0"/>
    <xf numFmtId="0" fontId="1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1" fontId="17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80" fontId="17" fillId="0" borderId="0">
      <alignment horizontal="left" wrapText="1"/>
    </xf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4" fillId="0" borderId="0"/>
    <xf numFmtId="0" fontId="179" fillId="0" borderId="0"/>
    <xf numFmtId="0" fontId="179" fillId="0" borderId="0"/>
    <xf numFmtId="0" fontId="3" fillId="0" borderId="0"/>
    <xf numFmtId="0" fontId="1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1" fontId="17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0" borderId="0"/>
    <xf numFmtId="0" fontId="13" fillId="39" borderId="82" applyNumberFormat="0" applyFont="0" applyAlignment="0" applyProtection="0"/>
    <xf numFmtId="0" fontId="17" fillId="39" borderId="82" applyNumberFormat="0" applyFont="0" applyAlignment="0" applyProtection="0"/>
    <xf numFmtId="0" fontId="13" fillId="0" borderId="0"/>
    <xf numFmtId="0" fontId="17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0" borderId="0"/>
    <xf numFmtId="0" fontId="13" fillId="39" borderId="82" applyNumberFormat="0" applyFont="0" applyAlignment="0" applyProtection="0"/>
    <xf numFmtId="0" fontId="13" fillId="0" borderId="0"/>
    <xf numFmtId="0" fontId="13" fillId="39" borderId="82" applyNumberFormat="0" applyFont="0" applyAlignment="0" applyProtection="0"/>
    <xf numFmtId="0" fontId="3" fillId="10" borderId="59" applyNumberFormat="0" applyFont="0" applyAlignment="0" applyProtection="0"/>
    <xf numFmtId="0" fontId="81" fillId="10" borderId="59" applyNumberFormat="0" applyFont="0" applyAlignment="0" applyProtection="0"/>
    <xf numFmtId="0" fontId="3" fillId="10" borderId="59" applyNumberFormat="0" applyFont="0" applyAlignment="0" applyProtection="0"/>
    <xf numFmtId="0" fontId="3" fillId="10" borderId="59" applyNumberFormat="0" applyFont="0" applyAlignment="0" applyProtection="0"/>
    <xf numFmtId="0" fontId="3" fillId="10" borderId="59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3" fillId="10" borderId="59" applyNumberFormat="0" applyFont="0" applyAlignment="0" applyProtection="0"/>
    <xf numFmtId="0" fontId="179" fillId="10" borderId="59" applyNumberFormat="0" applyFont="0" applyAlignment="0" applyProtection="0"/>
    <xf numFmtId="0" fontId="179" fillId="10" borderId="5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7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24" fillId="58" borderId="83" applyNumberFormat="0" applyAlignment="0" applyProtection="0"/>
    <xf numFmtId="0" fontId="13" fillId="0" borderId="0"/>
    <xf numFmtId="0" fontId="124" fillId="58" borderId="83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4" fillId="58" borderId="83" applyNumberFormat="0" applyAlignment="0" applyProtection="0"/>
    <xf numFmtId="0" fontId="73" fillId="57" borderId="56" applyNumberFormat="0" applyAlignment="0" applyProtection="0"/>
    <xf numFmtId="0" fontId="13" fillId="0" borderId="0"/>
    <xf numFmtId="0" fontId="13" fillId="0" borderId="0"/>
    <xf numFmtId="0" fontId="13" fillId="0" borderId="0"/>
    <xf numFmtId="0" fontId="124" fillId="57" borderId="83" applyNumberFormat="0" applyAlignment="0" applyProtection="0"/>
    <xf numFmtId="0" fontId="13" fillId="0" borderId="0"/>
    <xf numFmtId="0" fontId="13" fillId="0" borderId="0"/>
    <xf numFmtId="0" fontId="13" fillId="0" borderId="0"/>
    <xf numFmtId="0" fontId="124" fillId="57" borderId="83" applyNumberFormat="0" applyAlignment="0" applyProtection="0"/>
    <xf numFmtId="0" fontId="13" fillId="0" borderId="0"/>
    <xf numFmtId="0" fontId="13" fillId="0" borderId="0"/>
    <xf numFmtId="0" fontId="13" fillId="0" borderId="0"/>
    <xf numFmtId="0" fontId="124" fillId="58" borderId="83" applyNumberFormat="0" applyAlignment="0" applyProtection="0"/>
    <xf numFmtId="0" fontId="13" fillId="0" borderId="0"/>
    <xf numFmtId="0" fontId="124" fillId="58" borderId="83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4" fillId="58" borderId="83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4" fillId="58" borderId="83" applyNumberFormat="0" applyAlignment="0" applyProtection="0"/>
    <xf numFmtId="0" fontId="73" fillId="8" borderId="56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2" fillId="8" borderId="56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16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6" fillId="0" borderId="0" applyFont="0" applyFill="0" applyBorder="0" applyAlignment="0" applyProtection="0"/>
    <xf numFmtId="0" fontId="13" fillId="0" borderId="0"/>
    <xf numFmtId="0" fontId="13" fillId="0" borderId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5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5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3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5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67" borderId="79"/>
    <xf numFmtId="41" fontId="13" fillId="67" borderId="79"/>
    <xf numFmtId="41" fontId="13" fillId="67" borderId="79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67" borderId="79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67" borderId="79"/>
    <xf numFmtId="218" fontId="183" fillId="60" borderId="0" applyBorder="0" applyAlignment="0">
      <protection hidden="1"/>
    </xf>
    <xf numFmtId="1" fontId="183" fillId="60" borderId="0">
      <alignment horizontal="center"/>
    </xf>
    <xf numFmtId="0" fontId="123" fillId="0" borderId="0" applyNumberFormat="0" applyFont="0" applyFill="0" applyBorder="0" applyAlignment="0" applyProtection="0">
      <alignment horizontal="left"/>
    </xf>
    <xf numFmtId="0" fontId="123" fillId="0" borderId="0" applyNumberFormat="0" applyFont="0" applyFill="0" applyBorder="0" applyAlignment="0" applyProtection="0">
      <alignment horizontal="left"/>
    </xf>
    <xf numFmtId="0" fontId="12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23" fillId="0" borderId="0" applyFont="0" applyFill="0" applyBorder="0" applyAlignment="0" applyProtection="0"/>
    <xf numFmtId="15" fontId="123" fillId="0" borderId="0" applyFont="0" applyFill="0" applyBorder="0" applyAlignment="0" applyProtection="0"/>
    <xf numFmtId="15" fontId="12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23" fillId="0" borderId="0" applyFont="0" applyFill="0" applyBorder="0" applyAlignment="0" applyProtection="0"/>
    <xf numFmtId="4" fontId="123" fillId="0" borderId="0" applyFont="0" applyFill="0" applyBorder="0" applyAlignment="0" applyProtection="0"/>
    <xf numFmtId="4" fontId="12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3" fillId="0" borderId="0"/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3" fillId="0" borderId="0"/>
    <xf numFmtId="0" fontId="13" fillId="0" borderId="0"/>
    <xf numFmtId="0" fontId="13" fillId="0" borderId="0"/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3" fillId="0" borderId="0"/>
    <xf numFmtId="0" fontId="13" fillId="0" borderId="0"/>
    <xf numFmtId="0" fontId="13" fillId="0" borderId="0"/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3" fontId="123" fillId="0" borderId="0" applyFont="0" applyFill="0" applyBorder="0" applyAlignment="0" applyProtection="0"/>
    <xf numFmtId="3" fontId="123" fillId="0" borderId="0" applyFont="0" applyFill="0" applyBorder="0" applyAlignment="0" applyProtection="0"/>
    <xf numFmtId="3" fontId="12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3" fillId="68" borderId="0" applyNumberFormat="0" applyFont="0" applyBorder="0" applyAlignment="0" applyProtection="0"/>
    <xf numFmtId="0" fontId="123" fillId="68" borderId="0" applyNumberFormat="0" applyFont="0" applyBorder="0" applyAlignment="0" applyProtection="0"/>
    <xf numFmtId="0" fontId="123" fillId="68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85" fillId="0" borderId="0" applyFill="0" applyBorder="0" applyAlignment="0" applyProtection="0"/>
    <xf numFmtId="0" fontId="18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85" fillId="0" borderId="0" applyFill="0" applyBorder="0" applyAlignment="0" applyProtection="0"/>
    <xf numFmtId="3" fontId="185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85" fillId="0" borderId="0" applyFill="0" applyBorder="0" applyAlignment="0" applyProtection="0"/>
    <xf numFmtId="42" fontId="13" fillId="61" borderId="0"/>
    <xf numFmtId="42" fontId="13" fillId="61" borderId="0"/>
    <xf numFmtId="42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21">
      <alignment vertical="center"/>
    </xf>
    <xf numFmtId="42" fontId="13" fillId="61" borderId="21">
      <alignment vertical="center"/>
    </xf>
    <xf numFmtId="42" fontId="13" fillId="61" borderId="21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21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21">
      <alignment vertical="center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3" fillId="0" borderId="0"/>
    <xf numFmtId="0" fontId="13" fillId="0" borderId="0"/>
    <xf numFmtId="0" fontId="13" fillId="0" borderId="0"/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3" fillId="0" borderId="0"/>
    <xf numFmtId="0" fontId="13" fillId="0" borderId="0"/>
    <xf numFmtId="0" fontId="13" fillId="0" borderId="0"/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10" fontId="13" fillId="61" borderId="0"/>
    <xf numFmtId="10" fontId="13" fillId="61" borderId="0"/>
    <xf numFmtId="10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61" borderId="0"/>
    <xf numFmtId="10" fontId="13" fillId="61" borderId="0"/>
    <xf numFmtId="0" fontId="13" fillId="0" borderId="0"/>
    <xf numFmtId="0" fontId="13" fillId="0" borderId="0"/>
    <xf numFmtId="10" fontId="13" fillId="61" borderId="0"/>
    <xf numFmtId="10" fontId="13" fillId="61" borderId="0"/>
    <xf numFmtId="0" fontId="13" fillId="0" borderId="0"/>
    <xf numFmtId="0" fontId="13" fillId="0" borderId="0"/>
    <xf numFmtId="0" fontId="13" fillId="0" borderId="0"/>
    <xf numFmtId="10" fontId="13" fillId="61" borderId="0"/>
    <xf numFmtId="0" fontId="13" fillId="0" borderId="0"/>
    <xf numFmtId="0" fontId="13" fillId="0" borderId="0"/>
    <xf numFmtId="10" fontId="13" fillId="61" borderId="0"/>
    <xf numFmtId="10" fontId="13" fillId="61" borderId="0"/>
    <xf numFmtId="0" fontId="13" fillId="0" borderId="0"/>
    <xf numFmtId="0" fontId="13" fillId="0" borderId="0"/>
    <xf numFmtId="10" fontId="13" fillId="61" borderId="0"/>
    <xf numFmtId="10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61" borderId="0"/>
    <xf numFmtId="219" fontId="13" fillId="61" borderId="0"/>
    <xf numFmtId="0" fontId="13" fillId="0" borderId="0"/>
    <xf numFmtId="219" fontId="13" fillId="61" borderId="0"/>
    <xf numFmtId="219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9" fontId="13" fillId="61" borderId="0"/>
    <xf numFmtId="219" fontId="13" fillId="61" borderId="0"/>
    <xf numFmtId="0" fontId="13" fillId="0" borderId="0"/>
    <xf numFmtId="0" fontId="13" fillId="0" borderId="0"/>
    <xf numFmtId="219" fontId="13" fillId="61" borderId="0"/>
    <xf numFmtId="219" fontId="13" fillId="61" borderId="0"/>
    <xf numFmtId="0" fontId="13" fillId="0" borderId="0"/>
    <xf numFmtId="0" fontId="13" fillId="0" borderId="0"/>
    <xf numFmtId="0" fontId="13" fillId="0" borderId="0"/>
    <xf numFmtId="219" fontId="13" fillId="61" borderId="0"/>
    <xf numFmtId="0" fontId="13" fillId="0" borderId="0"/>
    <xf numFmtId="0" fontId="13" fillId="0" borderId="0"/>
    <xf numFmtId="219" fontId="13" fillId="61" borderId="0"/>
    <xf numFmtId="219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219" fontId="13" fillId="61" borderId="0"/>
    <xf numFmtId="219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9" fontId="13" fillId="61" borderId="0"/>
    <xf numFmtId="42" fontId="13" fillId="61" borderId="0"/>
    <xf numFmtId="173" fontId="147" fillId="0" borderId="0" applyBorder="0" applyAlignment="0"/>
    <xf numFmtId="173" fontId="147" fillId="0" borderId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85">
      <alignment horizontal="left"/>
    </xf>
    <xf numFmtId="42" fontId="13" fillId="61" borderId="85">
      <alignment horizontal="left"/>
    </xf>
    <xf numFmtId="42" fontId="13" fillId="61" borderId="85">
      <alignment horizontal="left"/>
    </xf>
    <xf numFmtId="0" fontId="13" fillId="0" borderId="0"/>
    <xf numFmtId="0" fontId="13" fillId="0" borderId="0"/>
    <xf numFmtId="0" fontId="13" fillId="0" borderId="0"/>
    <xf numFmtId="42" fontId="13" fillId="61" borderId="85">
      <alignment horizontal="left"/>
    </xf>
    <xf numFmtId="0" fontId="13" fillId="0" borderId="0"/>
    <xf numFmtId="0" fontId="13" fillId="0" borderId="0"/>
    <xf numFmtId="0" fontId="13" fillId="0" borderId="0"/>
    <xf numFmtId="42" fontId="13" fillId="61" borderId="85">
      <alignment horizontal="left"/>
    </xf>
    <xf numFmtId="42" fontId="13" fillId="61" borderId="85">
      <alignment horizontal="left"/>
    </xf>
    <xf numFmtId="0" fontId="13" fillId="0" borderId="0"/>
    <xf numFmtId="0" fontId="13" fillId="0" borderId="0"/>
    <xf numFmtId="0" fontId="13" fillId="0" borderId="0"/>
    <xf numFmtId="42" fontId="13" fillId="61" borderId="85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85">
      <alignment horizontal="left"/>
    </xf>
    <xf numFmtId="42" fontId="13" fillId="61" borderId="85">
      <alignment horizontal="left"/>
    </xf>
    <xf numFmtId="219" fontId="187" fillId="61" borderId="85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9" fontId="187" fillId="61" borderId="85">
      <alignment horizontal="left"/>
    </xf>
    <xf numFmtId="173" fontId="147" fillId="0" borderId="0" applyBorder="0" applyAlignment="0"/>
    <xf numFmtId="14" fontId="17" fillId="0" borderId="0" applyNumberForma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0" fontId="188" fillId="0" borderId="0"/>
    <xf numFmtId="4" fontId="27" fillId="65" borderId="83" applyNumberForma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6" fillId="44" borderId="86" applyNumberFormat="0" applyProtection="0">
      <alignment vertical="center"/>
    </xf>
    <xf numFmtId="4" fontId="16" fillId="44" borderId="86" applyNumberFormat="0" applyProtection="0">
      <alignment vertical="center"/>
    </xf>
    <xf numFmtId="4" fontId="16" fillId="44" borderId="86" applyNumberFormat="0" applyProtection="0">
      <alignment vertical="center"/>
    </xf>
    <xf numFmtId="4" fontId="16" fillId="44" borderId="86" applyNumberFormat="0" applyProtection="0">
      <alignment vertical="center"/>
    </xf>
    <xf numFmtId="4" fontId="27" fillId="65" borderId="83" applyNumberFormat="0" applyProtection="0">
      <alignment vertical="center"/>
    </xf>
    <xf numFmtId="4" fontId="189" fillId="65" borderId="83" applyNumberForma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89" fillId="65" borderId="83" applyNumberFormat="0" applyProtection="0">
      <alignment vertical="center"/>
    </xf>
    <xf numFmtId="4" fontId="27" fillId="65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6" fillId="65" borderId="86" applyNumberFormat="0" applyProtection="0">
      <alignment horizontal="left" vertical="center" indent="1"/>
    </xf>
    <xf numFmtId="4" fontId="16" fillId="65" borderId="86" applyNumberFormat="0" applyProtection="0">
      <alignment horizontal="left" vertical="center" indent="1"/>
    </xf>
    <xf numFmtId="4" fontId="16" fillId="65" borderId="86" applyNumberFormat="0" applyProtection="0">
      <alignment horizontal="left" vertical="center" indent="1"/>
    </xf>
    <xf numFmtId="4" fontId="16" fillId="65" borderId="86" applyNumberFormat="0" applyProtection="0">
      <alignment horizontal="left" vertical="center" indent="1"/>
    </xf>
    <xf numFmtId="4" fontId="27" fillId="65" borderId="83" applyNumberFormat="0" applyProtection="0">
      <alignment horizontal="left" vertical="center" indent="1"/>
    </xf>
    <xf numFmtId="4" fontId="27" fillId="65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5" borderId="83" applyNumberFormat="0" applyProtection="0">
      <alignment horizontal="left" vertical="center" indent="1"/>
    </xf>
    <xf numFmtId="0" fontId="13" fillId="69" borderId="0" applyNumberFormat="0" applyProtection="0">
      <alignment horizontal="left" vertical="center" indent="1"/>
    </xf>
    <xf numFmtId="0" fontId="13" fillId="69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27" fillId="70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0" borderId="83" applyNumberFormat="0" applyProtection="0">
      <alignment horizontal="right" vertical="center"/>
    </xf>
    <xf numFmtId="4" fontId="27" fillId="71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1" borderId="83" applyNumberFormat="0" applyProtection="0">
      <alignment horizontal="right" vertical="center"/>
    </xf>
    <xf numFmtId="4" fontId="27" fillId="72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2" borderId="83" applyNumberFormat="0" applyProtection="0">
      <alignment horizontal="right" vertical="center"/>
    </xf>
    <xf numFmtId="4" fontId="27" fillId="3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3" borderId="83" applyNumberFormat="0" applyProtection="0">
      <alignment horizontal="right" vertical="center"/>
    </xf>
    <xf numFmtId="4" fontId="27" fillId="73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3" borderId="83" applyNumberFormat="0" applyProtection="0">
      <alignment horizontal="right" vertical="center"/>
    </xf>
    <xf numFmtId="4" fontId="27" fillId="74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4" borderId="83" applyNumberFormat="0" applyProtection="0">
      <alignment horizontal="right" vertical="center"/>
    </xf>
    <xf numFmtId="4" fontId="27" fillId="75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5" borderId="83" applyNumberFormat="0" applyProtection="0">
      <alignment horizontal="right" vertical="center"/>
    </xf>
    <xf numFmtId="4" fontId="27" fillId="62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2" borderId="83" applyNumberFormat="0" applyProtection="0">
      <alignment horizontal="right" vertical="center"/>
    </xf>
    <xf numFmtId="4" fontId="27" fillId="76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6" borderId="83" applyNumberFormat="0" applyProtection="0">
      <alignment horizontal="right" vertical="center"/>
    </xf>
    <xf numFmtId="4" fontId="26" fillId="77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4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90" fillId="78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0" fontId="13" fillId="2" borderId="83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91" fillId="0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9" borderId="83" applyNumberFormat="0" applyProtection="0">
      <alignment horizontal="left" vertical="center" indent="1"/>
    </xf>
    <xf numFmtId="0" fontId="13" fillId="79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79" borderId="83" applyNumberFormat="0" applyProtection="0">
      <alignment horizontal="left" vertical="center" indent="1"/>
    </xf>
    <xf numFmtId="0" fontId="13" fillId="0" borderId="0"/>
    <xf numFmtId="0" fontId="13" fillId="79" borderId="83" applyNumberFormat="0" applyProtection="0">
      <alignment horizontal="left" vertical="center" indent="1"/>
    </xf>
    <xf numFmtId="0" fontId="13" fillId="79" borderId="83" applyNumberFormat="0" applyProtection="0">
      <alignment horizontal="left" vertical="center" indent="1"/>
    </xf>
    <xf numFmtId="0" fontId="13" fillId="79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79" borderId="83" applyNumberFormat="0" applyProtection="0">
      <alignment horizontal="left" vertical="center" indent="1"/>
    </xf>
    <xf numFmtId="0" fontId="13" fillId="0" borderId="0"/>
    <xf numFmtId="0" fontId="13" fillId="79" borderId="83" applyNumberFormat="0" applyProtection="0">
      <alignment horizontal="left" vertical="center" indent="1"/>
    </xf>
    <xf numFmtId="0" fontId="13" fillId="80" borderId="83" applyNumberFormat="0" applyProtection="0">
      <alignment horizontal="left" vertical="center" indent="1"/>
    </xf>
    <xf numFmtId="0" fontId="13" fillId="80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80" borderId="83" applyNumberFormat="0" applyProtection="0">
      <alignment horizontal="left" vertical="center" indent="1"/>
    </xf>
    <xf numFmtId="0" fontId="13" fillId="0" borderId="0"/>
    <xf numFmtId="0" fontId="13" fillId="80" borderId="83" applyNumberFormat="0" applyProtection="0">
      <alignment horizontal="left" vertical="center" indent="1"/>
    </xf>
    <xf numFmtId="0" fontId="13" fillId="80" borderId="83" applyNumberFormat="0" applyProtection="0">
      <alignment horizontal="left" vertical="center" indent="1"/>
    </xf>
    <xf numFmtId="0" fontId="13" fillId="80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80" borderId="83" applyNumberFormat="0" applyProtection="0">
      <alignment horizontal="left" vertical="center" indent="1"/>
    </xf>
    <xf numFmtId="0" fontId="13" fillId="0" borderId="0"/>
    <xf numFmtId="0" fontId="13" fillId="80" borderId="83" applyNumberFormat="0" applyProtection="0">
      <alignment horizontal="left" vertical="center" indent="1"/>
    </xf>
    <xf numFmtId="0" fontId="13" fillId="60" borderId="83" applyNumberFormat="0" applyProtection="0">
      <alignment horizontal="left" vertical="center" indent="1"/>
    </xf>
    <xf numFmtId="0" fontId="13" fillId="60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60" borderId="83" applyNumberFormat="0" applyProtection="0">
      <alignment horizontal="left" vertical="center" indent="1"/>
    </xf>
    <xf numFmtId="0" fontId="13" fillId="0" borderId="0"/>
    <xf numFmtId="0" fontId="13" fillId="60" borderId="83" applyNumberFormat="0" applyProtection="0">
      <alignment horizontal="left" vertical="center" indent="1"/>
    </xf>
    <xf numFmtId="0" fontId="13" fillId="60" borderId="83" applyNumberFormat="0" applyProtection="0">
      <alignment horizontal="left" vertical="center" indent="1"/>
    </xf>
    <xf numFmtId="0" fontId="13" fillId="60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60" borderId="83" applyNumberFormat="0" applyProtection="0">
      <alignment horizontal="left" vertical="center" indent="1"/>
    </xf>
    <xf numFmtId="0" fontId="13" fillId="0" borderId="0"/>
    <xf numFmtId="0" fontId="13" fillId="60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6" borderId="83" applyNumberForma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6" borderId="83" applyNumberFormat="0" applyProtection="0">
      <alignment vertical="center"/>
    </xf>
    <xf numFmtId="4" fontId="189" fillId="66" borderId="83" applyNumberForma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89" fillId="66" borderId="83" applyNumberFormat="0" applyProtection="0">
      <alignment vertical="center"/>
    </xf>
    <xf numFmtId="4" fontId="27" fillId="66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6" borderId="83" applyNumberFormat="0" applyProtection="0">
      <alignment horizontal="left" vertical="center" indent="1"/>
    </xf>
    <xf numFmtId="4" fontId="27" fillId="66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6" borderId="83" applyNumberFormat="0" applyProtection="0">
      <alignment horizontal="left" vertical="center" indent="1"/>
    </xf>
    <xf numFmtId="4" fontId="27" fillId="64" borderId="83" applyNumberFormat="0" applyProtection="0">
      <alignment horizontal="right" vertical="center"/>
    </xf>
    <xf numFmtId="4" fontId="27" fillId="64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4" fontId="27" fillId="64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6" fillId="0" borderId="86" applyNumberFormat="0" applyProtection="0">
      <alignment horizontal="right" vertical="center"/>
    </xf>
    <xf numFmtId="4" fontId="16" fillId="0" borderId="86" applyNumberFormat="0" applyProtection="0">
      <alignment horizontal="right" vertical="center"/>
    </xf>
    <xf numFmtId="4" fontId="16" fillId="0" borderId="86" applyNumberFormat="0" applyProtection="0">
      <alignment horizontal="right" vertical="center"/>
    </xf>
    <xf numFmtId="4" fontId="16" fillId="0" borderId="86" applyNumberFormat="0" applyProtection="0">
      <alignment horizontal="right" vertical="center"/>
    </xf>
    <xf numFmtId="4" fontId="27" fillId="64" borderId="83" applyNumberFormat="0" applyProtection="0">
      <alignment horizontal="right" vertical="center"/>
    </xf>
    <xf numFmtId="4" fontId="189" fillId="64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89" fillId="64" borderId="83" applyNumberFormat="0" applyProtection="0">
      <alignment horizontal="right" vertical="center"/>
    </xf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0" fontId="13" fillId="2" borderId="83" applyNumberFormat="0" applyProtection="0">
      <alignment horizontal="left" vertical="center" indent="1"/>
    </xf>
    <xf numFmtId="0" fontId="192" fillId="0" borderId="0" applyNumberFormat="0" applyProtection="0">
      <alignment horizontal="left" indent="5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93" fillId="64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93" fillId="64" borderId="83" applyNumberFormat="0" applyProtection="0">
      <alignment horizontal="right" vertical="center"/>
    </xf>
    <xf numFmtId="39" fontId="13" fillId="81" borderId="0"/>
    <xf numFmtId="38" fontId="13" fillId="82" borderId="0" applyNumberFormat="0" applyFont="0" applyBorder="0" applyAlignment="0" applyProtection="0"/>
    <xf numFmtId="39" fontId="13" fillId="81" borderId="0"/>
    <xf numFmtId="39" fontId="13" fillId="8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9" fontId="13" fillId="81" borderId="0"/>
    <xf numFmtId="39" fontId="13" fillId="81" borderId="0"/>
    <xf numFmtId="0" fontId="13" fillId="0" borderId="0"/>
    <xf numFmtId="0" fontId="13" fillId="0" borderId="0"/>
    <xf numFmtId="39" fontId="13" fillId="81" borderId="0"/>
    <xf numFmtId="39" fontId="13" fillId="81" borderId="0"/>
    <xf numFmtId="0" fontId="13" fillId="0" borderId="0"/>
    <xf numFmtId="0" fontId="13" fillId="0" borderId="0"/>
    <xf numFmtId="0" fontId="13" fillId="0" borderId="0"/>
    <xf numFmtId="39" fontId="13" fillId="81" borderId="0"/>
    <xf numFmtId="0" fontId="13" fillId="0" borderId="0"/>
    <xf numFmtId="0" fontId="13" fillId="0" borderId="0"/>
    <xf numFmtId="39" fontId="13" fillId="81" borderId="0"/>
    <xf numFmtId="39" fontId="13" fillId="81" borderId="0"/>
    <xf numFmtId="0" fontId="13" fillId="0" borderId="0"/>
    <xf numFmtId="0" fontId="13" fillId="0" borderId="0"/>
    <xf numFmtId="39" fontId="13" fillId="81" borderId="0"/>
    <xf numFmtId="39" fontId="13" fillId="8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9" fontId="13" fillId="81" borderId="0"/>
    <xf numFmtId="0" fontId="13" fillId="0" borderId="0"/>
    <xf numFmtId="0" fontId="13" fillId="0" borderId="0"/>
    <xf numFmtId="38" fontId="16" fillId="0" borderId="31"/>
    <xf numFmtId="38" fontId="16" fillId="0" borderId="31"/>
    <xf numFmtId="38" fontId="16" fillId="0" borderId="31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16" fillId="0" borderId="31"/>
    <xf numFmtId="38" fontId="16" fillId="0" borderId="31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16" fillId="0" borderId="31"/>
    <xf numFmtId="38" fontId="16" fillId="0" borderId="31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16" fillId="0" borderId="31"/>
    <xf numFmtId="38" fontId="16" fillId="0" borderId="31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16" fillId="0" borderId="31"/>
    <xf numFmtId="38" fontId="147" fillId="0" borderId="85"/>
    <xf numFmtId="38" fontId="147" fillId="0" borderId="85"/>
    <xf numFmtId="0" fontId="13" fillId="0" borderId="0"/>
    <xf numFmtId="0" fontId="13" fillId="0" borderId="0"/>
    <xf numFmtId="0" fontId="13" fillId="0" borderId="0"/>
    <xf numFmtId="38" fontId="147" fillId="0" borderId="85"/>
    <xf numFmtId="38" fontId="147" fillId="0" borderId="85"/>
    <xf numFmtId="38" fontId="147" fillId="0" borderId="85"/>
    <xf numFmtId="0" fontId="13" fillId="0" borderId="0"/>
    <xf numFmtId="38" fontId="147" fillId="0" borderId="85"/>
    <xf numFmtId="0" fontId="13" fillId="0" borderId="0"/>
    <xf numFmtId="0" fontId="13" fillId="0" borderId="0"/>
    <xf numFmtId="0" fontId="13" fillId="0" borderId="0"/>
    <xf numFmtId="38" fontId="147" fillId="0" borderId="85"/>
    <xf numFmtId="0" fontId="13" fillId="0" borderId="0"/>
    <xf numFmtId="0" fontId="13" fillId="0" borderId="0"/>
    <xf numFmtId="0" fontId="13" fillId="0" borderId="0"/>
    <xf numFmtId="38" fontId="147" fillId="0" borderId="85"/>
    <xf numFmtId="39" fontId="17" fillId="83" borderId="0"/>
    <xf numFmtId="39" fontId="13" fillId="8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wrapText="1"/>
    </xf>
    <xf numFmtId="166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5" fontId="13" fillId="0" borderId="0">
      <alignment horizontal="left" wrapText="1"/>
    </xf>
    <xf numFmtId="185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>
      <alignment horizontal="left" wrapText="1"/>
    </xf>
    <xf numFmtId="166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wrapText="1"/>
    </xf>
    <xf numFmtId="0" fontId="18" fillId="84" borderId="87" applyNumberFormat="0" applyProtection="0">
      <alignment horizontal="center" wrapText="1"/>
    </xf>
    <xf numFmtId="0" fontId="13" fillId="0" borderId="0"/>
    <xf numFmtId="0" fontId="13" fillId="0" borderId="0"/>
    <xf numFmtId="0" fontId="13" fillId="0" borderId="0"/>
    <xf numFmtId="0" fontId="18" fillId="84" borderId="87" applyNumberFormat="0" applyProtection="0">
      <alignment horizontal="center" wrapText="1"/>
    </xf>
    <xf numFmtId="0" fontId="18" fillId="84" borderId="88" applyNumberFormat="0" applyAlignment="0" applyProtection="0">
      <alignment wrapText="1"/>
    </xf>
    <xf numFmtId="0" fontId="13" fillId="0" borderId="0"/>
    <xf numFmtId="0" fontId="13" fillId="0" borderId="0"/>
    <xf numFmtId="0" fontId="13" fillId="0" borderId="0"/>
    <xf numFmtId="0" fontId="18" fillId="84" borderId="88" applyNumberFormat="0" applyAlignment="0" applyProtection="0">
      <alignment wrapText="1"/>
    </xf>
    <xf numFmtId="0" fontId="13" fillId="85" borderId="0" applyNumberFormat="0" applyBorder="0">
      <alignment horizontal="center" wrapText="1"/>
    </xf>
    <xf numFmtId="0" fontId="13" fillId="85" borderId="0" applyNumberFormat="0" applyBorder="0">
      <alignment horizontal="center" wrapText="1"/>
    </xf>
    <xf numFmtId="0" fontId="13" fillId="0" borderId="0"/>
    <xf numFmtId="0" fontId="13" fillId="0" borderId="0"/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0" borderId="0"/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0" borderId="0"/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0" applyNumberFormat="0" applyBorder="0">
      <alignment wrapText="1"/>
    </xf>
    <xf numFmtId="0" fontId="13" fillId="86" borderId="0" applyNumberFormat="0" applyBorder="0">
      <alignment wrapText="1"/>
    </xf>
    <xf numFmtId="0" fontId="13" fillId="0" borderId="0"/>
    <xf numFmtId="0" fontId="13" fillId="0" borderId="0"/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/>
    <xf numFmtId="0" fontId="13" fillId="0" borderId="0"/>
    <xf numFmtId="221" fontId="13" fillId="0" borderId="0" applyFill="0" applyBorder="0" applyAlignment="0" applyProtection="0">
      <alignment wrapText="1"/>
    </xf>
    <xf numFmtId="221" fontId="13" fillId="0" borderId="0" applyFill="0" applyBorder="0" applyAlignment="0" applyProtection="0">
      <alignment wrapText="1"/>
    </xf>
    <xf numFmtId="0" fontId="13" fillId="0" borderId="0"/>
    <xf numFmtId="0" fontId="13" fillId="0" borderId="0"/>
    <xf numFmtId="171" fontId="13" fillId="0" borderId="0" applyFill="0" applyBorder="0" applyAlignment="0" applyProtection="0">
      <alignment wrapText="1"/>
    </xf>
    <xf numFmtId="171" fontId="13" fillId="0" borderId="0" applyFill="0" applyBorder="0" applyAlignment="0" applyProtection="0">
      <alignment wrapText="1"/>
    </xf>
    <xf numFmtId="0" fontId="13" fillId="0" borderId="0"/>
    <xf numFmtId="0" fontId="13" fillId="0" borderId="0"/>
    <xf numFmtId="171" fontId="13" fillId="0" borderId="0" applyFill="0" applyBorder="0" applyAlignment="0" applyProtection="0">
      <alignment wrapText="1"/>
    </xf>
    <xf numFmtId="171" fontId="13" fillId="0" borderId="0" applyFill="0" applyBorder="0" applyAlignment="0" applyProtection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/>
    <xf numFmtId="0" fontId="13" fillId="0" borderId="0"/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0" fontId="13" fillId="0" borderId="0"/>
    <xf numFmtId="0" fontId="13" fillId="0" borderId="0"/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 applyNumberFormat="0" applyFill="0" applyBorder="0">
      <alignment horizontal="center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 applyNumberFormat="0" applyFill="0" applyBorder="0">
      <alignment horizontal="center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 applyNumberFormat="0" applyFill="0" applyBorder="0">
      <alignment horizontal="center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 applyNumberFormat="0" applyBorder="0" applyAlignment="0"/>
    <xf numFmtId="0" fontId="27" fillId="0" borderId="0" applyNumberFormat="0" applyBorder="0" applyAlignment="0"/>
    <xf numFmtId="0" fontId="194" fillId="0" borderId="0" applyNumberFormat="0" applyBorder="0" applyAlignment="0"/>
    <xf numFmtId="0" fontId="194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95" fillId="0" borderId="0"/>
    <xf numFmtId="0" fontId="196" fillId="0" borderId="0"/>
    <xf numFmtId="0" fontId="138" fillId="0" borderId="0"/>
    <xf numFmtId="220" fontId="197" fillId="0" borderId="0"/>
    <xf numFmtId="200" fontId="25" fillId="0" borderId="0"/>
    <xf numFmtId="0" fontId="198" fillId="0" borderId="0"/>
    <xf numFmtId="0" fontId="170" fillId="0" borderId="90"/>
    <xf numFmtId="0" fontId="170" fillId="0" borderId="90"/>
    <xf numFmtId="40" fontId="199" fillId="0" borderId="0" applyBorder="0">
      <alignment horizontal="right"/>
    </xf>
    <xf numFmtId="41" fontId="19" fillId="61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0" fontId="200" fillId="87" borderId="0" applyFont="0" applyBorder="0" applyAlignment="0">
      <alignment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202" fillId="0" borderId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0" fontId="203" fillId="0" borderId="0" applyFill="0" applyBorder="0" applyProtection="0">
      <alignment horizontal="left" vertical="top"/>
    </xf>
    <xf numFmtId="0" fontId="12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2" fontId="204" fillId="61" borderId="0">
      <alignment horizontal="lef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61" borderId="0">
      <alignment horizontal="left" wrapText="1"/>
    </xf>
    <xf numFmtId="0" fontId="18" fillId="61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5" fillId="0" borderId="0">
      <alignment horizontal="lef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8" fontId="20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9" fillId="0" borderId="92" applyNumberFormat="0" applyFill="0" applyAlignment="0" applyProtection="0"/>
    <xf numFmtId="0" fontId="33" fillId="0" borderId="9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93" applyNumberFormat="0" applyFill="0" applyAlignment="0" applyProtection="0"/>
    <xf numFmtId="0" fontId="129" fillId="0" borderId="9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29" fillId="0" borderId="9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94" applyNumberFormat="0" applyFon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60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5" fillId="0" borderId="95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8" fontId="147" fillId="0" borderId="30"/>
    <xf numFmtId="215" fontId="150" fillId="0" borderId="30" applyAlignment="0"/>
    <xf numFmtId="216" fontId="150" fillId="0" borderId="30" applyAlignment="0"/>
    <xf numFmtId="220" fontId="150" fillId="0" borderId="30" applyAlignment="0">
      <alignment horizontal="right"/>
    </xf>
    <xf numFmtId="223" fontId="183" fillId="60" borderId="11" applyBorder="0">
      <alignment horizontal="right" vertical="center"/>
      <protection locked="0"/>
    </xf>
    <xf numFmtId="223" fontId="183" fillId="60" borderId="11" applyBorder="0">
      <alignment horizontal="right" vertical="center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0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1" fontId="13" fillId="0" borderId="0">
      <alignment horizontal="center"/>
    </xf>
    <xf numFmtId="1" fontId="13" fillId="0" borderId="0">
      <alignment horizontal="center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41" fontId="13" fillId="60" borderId="0"/>
    <xf numFmtId="0" fontId="208" fillId="0" borderId="0"/>
    <xf numFmtId="0" fontId="208" fillId="0" borderId="0"/>
    <xf numFmtId="0" fontId="208" fillId="0" borderId="0"/>
    <xf numFmtId="0" fontId="208" fillId="0" borderId="0"/>
    <xf numFmtId="2" fontId="31" fillId="0" borderId="0" applyFill="0" applyBorder="0" applyAlignment="0" applyProtection="0"/>
    <xf numFmtId="0" fontId="16" fillId="60" borderId="0"/>
    <xf numFmtId="0" fontId="208" fillId="0" borderId="0"/>
    <xf numFmtId="0" fontId="208" fillId="0" borderId="0"/>
    <xf numFmtId="0" fontId="209" fillId="0" borderId="0"/>
    <xf numFmtId="0" fontId="210" fillId="89" borderId="0"/>
    <xf numFmtId="0" fontId="62" fillId="89" borderId="80"/>
    <xf numFmtId="0" fontId="211" fillId="90" borderId="98"/>
    <xf numFmtId="0" fontId="212" fillId="89" borderId="90"/>
    <xf numFmtId="0" fontId="18" fillId="61" borderId="84" applyNumberFormat="0">
      <alignment horizontal="center" vertical="center" wrapText="1"/>
    </xf>
    <xf numFmtId="0" fontId="13" fillId="0" borderId="0" applyNumberFormat="0" applyBorder="0" applyAlignment="0"/>
    <xf numFmtId="0" fontId="210" fillId="0" borderId="0"/>
    <xf numFmtId="0" fontId="62" fillId="89" borderId="0"/>
    <xf numFmtId="0" fontId="18" fillId="61" borderId="0">
      <alignment horizontal="left" wrapText="1"/>
    </xf>
    <xf numFmtId="0" fontId="208" fillId="0" borderId="95"/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44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89" fillId="57" borderId="78" applyNumberFormat="0" applyAlignment="0" applyProtection="0"/>
    <xf numFmtId="0" fontId="90" fillId="58" borderId="7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1" fillId="44" borderId="78" applyNumberFormat="0" applyAlignment="0" applyProtection="0"/>
    <xf numFmtId="0" fontId="111" fillId="44" borderId="78" applyNumberFormat="0" applyAlignment="0" applyProtection="0"/>
    <xf numFmtId="0" fontId="111" fillId="44" borderId="78" applyNumberFormat="0" applyAlignment="0" applyProtection="0"/>
    <xf numFmtId="0" fontId="111" fillId="44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39" borderId="82" applyNumberFormat="0" applyFont="0" applyAlignment="0" applyProtection="0"/>
    <xf numFmtId="0" fontId="2" fillId="10" borderId="59" applyNumberFormat="0" applyFont="0" applyAlignment="0" applyProtection="0"/>
    <xf numFmtId="0" fontId="123" fillId="39" borderId="82" applyNumberFormat="0" applyFont="0" applyAlignment="0" applyProtection="0"/>
    <xf numFmtId="0" fontId="28" fillId="39" borderId="8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9" fillId="0" borderId="92" applyNumberFormat="0" applyFill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90" fillId="58" borderId="78" applyNumberFormat="0" applyAlignment="0" applyProtection="0"/>
    <xf numFmtId="0" fontId="90" fillId="58" borderId="78" applyNumberFormat="0" applyAlignment="0" applyProtection="0"/>
    <xf numFmtId="0" fontId="90" fillId="58" borderId="78" applyNumberFormat="0" applyAlignment="0" applyProtection="0"/>
    <xf numFmtId="0" fontId="89" fillId="57" borderId="78" applyNumberFormat="0" applyAlignment="0" applyProtection="0"/>
    <xf numFmtId="0" fontId="89" fillId="57" borderId="7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219" fontId="187" fillId="61" borderId="96">
      <alignment horizontal="left"/>
    </xf>
    <xf numFmtId="219" fontId="187" fillId="61" borderId="96">
      <alignment horizontal="left"/>
    </xf>
    <xf numFmtId="38" fontId="147" fillId="0" borderId="96"/>
    <xf numFmtId="38" fontId="147" fillId="0" borderId="96"/>
    <xf numFmtId="38" fontId="147" fillId="0" borderId="96"/>
    <xf numFmtId="38" fontId="147" fillId="0" borderId="96"/>
    <xf numFmtId="38" fontId="147" fillId="0" borderId="96"/>
    <xf numFmtId="38" fontId="147" fillId="0" borderId="96"/>
    <xf numFmtId="38" fontId="147" fillId="0" borderId="96"/>
    <xf numFmtId="38" fontId="147" fillId="0" borderId="96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2" fillId="12" borderId="0" applyNumberFormat="0" applyBorder="0" applyAlignment="0" applyProtection="0"/>
    <xf numFmtId="0" fontId="1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1" fillId="36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0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2" fillId="16" borderId="0" applyNumberFormat="0" applyBorder="0" applyAlignment="0" applyProtection="0"/>
    <xf numFmtId="0" fontId="1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1" fillId="38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0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2" fillId="20" borderId="0" applyNumberFormat="0" applyBorder="0" applyAlignment="0" applyProtection="0"/>
    <xf numFmtId="0" fontId="1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1" fillId="4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0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2" fillId="24" borderId="0" applyNumberFormat="0" applyBorder="0" applyAlignment="0" applyProtection="0"/>
    <xf numFmtId="0" fontId="1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1" fillId="42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0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2" fillId="28" borderId="0" applyNumberFormat="0" applyBorder="0" applyAlignment="0" applyProtection="0"/>
    <xf numFmtId="0" fontId="1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0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2" fillId="32" borderId="0" applyNumberFormat="0" applyBorder="0" applyAlignment="0" applyProtection="0"/>
    <xf numFmtId="0" fontId="1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1" fillId="41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0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2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1" fillId="35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2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2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1" fillId="45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2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1" fillId="42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2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1" fillId="35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2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1" fillId="46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13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13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1" fillId="0" borderId="0"/>
    <xf numFmtId="0" fontId="13" fillId="0" borderId="0"/>
    <xf numFmtId="0" fontId="214" fillId="0" borderId="0"/>
    <xf numFmtId="0" fontId="1" fillId="0" borderId="0"/>
    <xf numFmtId="0" fontId="214" fillId="0" borderId="0"/>
    <xf numFmtId="0" fontId="214" fillId="0" borderId="0"/>
    <xf numFmtId="0" fontId="1" fillId="0" borderId="0"/>
    <xf numFmtId="0" fontId="214" fillId="0" borderId="0"/>
    <xf numFmtId="0" fontId="1" fillId="0" borderId="0"/>
    <xf numFmtId="0" fontId="214" fillId="0" borderId="0"/>
    <xf numFmtId="0" fontId="1" fillId="0" borderId="0"/>
    <xf numFmtId="0" fontId="214" fillId="0" borderId="0"/>
    <xf numFmtId="0" fontId="1" fillId="0" borderId="0"/>
    <xf numFmtId="0" fontId="214" fillId="0" borderId="0"/>
    <xf numFmtId="0" fontId="1" fillId="0" borderId="0"/>
    <xf numFmtId="0" fontId="214" fillId="0" borderId="0"/>
    <xf numFmtId="0" fontId="214" fillId="0" borderId="0"/>
    <xf numFmtId="0" fontId="1" fillId="0" borderId="0"/>
    <xf numFmtId="0" fontId="1" fillId="0" borderId="0"/>
    <xf numFmtId="0" fontId="1" fillId="0" borderId="0"/>
    <xf numFmtId="0" fontId="214" fillId="0" borderId="0"/>
    <xf numFmtId="0" fontId="2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14" fillId="0" borderId="0"/>
    <xf numFmtId="0" fontId="8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214" fillId="0" borderId="0"/>
    <xf numFmtId="0" fontId="2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2" fillId="10" borderId="59" applyNumberFormat="0" applyFont="0" applyAlignment="0" applyProtection="0"/>
    <xf numFmtId="0" fontId="1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1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4" fontId="1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78" fontId="232" fillId="0" borderId="0">
      <alignment horizontal="left" wrapText="1"/>
    </xf>
    <xf numFmtId="44" fontId="232" fillId="0" borderId="0" applyFont="0" applyFill="0" applyBorder="0" applyAlignment="0" applyProtection="0"/>
    <xf numFmtId="10" fontId="232" fillId="0" borderId="79"/>
    <xf numFmtId="43" fontId="232" fillId="0" borderId="0" applyFont="0" applyFill="0" applyBorder="0" applyAlignment="0" applyProtection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</cellStyleXfs>
  <cellXfs count="1100">
    <xf numFmtId="0" fontId="0" fillId="0" borderId="0" xfId="0" applyNumberFormat="1" applyAlignment="1"/>
    <xf numFmtId="173" fontId="13" fillId="0" borderId="12" xfId="0" applyNumberFormat="1" applyFont="1" applyFill="1" applyBorder="1" applyAlignment="1">
      <alignment horizontal="center"/>
    </xf>
    <xf numFmtId="173" fontId="13" fillId="0" borderId="51" xfId="0" applyNumberFormat="1" applyFont="1" applyFill="1" applyBorder="1" applyAlignment="1">
      <alignment horizontal="center"/>
    </xf>
    <xf numFmtId="173" fontId="13" fillId="0" borderId="13" xfId="0" applyNumberFormat="1" applyFont="1" applyFill="1" applyBorder="1" applyAlignment="1"/>
    <xf numFmtId="173" fontId="13" fillId="0" borderId="18" xfId="0" applyNumberFormat="1" applyFont="1" applyFill="1" applyBorder="1" applyAlignment="1">
      <alignment horizontal="center"/>
    </xf>
    <xf numFmtId="173" fontId="13" fillId="0" borderId="17" xfId="0" applyNumberFormat="1" applyFont="1" applyFill="1" applyBorder="1" applyAlignment="1">
      <alignment horizontal="center"/>
    </xf>
    <xf numFmtId="173" fontId="13" fillId="0" borderId="50" xfId="0" applyNumberFormat="1" applyFont="1" applyFill="1" applyBorder="1" applyAlignment="1">
      <alignment horizontal="center"/>
    </xf>
    <xf numFmtId="173" fontId="13" fillId="0" borderId="50" xfId="0" applyNumberFormat="1" applyFont="1" applyFill="1" applyBorder="1" applyAlignment="1"/>
    <xf numFmtId="0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fill"/>
    </xf>
    <xf numFmtId="17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 locked="0"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 applyProtection="1">
      <alignment horizontal="center"/>
      <protection locked="0"/>
    </xf>
    <xf numFmtId="42" fontId="7" fillId="0" borderId="0" xfId="0" applyNumberFormat="1" applyFont="1" applyFill="1" applyAlignment="1">
      <alignment horizontal="left"/>
    </xf>
    <xf numFmtId="0" fontId="8" fillId="0" borderId="0" xfId="0" quotePrefix="1" applyNumberFormat="1" applyFont="1" applyFill="1" applyBorder="1" applyAlignment="1">
      <alignment horizontal="right"/>
    </xf>
    <xf numFmtId="0" fontId="8" fillId="0" borderId="0" xfId="0" quotePrefix="1" applyNumberFormat="1" applyFont="1" applyFill="1" applyAlignment="1">
      <alignment horizontal="centerContinuous"/>
    </xf>
    <xf numFmtId="18" fontId="8" fillId="0" borderId="0" xfId="0" quotePrefix="1" applyNumberFormat="1" applyFont="1" applyFill="1" applyAlignment="1">
      <alignment horizontal="centerContinuous"/>
    </xf>
    <xf numFmtId="41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fill"/>
    </xf>
    <xf numFmtId="0" fontId="8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Continuous"/>
    </xf>
    <xf numFmtId="0" fontId="7" fillId="0" borderId="6" xfId="0" applyNumberFormat="1" applyFont="1" applyFill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0" fontId="7" fillId="0" borderId="0" xfId="0" quotePrefix="1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right"/>
    </xf>
    <xf numFmtId="171" fontId="7" fillId="0" borderId="0" xfId="0" quotePrefix="1" applyNumberFormat="1" applyFont="1" applyFill="1" applyAlignment="1">
      <alignment horizontal="left"/>
    </xf>
    <xf numFmtId="1" fontId="7" fillId="0" borderId="0" xfId="0" quotePrefix="1" applyNumberFormat="1" applyFont="1" applyFill="1" applyAlignment="1">
      <alignment horizontal="left"/>
    </xf>
    <xf numFmtId="0" fontId="10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Alignment="1">
      <alignment horizontal="center"/>
    </xf>
    <xf numFmtId="0" fontId="8" fillId="0" borderId="6" xfId="0" quotePrefix="1" applyNumberFormat="1" applyFont="1" applyFill="1" applyBorder="1" applyAlignment="1">
      <alignment horizontal="center"/>
    </xf>
    <xf numFmtId="170" fontId="7" fillId="0" borderId="0" xfId="0" applyNumberFormat="1" applyFont="1" applyFill="1" applyAlignment="1" applyProtection="1">
      <protection locked="0"/>
    </xf>
    <xf numFmtId="41" fontId="7" fillId="0" borderId="0" xfId="0" applyNumberFormat="1" applyFont="1" applyFill="1" applyAlignment="1" applyProtection="1">
      <protection locked="0"/>
    </xf>
    <xf numFmtId="170" fontId="7" fillId="0" borderId="0" xfId="0" applyNumberFormat="1" applyFont="1" applyFill="1" applyAlignment="1" applyProtection="1">
      <alignment horizontal="left"/>
      <protection locked="0"/>
    </xf>
    <xf numFmtId="42" fontId="7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170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 applyProtection="1">
      <alignment horizontal="right"/>
      <protection locked="0"/>
    </xf>
    <xf numFmtId="10" fontId="7" fillId="0" borderId="0" xfId="0" applyNumberFormat="1" applyFont="1" applyFill="1" applyAlignment="1">
      <alignment horizontal="center"/>
    </xf>
    <xf numFmtId="170" fontId="7" fillId="0" borderId="0" xfId="0" applyNumberFormat="1" applyFont="1" applyFill="1" applyAlignment="1">
      <alignment horizontal="center"/>
    </xf>
    <xf numFmtId="0" fontId="8" fillId="0" borderId="0" xfId="0" quotePrefix="1" applyNumberFormat="1" applyFont="1" applyFill="1" applyAlignment="1">
      <alignment horizontal="center"/>
    </xf>
    <xf numFmtId="9" fontId="8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17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6" xfId="0" applyNumberFormat="1" applyFont="1" applyFill="1" applyBorder="1" applyAlignment="1"/>
    <xf numFmtId="0" fontId="8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Continuous"/>
    </xf>
    <xf numFmtId="0" fontId="8" fillId="0" borderId="0" xfId="0" quotePrefix="1" applyNumberFormat="1" applyFont="1" applyFill="1" applyAlignment="1">
      <alignment horizontal="fill"/>
    </xf>
    <xf numFmtId="3" fontId="8" fillId="0" borderId="0" xfId="0" applyNumberFormat="1" applyFont="1" applyFill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Continuous"/>
    </xf>
    <xf numFmtId="49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fill"/>
      <protection locked="0"/>
    </xf>
    <xf numFmtId="0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fill"/>
    </xf>
    <xf numFmtId="41" fontId="7" fillId="0" borderId="6" xfId="0" applyNumberFormat="1" applyFont="1" applyFill="1" applyBorder="1" applyAlignment="1" applyProtection="1">
      <protection locked="0"/>
    </xf>
    <xf numFmtId="9" fontId="7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/>
    <xf numFmtId="0" fontId="7" fillId="0" borderId="0" xfId="0" applyNumberFormat="1" applyFont="1" applyFill="1" applyAlignment="1" applyProtection="1">
      <alignment horizontal="centerContinuous"/>
      <protection locked="0"/>
    </xf>
    <xf numFmtId="176" fontId="14" fillId="0" borderId="0" xfId="0" applyNumberFormat="1" applyFont="1" applyFill="1" applyAlignment="1" applyProtection="1">
      <alignment horizontal="left"/>
    </xf>
    <xf numFmtId="42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Alignment="1"/>
    <xf numFmtId="0" fontId="8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/>
    <xf numFmtId="15" fontId="7" fillId="0" borderId="0" xfId="0" applyNumberFormat="1" applyFont="1" applyFill="1" applyAlignment="1"/>
    <xf numFmtId="3" fontId="7" fillId="0" borderId="0" xfId="0" applyNumberFormat="1" applyFont="1" applyFill="1" applyAlignment="1"/>
    <xf numFmtId="170" fontId="7" fillId="0" borderId="0" xfId="0" applyNumberFormat="1" applyFont="1" applyFill="1" applyAlignment="1"/>
    <xf numFmtId="2" fontId="7" fillId="0" borderId="0" xfId="0" applyNumberFormat="1" applyFont="1" applyFill="1" applyAlignment="1"/>
    <xf numFmtId="0" fontId="7" fillId="0" borderId="0" xfId="0" applyNumberFormat="1" applyFont="1" applyFill="1" applyBorder="1" applyAlignment="1"/>
    <xf numFmtId="49" fontId="7" fillId="0" borderId="0" xfId="0" applyNumberFormat="1" applyFont="1" applyFill="1" applyAlignment="1"/>
    <xf numFmtId="15" fontId="8" fillId="0" borderId="0" xfId="0" applyNumberFormat="1" applyFont="1" applyFill="1" applyAlignment="1"/>
    <xf numFmtId="0" fontId="8" fillId="0" borderId="0" xfId="0" applyNumberFormat="1" applyFont="1" applyFill="1" applyAlignment="1" applyProtection="1">
      <protection locked="0"/>
    </xf>
    <xf numFmtId="170" fontId="8" fillId="0" borderId="0" xfId="0" applyNumberFormat="1" applyFont="1" applyFill="1" applyAlignment="1"/>
    <xf numFmtId="2" fontId="8" fillId="0" borderId="0" xfId="0" applyNumberFormat="1" applyFont="1" applyFill="1" applyAlignment="1"/>
    <xf numFmtId="0" fontId="0" fillId="0" borderId="0" xfId="0" applyNumberFormat="1" applyFill="1" applyAlignment="1"/>
    <xf numFmtId="3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49" fontId="8" fillId="0" borderId="0" xfId="0" applyNumberFormat="1" applyFont="1" applyFill="1" applyAlignment="1"/>
    <xf numFmtId="0" fontId="8" fillId="0" borderId="6" xfId="0" applyNumberFormat="1" applyFont="1" applyFill="1" applyBorder="1" applyAlignment="1" applyProtection="1">
      <protection locked="0"/>
    </xf>
    <xf numFmtId="167" fontId="7" fillId="0" borderId="0" xfId="0" applyNumberFormat="1" applyFont="1" applyFill="1" applyAlignment="1"/>
    <xf numFmtId="0" fontId="7" fillId="0" borderId="6" xfId="0" applyNumberFormat="1" applyFont="1" applyFill="1" applyBorder="1" applyAlignment="1"/>
    <xf numFmtId="0" fontId="7" fillId="0" borderId="0" xfId="0" applyNumberFormat="1" applyFont="1" applyFill="1" applyAlignment="1" applyProtection="1">
      <protection locked="0"/>
    </xf>
    <xf numFmtId="42" fontId="7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/>
    <xf numFmtId="41" fontId="7" fillId="0" borderId="0" xfId="0" applyNumberFormat="1" applyFont="1" applyFill="1" applyAlignment="1"/>
    <xf numFmtId="42" fontId="7" fillId="0" borderId="0" xfId="0" applyNumberFormat="1" applyFont="1" applyFill="1" applyAlignment="1"/>
    <xf numFmtId="170" fontId="7" fillId="0" borderId="0" xfId="0" applyNumberFormat="1" applyFont="1" applyFill="1" applyBorder="1" applyAlignment="1"/>
    <xf numFmtId="42" fontId="7" fillId="0" borderId="0" xfId="0" applyNumberFormat="1" applyFont="1" applyFill="1" applyAlignment="1"/>
    <xf numFmtId="37" fontId="7" fillId="0" borderId="0" xfId="0" applyNumberFormat="1" applyFont="1" applyFill="1" applyAlignment="1"/>
    <xf numFmtId="42" fontId="7" fillId="0" borderId="0" xfId="0" applyNumberFormat="1" applyFont="1" applyFill="1" applyBorder="1" applyAlignment="1"/>
    <xf numFmtId="174" fontId="7" fillId="0" borderId="0" xfId="0" applyNumberFormat="1" applyFont="1" applyFill="1" applyBorder="1" applyAlignment="1"/>
    <xf numFmtId="37" fontId="7" fillId="0" borderId="0" xfId="0" applyNumberFormat="1" applyFont="1" applyFill="1" applyAlignment="1"/>
    <xf numFmtId="37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 applyProtection="1">
      <protection locked="0"/>
    </xf>
    <xf numFmtId="41" fontId="7" fillId="0" borderId="6" xfId="0" applyNumberFormat="1" applyFont="1" applyFill="1" applyBorder="1" applyAlignment="1"/>
    <xf numFmtId="42" fontId="7" fillId="0" borderId="7" xfId="0" applyNumberFormat="1" applyFont="1" applyFill="1" applyBorder="1" applyAlignment="1" applyProtection="1">
      <protection locked="0"/>
    </xf>
    <xf numFmtId="41" fontId="7" fillId="0" borderId="0" xfId="0" applyNumberFormat="1" applyFont="1" applyFill="1" applyAlignment="1"/>
    <xf numFmtId="41" fontId="7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41" fontId="7" fillId="0" borderId="7" xfId="0" applyNumberFormat="1" applyFont="1" applyFill="1" applyBorder="1" applyAlignment="1"/>
    <xf numFmtId="9" fontId="7" fillId="0" borderId="0" xfId="0" applyNumberFormat="1" applyFont="1" applyFill="1" applyAlignment="1"/>
    <xf numFmtId="10" fontId="7" fillId="0" borderId="0" xfId="0" applyNumberFormat="1" applyFont="1" applyFill="1" applyAlignment="1"/>
    <xf numFmtId="1" fontId="7" fillId="0" borderId="0" xfId="0" applyNumberFormat="1" applyFont="1" applyFill="1" applyAlignment="1"/>
    <xf numFmtId="173" fontId="7" fillId="0" borderId="0" xfId="0" applyNumberFormat="1" applyFont="1" applyFill="1" applyAlignment="1"/>
    <xf numFmtId="173" fontId="7" fillId="0" borderId="6" xfId="0" applyNumberFormat="1" applyFont="1" applyFill="1" applyBorder="1" applyAlignment="1" applyProtection="1">
      <protection locked="0"/>
    </xf>
    <xf numFmtId="4" fontId="7" fillId="0" borderId="0" xfId="0" applyNumberFormat="1" applyFont="1" applyFill="1" applyAlignment="1"/>
    <xf numFmtId="10" fontId="7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Border="1" applyAlignment="1"/>
    <xf numFmtId="41" fontId="7" fillId="0" borderId="7" xfId="0" applyNumberFormat="1" applyFont="1" applyFill="1" applyBorder="1" applyAlignment="1"/>
    <xf numFmtId="41" fontId="7" fillId="0" borderId="0" xfId="0" applyNumberFormat="1" applyFont="1" applyFill="1" applyAlignment="1">
      <alignment horizontal="right"/>
    </xf>
    <xf numFmtId="171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/>
    <xf numFmtId="6" fontId="7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Continuous" vertical="center"/>
    </xf>
    <xf numFmtId="9" fontId="7" fillId="0" borderId="0" xfId="0" applyNumberFormat="1" applyFont="1" applyFill="1" applyBorder="1" applyAlignment="1"/>
    <xf numFmtId="42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178" fontId="7" fillId="0" borderId="0" xfId="0" applyFont="1" applyFill="1" applyAlignment="1"/>
    <xf numFmtId="178" fontId="8" fillId="0" borderId="0" xfId="0" applyFont="1" applyFill="1" applyAlignment="1" applyProtection="1">
      <alignment horizontal="centerContinuous"/>
      <protection locked="0"/>
    </xf>
    <xf numFmtId="178" fontId="8" fillId="0" borderId="0" xfId="0" applyFont="1" applyFill="1" applyAlignment="1">
      <alignment horizontal="centerContinuous"/>
    </xf>
    <xf numFmtId="178" fontId="8" fillId="0" borderId="0" xfId="0" applyFont="1" applyFill="1" applyAlignment="1" applyProtection="1">
      <alignment horizontal="center"/>
      <protection locked="0"/>
    </xf>
    <xf numFmtId="178" fontId="8" fillId="0" borderId="0" xfId="0" applyFont="1" applyFill="1" applyAlignment="1">
      <alignment horizontal="center"/>
    </xf>
    <xf numFmtId="178" fontId="8" fillId="0" borderId="6" xfId="0" applyFont="1" applyFill="1" applyBorder="1" applyAlignment="1">
      <alignment horizontal="center"/>
    </xf>
    <xf numFmtId="42" fontId="8" fillId="0" borderId="0" xfId="0" applyNumberFormat="1" applyFont="1" applyFill="1" applyAlignment="1" applyProtection="1">
      <alignment horizontal="center"/>
      <protection locked="0"/>
    </xf>
    <xf numFmtId="178" fontId="7" fillId="0" borderId="0" xfId="0" applyFont="1" applyFill="1" applyAlignment="1">
      <alignment horizontal="left"/>
    </xf>
    <xf numFmtId="178" fontId="7" fillId="0" borderId="0" xfId="0" applyFont="1" applyFill="1" applyAlignment="1">
      <alignment vertical="center"/>
    </xf>
    <xf numFmtId="178" fontId="7" fillId="0" borderId="0" xfId="0" applyFont="1" applyFill="1" applyAlignment="1">
      <alignment horizontal="left" vertical="center"/>
    </xf>
    <xf numFmtId="178" fontId="7" fillId="0" borderId="0" xfId="0" applyFont="1" applyAlignment="1">
      <alignment horizontal="left"/>
    </xf>
    <xf numFmtId="0" fontId="7" fillId="2" borderId="2" xfId="0" applyNumberFormat="1" applyFont="1" applyFill="1" applyBorder="1" applyAlignment="1"/>
    <xf numFmtId="178" fontId="7" fillId="0" borderId="0" xfId="0" quotePrefix="1" applyFont="1" applyFill="1" applyAlignment="1"/>
    <xf numFmtId="42" fontId="7" fillId="2" borderId="2" xfId="0" applyNumberFormat="1" applyFont="1" applyFill="1" applyBorder="1" applyAlignment="1"/>
    <xf numFmtId="173" fontId="7" fillId="0" borderId="0" xfId="0" applyNumberFormat="1" applyFont="1" applyFill="1" applyAlignment="1" applyProtection="1">
      <protection locked="0"/>
    </xf>
    <xf numFmtId="173" fontId="7" fillId="0" borderId="6" xfId="0" applyNumberFormat="1" applyFont="1" applyFill="1" applyBorder="1" applyAlignment="1"/>
    <xf numFmtId="0" fontId="17" fillId="0" borderId="0" xfId="0" applyNumberFormat="1" applyFont="1" applyAlignment="1"/>
    <xf numFmtId="178" fontId="7" fillId="0" borderId="0" xfId="0" applyFont="1" applyFill="1" applyAlignment="1">
      <alignment horizontal="left" wrapText="1"/>
    </xf>
    <xf numFmtId="4" fontId="17" fillId="0" borderId="0" xfId="0" applyNumberFormat="1" applyFont="1" applyAlignment="1"/>
    <xf numFmtId="0" fontId="7" fillId="0" borderId="0" xfId="0" applyNumberFormat="1" applyFont="1" applyFill="1" applyAlignment="1">
      <alignment horizontal="left" wrapText="1"/>
    </xf>
    <xf numFmtId="0" fontId="13" fillId="0" borderId="0" xfId="0" applyNumberFormat="1" applyFont="1" applyAlignment="1"/>
    <xf numFmtId="178" fontId="8" fillId="0" borderId="0" xfId="0" applyFont="1" applyFill="1" applyAlignment="1">
      <alignment horizontal="right"/>
    </xf>
    <xf numFmtId="0" fontId="18" fillId="0" borderId="0" xfId="0" applyNumberFormat="1" applyFont="1" applyFill="1" applyAlignment="1" applyProtection="1">
      <protection locked="0"/>
    </xf>
    <xf numFmtId="174" fontId="7" fillId="2" borderId="2" xfId="0" applyNumberFormat="1" applyFont="1" applyFill="1" applyBorder="1" applyAlignment="1"/>
    <xf numFmtId="178" fontId="7" fillId="0" borderId="0" xfId="0" applyFont="1" applyFill="1">
      <alignment horizontal="left" wrapText="1"/>
    </xf>
    <xf numFmtId="178" fontId="11" fillId="0" borderId="0" xfId="0" applyFont="1" applyFill="1" applyAlignment="1">
      <alignment horizontal="centerContinuous"/>
    </xf>
    <xf numFmtId="178" fontId="21" fillId="0" borderId="0" xfId="0" applyFont="1" applyFill="1" applyAlignment="1">
      <alignment horizontal="centerContinuous"/>
    </xf>
    <xf numFmtId="178" fontId="8" fillId="0" borderId="0" xfId="0" applyFont="1" applyFill="1">
      <alignment horizontal="left" wrapText="1"/>
    </xf>
    <xf numFmtId="178" fontId="7" fillId="0" borderId="0" xfId="0" applyFont="1" applyFill="1" applyAlignment="1">
      <alignment horizontal="center"/>
    </xf>
    <xf numFmtId="178" fontId="8" fillId="0" borderId="6" xfId="0" applyFont="1" applyFill="1" applyBorder="1">
      <alignment horizontal="left" wrapText="1"/>
    </xf>
    <xf numFmtId="178" fontId="9" fillId="0" borderId="0" xfId="0" applyFont="1" applyAlignment="1">
      <alignment horizontal="left"/>
    </xf>
    <xf numFmtId="178" fontId="7" fillId="0" borderId="0" xfId="0" applyFont="1" applyAlignment="1">
      <alignment horizontal="left" indent="2"/>
    </xf>
    <xf numFmtId="42" fontId="7" fillId="0" borderId="0" xfId="0" applyNumberFormat="1" applyFont="1" applyFill="1" applyBorder="1" applyAlignment="1"/>
    <xf numFmtId="41" fontId="7" fillId="0" borderId="0" xfId="0" applyNumberFormat="1" applyFont="1" applyAlignment="1"/>
    <xf numFmtId="178" fontId="8" fillId="0" borderId="6" xfId="0" applyFont="1" applyBorder="1" applyProtection="1">
      <alignment horizontal="left" wrapText="1"/>
      <protection locked="0"/>
    </xf>
    <xf numFmtId="178" fontId="8" fillId="0" borderId="6" xfId="0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Border="1" applyAlignment="1"/>
    <xf numFmtId="170" fontId="7" fillId="0" borderId="0" xfId="0" applyNumberFormat="1" applyFont="1" applyFill="1" applyBorder="1">
      <alignment horizontal="left" wrapText="1"/>
    </xf>
    <xf numFmtId="178" fontId="8" fillId="0" borderId="0" xfId="0" applyFont="1" applyFill="1" applyAlignment="1">
      <alignment horizontal="centerContinuous" wrapText="1"/>
    </xf>
    <xf numFmtId="178" fontId="7" fillId="0" borderId="0" xfId="0" applyFont="1" applyAlignment="1">
      <alignment horizontal="left" indent="1"/>
    </xf>
    <xf numFmtId="178" fontId="8" fillId="0" borderId="0" xfId="0" applyFont="1" applyAlignment="1">
      <alignment horizontal="center"/>
    </xf>
    <xf numFmtId="178" fontId="8" fillId="0" borderId="0" xfId="0" applyFont="1" applyProtection="1">
      <alignment horizontal="left" wrapText="1"/>
      <protection locked="0"/>
    </xf>
    <xf numFmtId="178" fontId="8" fillId="0" borderId="6" xfId="0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 wrapText="1"/>
    </xf>
    <xf numFmtId="178" fontId="9" fillId="0" borderId="0" xfId="0" applyFont="1" applyBorder="1" applyAlignment="1">
      <alignment horizontal="left"/>
    </xf>
    <xf numFmtId="41" fontId="7" fillId="0" borderId="0" xfId="0" applyNumberFormat="1" applyFont="1" applyFill="1" applyAlignment="1"/>
    <xf numFmtId="41" fontId="7" fillId="0" borderId="0" xfId="0" applyNumberFormat="1" applyFont="1" applyFill="1">
      <alignment horizontal="left" wrapText="1"/>
    </xf>
    <xf numFmtId="0" fontId="7" fillId="0" borderId="0" xfId="0" applyNumberFormat="1" applyFont="1" applyFill="1" applyAlignment="1">
      <alignment horizontal="left" indent="2"/>
    </xf>
    <xf numFmtId="41" fontId="7" fillId="0" borderId="0" xfId="0" applyNumberFormat="1" applyFont="1" applyFill="1" applyAlignment="1">
      <alignment horizontal="fill"/>
    </xf>
    <xf numFmtId="37" fontId="7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left" vertical="center" indent="2"/>
    </xf>
    <xf numFmtId="172" fontId="7" fillId="0" borderId="0" xfId="0" applyNumberFormat="1" applyFont="1" applyFill="1" applyBorder="1" applyAlignment="1">
      <alignment horizontal="right"/>
    </xf>
    <xf numFmtId="173" fontId="13" fillId="0" borderId="0" xfId="0" applyNumberFormat="1" applyFont="1" applyFill="1" applyAlignment="1"/>
    <xf numFmtId="41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Alignment="1">
      <alignment horizontal="right"/>
    </xf>
    <xf numFmtId="178" fontId="7" fillId="0" borderId="0" xfId="0" applyFont="1" applyFill="1" applyAlignment="1">
      <alignment horizontal="left" indent="2"/>
    </xf>
    <xf numFmtId="170" fontId="9" fillId="0" borderId="0" xfId="0" applyNumberFormat="1" applyFont="1" applyFill="1" applyBorder="1" applyAlignment="1"/>
    <xf numFmtId="41" fontId="21" fillId="0" borderId="0" xfId="0" applyNumberFormat="1" applyFont="1" applyFill="1" applyBorder="1" applyAlignment="1"/>
    <xf numFmtId="42" fontId="21" fillId="0" borderId="0" xfId="0" applyNumberFormat="1" applyFont="1" applyFill="1" applyBorder="1" applyAlignment="1"/>
    <xf numFmtId="178" fontId="7" fillId="0" borderId="0" xfId="0" applyFont="1" applyFill="1" applyAlignment="1">
      <alignment horizontal="right"/>
    </xf>
    <xf numFmtId="42" fontId="7" fillId="0" borderId="0" xfId="0" applyNumberFormat="1" applyFont="1" applyFill="1" applyAlignment="1">
      <alignment horizontal="right"/>
    </xf>
    <xf numFmtId="41" fontId="7" fillId="0" borderId="6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9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 applyProtection="1">
      <protection locked="0"/>
    </xf>
    <xf numFmtId="41" fontId="7" fillId="0" borderId="6" xfId="0" applyNumberFormat="1" applyFont="1" applyFill="1" applyBorder="1" applyAlignment="1">
      <alignment wrapText="1"/>
    </xf>
    <xf numFmtId="178" fontId="8" fillId="0" borderId="0" xfId="0" applyFont="1" applyFill="1" applyAlignment="1" applyProtection="1">
      <alignment horizontal="centerContinuous" vertical="center"/>
      <protection locked="0"/>
    </xf>
    <xf numFmtId="178" fontId="9" fillId="0" borderId="0" xfId="0" applyFont="1" applyFill="1" applyAlignment="1">
      <alignment horizontal="left"/>
    </xf>
    <xf numFmtId="173" fontId="7" fillId="0" borderId="0" xfId="0" applyNumberFormat="1" applyFont="1" applyFill="1" applyBorder="1" applyAlignment="1">
      <alignment horizontal="center"/>
    </xf>
    <xf numFmtId="178" fontId="9" fillId="0" borderId="0" xfId="0" applyFont="1" applyFill="1" applyBorder="1" applyAlignment="1">
      <alignment horizontal="left"/>
    </xf>
    <xf numFmtId="9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 indent="2"/>
    </xf>
    <xf numFmtId="178" fontId="7" fillId="0" borderId="0" xfId="0" applyNumberFormat="1" applyFont="1" applyFill="1" applyAlignment="1"/>
    <xf numFmtId="178" fontId="7" fillId="0" borderId="6" xfId="0" applyNumberFormat="1" applyFont="1" applyFill="1" applyBorder="1" applyAlignment="1"/>
    <xf numFmtId="178" fontId="7" fillId="0" borderId="0" xfId="0" applyNumberFormat="1" applyFont="1" applyFill="1" applyBorder="1" applyAlignment="1"/>
    <xf numFmtId="165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173" fontId="13" fillId="0" borderId="2" xfId="0" applyNumberFormat="1" applyFont="1" applyFill="1" applyBorder="1" applyAlignment="1"/>
    <xf numFmtId="174" fontId="13" fillId="0" borderId="14" xfId="0" applyNumberFormat="1" applyFont="1" applyFill="1" applyBorder="1" applyAlignment="1"/>
    <xf numFmtId="3" fontId="7" fillId="0" borderId="0" xfId="0" applyNumberFormat="1" applyFont="1" applyFill="1" applyAlignment="1">
      <alignment wrapText="1"/>
    </xf>
    <xf numFmtId="15" fontId="7" fillId="0" borderId="0" xfId="0" applyNumberFormat="1" applyFont="1" applyFill="1">
      <alignment horizontal="left" wrapText="1"/>
    </xf>
    <xf numFmtId="37" fontId="7" fillId="0" borderId="0" xfId="0" applyNumberFormat="1" applyFont="1" applyFill="1" applyAlignment="1"/>
    <xf numFmtId="178" fontId="7" fillId="0" borderId="0" xfId="0" applyFont="1" applyFill="1" applyAlignment="1">
      <alignment horizontal="center" vertical="top"/>
    </xf>
    <xf numFmtId="178" fontId="7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42" fontId="7" fillId="0" borderId="0" xfId="0" applyNumberFormat="1" applyFont="1" applyAlignment="1" applyProtection="1">
      <alignment horizontal="right"/>
      <protection locked="0"/>
    </xf>
    <xf numFmtId="178" fontId="7" fillId="0" borderId="6" xfId="0" applyFont="1" applyFill="1" applyBorder="1" applyAlignment="1">
      <alignment horizontal="left"/>
    </xf>
    <xf numFmtId="178" fontId="7" fillId="0" borderId="6" xfId="0" applyFont="1" applyFill="1" applyBorder="1" applyAlignment="1">
      <alignment horizontal="left" vertical="top"/>
    </xf>
    <xf numFmtId="178" fontId="7" fillId="0" borderId="0" xfId="0" quotePrefix="1" applyFont="1" applyFill="1" applyAlignment="1">
      <alignment horizontal="left"/>
    </xf>
    <xf numFmtId="0" fontId="21" fillId="0" borderId="0" xfId="0" applyNumberFormat="1" applyFont="1" applyFill="1" applyAlignment="1">
      <alignment horizontal="centerContinuous"/>
    </xf>
    <xf numFmtId="41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 indent="1"/>
    </xf>
    <xf numFmtId="41" fontId="7" fillId="0" borderId="0" xfId="0" applyNumberFormat="1" applyFont="1" applyFill="1" applyAlignment="1" applyProtection="1">
      <protection locked="0"/>
    </xf>
    <xf numFmtId="42" fontId="7" fillId="0" borderId="0" xfId="0" applyNumberFormat="1" applyFont="1" applyFill="1" applyAlignment="1"/>
    <xf numFmtId="0" fontId="8" fillId="0" borderId="0" xfId="0" quotePrefix="1" applyNumberFormat="1" applyFont="1" applyFill="1" applyBorder="1" applyAlignment="1">
      <alignment horizontal="centerContinuous"/>
    </xf>
    <xf numFmtId="174" fontId="14" fillId="0" borderId="0" xfId="0" applyNumberFormat="1" applyFont="1" applyBorder="1" applyAlignment="1"/>
    <xf numFmtId="174" fontId="14" fillId="0" borderId="0" xfId="0" applyNumberFormat="1" applyFont="1" applyFill="1" applyBorder="1" applyAlignment="1"/>
    <xf numFmtId="42" fontId="7" fillId="0" borderId="0" xfId="0" applyNumberFormat="1" applyFont="1" applyAlignment="1"/>
    <xf numFmtId="0" fontId="8" fillId="0" borderId="0" xfId="0" applyNumberFormat="1" applyFont="1" applyAlignment="1"/>
    <xf numFmtId="37" fontId="7" fillId="0" borderId="0" xfId="0" applyNumberFormat="1" applyFont="1" applyAlignment="1"/>
    <xf numFmtId="37" fontId="7" fillId="0" borderId="0" xfId="0" applyNumberFormat="1" applyFont="1" applyFill="1" applyAlignment="1" applyProtection="1">
      <protection locked="0"/>
    </xf>
    <xf numFmtId="0" fontId="8" fillId="0" borderId="0" xfId="0" applyNumberFormat="1" applyFont="1" applyAlignment="1">
      <alignment horizontal="right"/>
    </xf>
    <xf numFmtId="41" fontId="7" fillId="0" borderId="0" xfId="0" applyNumberFormat="1" applyFont="1" applyAlignment="1"/>
    <xf numFmtId="0" fontId="7" fillId="0" borderId="0" xfId="0" applyNumberFormat="1" applyFont="1" applyBorder="1" applyAlignment="1"/>
    <xf numFmtId="37" fontId="14" fillId="0" borderId="0" xfId="0" applyNumberFormat="1" applyFont="1" applyFill="1" applyBorder="1" applyAlignment="1" applyProtection="1">
      <alignment horizontal="left"/>
    </xf>
    <xf numFmtId="37" fontId="14" fillId="0" borderId="0" xfId="0" applyNumberFormat="1" applyFont="1" applyFill="1" applyBorder="1" applyAlignment="1" applyProtection="1">
      <alignment horizontal="center"/>
    </xf>
    <xf numFmtId="37" fontId="14" fillId="0" borderId="0" xfId="0" applyNumberFormat="1" applyFont="1" applyFill="1" applyAlignment="1" applyProtection="1">
      <alignment horizontal="left"/>
    </xf>
    <xf numFmtId="10" fontId="14" fillId="0" borderId="0" xfId="0" applyNumberFormat="1" applyFont="1" applyFill="1" applyBorder="1" applyAlignment="1" applyProtection="1">
      <alignment horizontal="right"/>
    </xf>
    <xf numFmtId="37" fontId="14" fillId="0" borderId="0" xfId="0" applyNumberFormat="1" applyFont="1" applyFill="1" applyBorder="1" applyAlignment="1" applyProtection="1">
      <alignment horizontal="right"/>
    </xf>
    <xf numFmtId="37" fontId="32" fillId="0" borderId="0" xfId="0" applyNumberFormat="1" applyFont="1" applyFill="1" applyBorder="1" applyAlignment="1" applyProtection="1">
      <alignment horizontal="left"/>
    </xf>
    <xf numFmtId="37" fontId="32" fillId="0" borderId="0" xfId="0" applyNumberFormat="1" applyFont="1" applyFill="1" applyAlignment="1" applyProtection="1">
      <alignment horizontal="left"/>
    </xf>
    <xf numFmtId="175" fontId="14" fillId="0" borderId="0" xfId="0" applyNumberFormat="1" applyFont="1" applyFill="1" applyAlignment="1" applyProtection="1"/>
    <xf numFmtId="42" fontId="7" fillId="0" borderId="14" xfId="0" applyNumberFormat="1" applyFont="1" applyBorder="1" applyAlignment="1"/>
    <xf numFmtId="0" fontId="15" fillId="0" borderId="0" xfId="0" applyNumberFormat="1" applyFont="1" applyAlignment="1"/>
    <xf numFmtId="41" fontId="7" fillId="0" borderId="6" xfId="0" applyNumberFormat="1" applyFont="1" applyBorder="1" applyAlignment="1"/>
    <xf numFmtId="42" fontId="7" fillId="0" borderId="5" xfId="0" applyNumberFormat="1" applyFont="1" applyBorder="1" applyAlignment="1"/>
    <xf numFmtId="182" fontId="7" fillId="0" borderId="0" xfId="0" applyNumberFormat="1" applyFont="1" applyFill="1" applyAlignment="1"/>
    <xf numFmtId="41" fontId="7" fillId="0" borderId="6" xfId="0" applyNumberFormat="1" applyFont="1" applyFill="1" applyBorder="1" applyAlignment="1" applyProtection="1">
      <alignment horizontal="right"/>
      <protection locked="0"/>
    </xf>
    <xf numFmtId="9" fontId="7" fillId="0" borderId="0" xfId="0" applyNumberFormat="1" applyFont="1" applyAlignment="1"/>
    <xf numFmtId="41" fontId="7" fillId="0" borderId="0" xfId="0" applyNumberFormat="1" applyFont="1" applyFill="1" applyBorder="1" applyAlignment="1" applyProtection="1">
      <alignment horizontal="left" wrapText="1"/>
      <protection locked="0"/>
    </xf>
    <xf numFmtId="41" fontId="7" fillId="0" borderId="0" xfId="0" applyNumberFormat="1" applyFont="1" applyFill="1" applyBorder="1" applyAlignment="1">
      <alignment horizontal="right"/>
    </xf>
    <xf numFmtId="41" fontId="7" fillId="0" borderId="6" xfId="0" applyNumberFormat="1" applyFont="1" applyFill="1" applyBorder="1" applyAlignment="1" applyProtection="1">
      <protection locked="0"/>
    </xf>
    <xf numFmtId="9" fontId="7" fillId="0" borderId="0" xfId="0" applyNumberFormat="1" applyFont="1" applyFill="1" applyBorder="1" applyAlignment="1">
      <alignment horizontal="right" wrapText="1"/>
    </xf>
    <xf numFmtId="42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wrapText="1"/>
    </xf>
    <xf numFmtId="42" fontId="7" fillId="0" borderId="0" xfId="0" applyNumberFormat="1" applyFont="1" applyFill="1" applyAlignment="1" applyProtection="1">
      <protection locked="0"/>
    </xf>
    <xf numFmtId="173" fontId="7" fillId="0" borderId="0" xfId="0" applyNumberFormat="1" applyFont="1" applyFill="1" applyBorder="1" applyAlignment="1"/>
    <xf numFmtId="0" fontId="0" fillId="0" borderId="0" xfId="0" applyNumberFormat="1" applyAlignment="1"/>
    <xf numFmtId="42" fontId="7" fillId="0" borderId="0" xfId="0" applyNumberFormat="1" applyFont="1" applyFill="1" applyAlignment="1"/>
    <xf numFmtId="42" fontId="7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178" fontId="7" fillId="0" borderId="0" xfId="0" applyNumberFormat="1" applyFont="1" applyFill="1" applyAlignment="1">
      <alignment horizontal="left" indent="1"/>
    </xf>
    <xf numFmtId="41" fontId="7" fillId="0" borderId="6" xfId="0" applyNumberFormat="1" applyFont="1" applyFill="1" applyBorder="1" applyAlignment="1"/>
    <xf numFmtId="42" fontId="7" fillId="0" borderId="14" xfId="0" applyNumberFormat="1" applyFont="1" applyFill="1" applyBorder="1" applyAlignment="1"/>
    <xf numFmtId="37" fontId="7" fillId="0" borderId="0" xfId="0" applyNumberFormat="1" applyFont="1" applyFill="1" applyBorder="1" applyAlignment="1">
      <alignment horizontal="left" indent="1"/>
    </xf>
    <xf numFmtId="174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 indent="2"/>
    </xf>
    <xf numFmtId="173" fontId="14" fillId="0" borderId="0" xfId="0" applyNumberFormat="1" applyFont="1" applyFill="1" applyAlignment="1"/>
    <xf numFmtId="174" fontId="7" fillId="0" borderId="14" xfId="0" applyNumberFormat="1" applyFont="1" applyFill="1" applyBorder="1" applyAlignment="1"/>
    <xf numFmtId="0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left" indent="5"/>
    </xf>
    <xf numFmtId="173" fontId="14" fillId="0" borderId="0" xfId="0" quotePrefix="1" applyNumberFormat="1" applyFont="1" applyFill="1" applyBorder="1" applyAlignment="1"/>
    <xf numFmtId="173" fontId="14" fillId="0" borderId="0" xfId="0" applyNumberFormat="1" applyFont="1" applyFill="1" applyBorder="1" applyAlignment="1"/>
    <xf numFmtId="41" fontId="7" fillId="0" borderId="0" xfId="0" applyNumberFormat="1" applyFont="1" applyFill="1" applyBorder="1" applyAlignment="1">
      <alignment horizontal="right"/>
    </xf>
    <xf numFmtId="0" fontId="8" fillId="0" borderId="6" xfId="0" applyNumberFormat="1" applyFont="1" applyBorder="1" applyAlignment="1">
      <alignment horizontal="center"/>
    </xf>
    <xf numFmtId="174" fontId="14" fillId="0" borderId="0" xfId="0" applyNumberFormat="1" applyFont="1" applyFill="1" applyBorder="1" applyAlignment="1"/>
    <xf numFmtId="0" fontId="8" fillId="0" borderId="6" xfId="0" applyNumberFormat="1" applyFont="1" applyBorder="1" applyAlignment="1"/>
    <xf numFmtId="41" fontId="7" fillId="0" borderId="0" xfId="0" applyNumberFormat="1" applyFont="1" applyFill="1" applyAlignment="1"/>
    <xf numFmtId="0" fontId="7" fillId="0" borderId="0" xfId="0" applyNumberFormat="1" applyFont="1" applyAlignment="1"/>
    <xf numFmtId="0" fontId="21" fillId="0" borderId="0" xfId="0" applyNumberFormat="1" applyFont="1" applyFill="1" applyAlignment="1">
      <alignment horizontal="right"/>
    </xf>
    <xf numFmtId="0" fontId="21" fillId="0" borderId="0" xfId="0" applyNumberFormat="1" applyFont="1" applyAlignment="1">
      <alignment horizontal="center"/>
    </xf>
    <xf numFmtId="0" fontId="7" fillId="0" borderId="0" xfId="0" applyNumberFormat="1" applyFont="1" applyFill="1" applyAlignment="1"/>
    <xf numFmtId="18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/>
    <xf numFmtId="42" fontId="7" fillId="0" borderId="21" xfId="0" applyNumberFormat="1" applyFont="1" applyFill="1" applyBorder="1" applyAlignment="1" applyProtection="1">
      <protection locked="0"/>
    </xf>
    <xf numFmtId="41" fontId="7" fillId="0" borderId="20" xfId="0" applyNumberFormat="1" applyFont="1" applyFill="1" applyBorder="1" applyAlignment="1" applyProtection="1">
      <protection locked="0"/>
    </xf>
    <xf numFmtId="170" fontId="7" fillId="0" borderId="20" xfId="0" applyNumberFormat="1" applyFont="1" applyFill="1" applyBorder="1" applyAlignment="1" applyProtection="1">
      <alignment horizontal="right"/>
      <protection locked="0"/>
    </xf>
    <xf numFmtId="0" fontId="7" fillId="0" borderId="20" xfId="0" applyNumberFormat="1" applyFont="1" applyFill="1" applyBorder="1" applyAlignment="1" applyProtection="1">
      <alignment horizontal="left"/>
      <protection locked="0"/>
    </xf>
    <xf numFmtId="0" fontId="7" fillId="0" borderId="20" xfId="0" applyNumberFormat="1" applyFont="1" applyFill="1" applyBorder="1" applyAlignment="1"/>
    <xf numFmtId="0" fontId="0" fillId="0" borderId="0" xfId="0" applyNumberFormat="1" applyFont="1" applyFill="1" applyAlignment="1"/>
    <xf numFmtId="42" fontId="7" fillId="0" borderId="21" xfId="0" applyNumberFormat="1" applyFont="1" applyFill="1" applyBorder="1" applyAlignment="1"/>
    <xf numFmtId="41" fontId="7" fillId="0" borderId="20" xfId="0" applyNumberFormat="1" applyFont="1" applyFill="1" applyBorder="1" applyAlignment="1" applyProtection="1">
      <alignment horizontal="right"/>
      <protection locked="0"/>
    </xf>
    <xf numFmtId="173" fontId="7" fillId="0" borderId="20" xfId="0" applyNumberFormat="1" applyFont="1" applyFill="1" applyBorder="1" applyAlignment="1"/>
    <xf numFmtId="174" fontId="7" fillId="0" borderId="21" xfId="0" applyNumberFormat="1" applyFont="1" applyFill="1" applyBorder="1" applyAlignment="1"/>
    <xf numFmtId="37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left"/>
    </xf>
    <xf numFmtId="178" fontId="7" fillId="0" borderId="0" xfId="0" quotePrefix="1" applyNumberFormat="1" applyFont="1" applyFill="1" applyAlignment="1">
      <alignment horizontal="left"/>
    </xf>
    <xf numFmtId="42" fontId="7" fillId="0" borderId="20" xfId="0" applyNumberFormat="1" applyFont="1" applyFill="1" applyBorder="1" applyAlignment="1"/>
    <xf numFmtId="41" fontId="7" fillId="0" borderId="0" xfId="0" applyNumberFormat="1" applyFont="1" applyFill="1" applyBorder="1" applyAlignment="1" applyProtection="1">
      <protection locked="0"/>
    </xf>
    <xf numFmtId="174" fontId="7" fillId="0" borderId="0" xfId="0" applyNumberFormat="1" applyFont="1" applyFill="1" applyBorder="1" applyAlignment="1"/>
    <xf numFmtId="10" fontId="7" fillId="0" borderId="6" xfId="0" applyNumberFormat="1" applyFont="1" applyFill="1" applyBorder="1" applyAlignment="1">
      <alignment horizontal="right"/>
    </xf>
    <xf numFmtId="178" fontId="7" fillId="0" borderId="0" xfId="0" applyFont="1" applyFill="1" applyAlignment="1">
      <alignment horizontal="centerContinuous"/>
    </xf>
    <xf numFmtId="173" fontId="13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/>
    <xf numFmtId="42" fontId="0" fillId="0" borderId="0" xfId="0" applyNumberFormat="1" applyFont="1" applyAlignment="1"/>
    <xf numFmtId="10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protection locked="0"/>
    </xf>
    <xf numFmtId="42" fontId="7" fillId="0" borderId="5" xfId="0" applyNumberFormat="1" applyFont="1" applyFill="1" applyBorder="1" applyAlignment="1"/>
    <xf numFmtId="178" fontId="35" fillId="0" borderId="0" xfId="0" applyFont="1" applyFill="1" applyAlignment="1">
      <alignment horizontal="left"/>
    </xf>
    <xf numFmtId="41" fontId="7" fillId="0" borderId="20" xfId="0" applyNumberFormat="1" applyFont="1" applyFill="1" applyBorder="1" applyAlignment="1"/>
    <xf numFmtId="178" fontId="0" fillId="0" borderId="0" xfId="0" applyAlignment="1"/>
    <xf numFmtId="0" fontId="7" fillId="0" borderId="0" xfId="0" quotePrefix="1" applyNumberFormat="1" applyFont="1" applyFill="1" applyAlignment="1"/>
    <xf numFmtId="42" fontId="0" fillId="0" borderId="0" xfId="0" applyNumberFormat="1" applyAlignment="1"/>
    <xf numFmtId="41" fontId="0" fillId="0" borderId="0" xfId="0" applyNumberFormat="1" applyFont="1" applyAlignment="1"/>
    <xf numFmtId="0" fontId="38" fillId="0" borderId="0" xfId="0" applyNumberFormat="1" applyFont="1" applyAlignment="1"/>
    <xf numFmtId="42" fontId="7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0" fontId="13" fillId="0" borderId="0" xfId="0" applyNumberFormat="1" applyFont="1" applyFill="1" applyAlignment="1">
      <alignment horizontal="center"/>
    </xf>
    <xf numFmtId="173" fontId="7" fillId="0" borderId="24" xfId="0" applyNumberFormat="1" applyFont="1" applyFill="1" applyBorder="1" applyAlignment="1"/>
    <xf numFmtId="0" fontId="13" fillId="0" borderId="0" xfId="0" applyNumberFormat="1" applyFont="1" applyFill="1" applyAlignment="1"/>
    <xf numFmtId="0" fontId="13" fillId="0" borderId="0" xfId="0" applyNumberFormat="1" applyFont="1" applyAlignment="1"/>
    <xf numFmtId="174" fontId="7" fillId="0" borderId="5" xfId="0" applyNumberFormat="1" applyFont="1" applyBorder="1" applyAlignment="1"/>
    <xf numFmtId="178" fontId="13" fillId="0" borderId="0" xfId="0" applyFont="1" applyAlignment="1"/>
    <xf numFmtId="43" fontId="7" fillId="0" borderId="0" xfId="0" applyNumberFormat="1" applyFont="1" applyFill="1" applyAlignment="1"/>
    <xf numFmtId="0" fontId="47" fillId="0" borderId="0" xfId="0" applyNumberFormat="1" applyFont="1" applyAlignment="1">
      <alignment horizontal="centerContinuous"/>
    </xf>
    <xf numFmtId="0" fontId="37" fillId="0" borderId="0" xfId="0" applyNumberFormat="1" applyFont="1" applyAlignment="1">
      <alignment horizontal="centerContinuous"/>
    </xf>
    <xf numFmtId="178" fontId="7" fillId="0" borderId="0" xfId="0" quotePrefix="1" applyFont="1" applyFill="1" applyBorder="1" applyAlignment="1">
      <alignment horizontal="left"/>
    </xf>
    <xf numFmtId="178" fontId="7" fillId="0" borderId="0" xfId="0" applyFont="1" applyFill="1" applyAlignment="1">
      <alignment horizontal="left"/>
    </xf>
    <xf numFmtId="178" fontId="7" fillId="0" borderId="0" xfId="0" applyFont="1" applyFill="1" applyBorder="1" applyAlignment="1"/>
    <xf numFmtId="178" fontId="7" fillId="0" borderId="0" xfId="0" applyNumberFormat="1" applyFont="1" applyFill="1" applyBorder="1" applyAlignment="1"/>
    <xf numFmtId="178" fontId="7" fillId="0" borderId="0" xfId="0" applyFont="1" applyFill="1" applyBorder="1" applyAlignment="1">
      <alignment horizontal="left"/>
    </xf>
    <xf numFmtId="10" fontId="7" fillId="0" borderId="0" xfId="0" applyNumberFormat="1" applyFont="1" applyFill="1" applyAlignment="1" applyProtection="1">
      <protection locked="0"/>
    </xf>
    <xf numFmtId="165" fontId="7" fillId="0" borderId="32" xfId="0" applyNumberFormat="1" applyFont="1" applyFill="1" applyBorder="1" applyAlignment="1">
      <alignment horizontal="right"/>
    </xf>
    <xf numFmtId="173" fontId="0" fillId="0" borderId="0" xfId="0" applyNumberFormat="1" applyAlignment="1"/>
    <xf numFmtId="0" fontId="13" fillId="0" borderId="0" xfId="0" applyNumberFormat="1" applyFont="1" applyFill="1" applyBorder="1" applyAlignment="1"/>
    <xf numFmtId="0" fontId="13" fillId="0" borderId="0" xfId="0" applyNumberFormat="1" applyFont="1" applyAlignment="1"/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Border="1" applyAlignment="1"/>
    <xf numFmtId="0" fontId="8" fillId="0" borderId="0" xfId="0" applyNumberFormat="1" applyFont="1" applyFill="1" applyAlignment="1">
      <alignment horizontal="centerContinuous"/>
    </xf>
    <xf numFmtId="0" fontId="37" fillId="0" borderId="0" xfId="0" applyNumberFormat="1" applyFont="1" applyAlignment="1"/>
    <xf numFmtId="0" fontId="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/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right"/>
    </xf>
    <xf numFmtId="0" fontId="27" fillId="0" borderId="0" xfId="0" quotePrefix="1" applyNumberFormat="1" applyFont="1" applyFill="1" applyBorder="1" applyAlignment="1" applyProtection="1">
      <alignment horizontal="left"/>
    </xf>
    <xf numFmtId="41" fontId="13" fillId="0" borderId="0" xfId="0" applyNumberFormat="1" applyFont="1" applyFill="1" applyBorder="1" applyAlignment="1"/>
    <xf numFmtId="178" fontId="13" fillId="0" borderId="0" xfId="0" applyNumberFormat="1" applyFont="1" applyFill="1" applyAlignment="1">
      <alignment horizontal="left" wrapText="1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Alignment="1">
      <alignment horizontal="left" indent="1"/>
    </xf>
    <xf numFmtId="41" fontId="13" fillId="0" borderId="0" xfId="0" applyNumberFormat="1" applyFont="1" applyFill="1" applyAlignment="1"/>
    <xf numFmtId="41" fontId="13" fillId="0" borderId="33" xfId="0" applyNumberFormat="1" applyFont="1" applyFill="1" applyBorder="1" applyAlignment="1"/>
    <xf numFmtId="42" fontId="13" fillId="0" borderId="14" xfId="0" applyNumberFormat="1" applyFont="1" applyFill="1" applyBorder="1" applyAlignment="1"/>
    <xf numFmtId="42" fontId="13" fillId="0" borderId="0" xfId="0" applyNumberFormat="1" applyFont="1" applyFill="1" applyBorder="1" applyAlignment="1"/>
    <xf numFmtId="0" fontId="13" fillId="0" borderId="0" xfId="0" applyNumberFormat="1" applyFont="1" applyBorder="1" applyAlignment="1"/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3" fontId="0" fillId="0" borderId="0" xfId="0" applyNumberFormat="1" applyFont="1" applyAlignment="1"/>
    <xf numFmtId="0" fontId="13" fillId="0" borderId="0" xfId="0" applyNumberFormat="1" applyFont="1" applyFill="1" applyAlignment="1"/>
    <xf numFmtId="3" fontId="13" fillId="0" borderId="0" xfId="0" applyNumberFormat="1" applyFont="1" applyFill="1" applyAlignment="1"/>
    <xf numFmtId="10" fontId="13" fillId="0" borderId="0" xfId="0" applyNumberFormat="1" applyFont="1" applyFill="1" applyAlignment="1"/>
    <xf numFmtId="178" fontId="0" fillId="0" borderId="0" xfId="0" applyFill="1" applyAlignment="1"/>
    <xf numFmtId="5" fontId="7" fillId="0" borderId="0" xfId="0" applyNumberFormat="1" applyFont="1" applyFill="1" applyAlignment="1" applyProtection="1">
      <protection locked="0"/>
    </xf>
    <xf numFmtId="184" fontId="7" fillId="2" borderId="8" xfId="0" applyNumberFormat="1" applyFont="1" applyFill="1" applyBorder="1" applyAlignment="1"/>
    <xf numFmtId="0" fontId="51" fillId="0" borderId="0" xfId="0" applyNumberFormat="1" applyFont="1" applyFill="1" applyAlignment="1"/>
    <xf numFmtId="170" fontId="7" fillId="0" borderId="0" xfId="0" applyNumberFormat="1" applyFont="1" applyFill="1" applyBorder="1" applyAlignment="1">
      <alignment horizontal="right" wrapText="1"/>
    </xf>
    <xf numFmtId="178" fontId="7" fillId="0" borderId="0" xfId="0" applyFont="1" applyFill="1" applyAlignment="1"/>
    <xf numFmtId="178" fontId="7" fillId="0" borderId="0" xfId="0" applyNumberFormat="1" applyFont="1" applyFill="1" applyBorder="1" applyAlignment="1">
      <alignment horizontal="left" wrapText="1"/>
    </xf>
    <xf numFmtId="168" fontId="7" fillId="0" borderId="0" xfId="0" applyNumberFormat="1" applyFont="1" applyFill="1" applyAlignment="1"/>
    <xf numFmtId="41" fontId="7" fillId="0" borderId="0" xfId="0" applyNumberFormat="1" applyFont="1" applyFill="1" applyAlignment="1">
      <alignment wrapText="1"/>
    </xf>
    <xf numFmtId="41" fontId="7" fillId="0" borderId="2" xfId="0" applyNumberFormat="1" applyFont="1" applyFill="1" applyBorder="1" applyAlignment="1"/>
    <xf numFmtId="42" fontId="7" fillId="0" borderId="0" xfId="0" applyNumberFormat="1" applyFont="1" applyFill="1" applyBorder="1" applyAlignment="1" applyProtection="1">
      <alignment horizontal="right"/>
    </xf>
    <xf numFmtId="173" fontId="0" fillId="0" borderId="0" xfId="0" applyNumberFormat="1" applyFont="1" applyFill="1" applyAlignment="1"/>
    <xf numFmtId="42" fontId="13" fillId="0" borderId="0" xfId="0" applyNumberFormat="1" applyFont="1" applyFill="1" applyAlignment="1"/>
    <xf numFmtId="173" fontId="13" fillId="0" borderId="0" xfId="0" applyNumberFormat="1" applyFont="1" applyFill="1" applyBorder="1" applyAlignment="1"/>
    <xf numFmtId="41" fontId="13" fillId="0" borderId="0" xfId="0" applyNumberFormat="1" applyFont="1" applyFill="1" applyAlignment="1"/>
    <xf numFmtId="41" fontId="13" fillId="0" borderId="0" xfId="0" applyNumberFormat="1" applyFont="1" applyFill="1" applyAlignment="1"/>
    <xf numFmtId="0" fontId="13" fillId="0" borderId="0" xfId="0" quotePrefix="1" applyNumberFormat="1" applyFont="1" applyFill="1" applyAlignment="1"/>
    <xf numFmtId="41" fontId="7" fillId="0" borderId="38" xfId="0" applyNumberFormat="1" applyFont="1" applyFill="1" applyBorder="1" applyAlignment="1"/>
    <xf numFmtId="41" fontId="7" fillId="0" borderId="38" xfId="0" applyNumberFormat="1" applyFont="1" applyFill="1" applyBorder="1" applyAlignment="1" applyProtection="1">
      <protection locked="0"/>
    </xf>
    <xf numFmtId="3" fontId="12" fillId="0" borderId="0" xfId="0" applyNumberFormat="1" applyFont="1" applyFill="1" applyAlignment="1">
      <alignment horizontal="centerContinuous"/>
    </xf>
    <xf numFmtId="10" fontId="34" fillId="0" borderId="0" xfId="0" applyNumberFormat="1" applyFont="1" applyFill="1" applyAlignme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73" fontId="5" fillId="0" borderId="0" xfId="0" applyNumberFormat="1" applyFont="1" applyAlignment="1"/>
    <xf numFmtId="0" fontId="5" fillId="0" borderId="0" xfId="0" applyNumberFormat="1" applyFont="1" applyAlignment="1">
      <alignment horizontal="left"/>
    </xf>
    <xf numFmtId="173" fontId="5" fillId="0" borderId="2" xfId="0" applyNumberFormat="1" applyFont="1" applyBorder="1" applyAlignment="1"/>
    <xf numFmtId="0" fontId="5" fillId="0" borderId="40" xfId="0" applyNumberFormat="1" applyFont="1" applyBorder="1" applyAlignment="1"/>
    <xf numFmtId="0" fontId="5" fillId="0" borderId="4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4" fillId="0" borderId="0" xfId="0" applyNumberFormat="1" applyFont="1" applyAlignment="1"/>
    <xf numFmtId="0" fontId="42" fillId="0" borderId="0" xfId="0" applyNumberFormat="1" applyFont="1" applyAlignment="1"/>
    <xf numFmtId="173" fontId="13" fillId="0" borderId="12" xfId="0" applyNumberFormat="1" applyFont="1" applyFill="1" applyBorder="1" applyAlignment="1"/>
    <xf numFmtId="173" fontId="41" fillId="0" borderId="0" xfId="0" applyNumberFormat="1" applyFont="1" applyFill="1" applyAlignment="1"/>
    <xf numFmtId="0" fontId="45" fillId="0" borderId="0" xfId="0" applyNumberFormat="1" applyFont="1" applyAlignment="1"/>
    <xf numFmtId="0" fontId="41" fillId="0" borderId="0" xfId="0" applyNumberFormat="1" applyFont="1" applyAlignment="1"/>
    <xf numFmtId="173" fontId="13" fillId="0" borderId="35" xfId="0" applyNumberFormat="1" applyFont="1" applyFill="1" applyBorder="1" applyAlignment="1"/>
    <xf numFmtId="174" fontId="13" fillId="0" borderId="21" xfId="0" applyNumberFormat="1" applyFont="1" applyFill="1" applyBorder="1" applyAlignment="1"/>
    <xf numFmtId="0" fontId="18" fillId="0" borderId="21" xfId="0" applyNumberFormat="1" applyFont="1" applyBorder="1" applyAlignment="1"/>
    <xf numFmtId="174" fontId="13" fillId="0" borderId="17" xfId="0" applyNumberFormat="1" applyFont="1" applyFill="1" applyBorder="1" applyAlignment="1"/>
    <xf numFmtId="0" fontId="23" fillId="0" borderId="0" xfId="0" applyNumberFormat="1" applyFont="1" applyAlignment="1"/>
    <xf numFmtId="17" fontId="13" fillId="0" borderId="0" xfId="0" applyNumberFormat="1" applyFont="1" applyFill="1" applyAlignment="1">
      <alignment horizontal="centerContinuous"/>
    </xf>
    <xf numFmtId="17" fontId="13" fillId="0" borderId="0" xfId="0" applyNumberFormat="1" applyFont="1" applyFill="1" applyAlignment="1">
      <alignment horizontal="centerContinuous" wrapText="1"/>
    </xf>
    <xf numFmtId="0" fontId="13" fillId="0" borderId="0" xfId="0" applyNumberFormat="1" applyFont="1" applyFill="1" applyAlignment="1">
      <alignment horizontal="left" wrapText="1"/>
    </xf>
    <xf numFmtId="0" fontId="13" fillId="0" borderId="0" xfId="0" applyNumberFormat="1" applyFont="1" applyAlignment="1">
      <alignment horizontal="left" wrapText="1"/>
    </xf>
    <xf numFmtId="0" fontId="55" fillId="0" borderId="0" xfId="0" applyNumberFormat="1" applyFont="1" applyAlignment="1">
      <alignment horizontal="centerContinuous"/>
    </xf>
    <xf numFmtId="0" fontId="56" fillId="0" borderId="0" xfId="0" applyNumberFormat="1" applyFont="1" applyAlignment="1">
      <alignment horizontal="centerContinuous"/>
    </xf>
    <xf numFmtId="5" fontId="13" fillId="0" borderId="21" xfId="0" applyNumberFormat="1" applyFont="1" applyFill="1" applyBorder="1" applyAlignment="1"/>
    <xf numFmtId="0" fontId="18" fillId="0" borderId="0" xfId="0" applyNumberFormat="1" applyFont="1" applyAlignment="1"/>
    <xf numFmtId="173" fontId="42" fillId="0" borderId="0" xfId="0" applyNumberFormat="1" applyFont="1" applyAlignment="1"/>
    <xf numFmtId="0" fontId="13" fillId="0" borderId="0" xfId="0" applyNumberFormat="1" applyFont="1" applyBorder="1" applyAlignment="1"/>
    <xf numFmtId="0" fontId="50" fillId="0" borderId="0" xfId="0" applyNumberFormat="1" applyFont="1" applyBorder="1" applyAlignment="1"/>
    <xf numFmtId="41" fontId="50" fillId="0" borderId="39" xfId="0" applyNumberFormat="1" applyFont="1" applyFill="1" applyBorder="1" applyAlignment="1"/>
    <xf numFmtId="41" fontId="50" fillId="0" borderId="38" xfId="0" applyNumberFormat="1" applyFont="1" applyFill="1" applyBorder="1" applyAlignment="1"/>
    <xf numFmtId="0" fontId="16" fillId="0" borderId="0" xfId="0" applyNumberFormat="1" applyFont="1" applyFill="1" applyBorder="1" applyAlignment="1"/>
    <xf numFmtId="178" fontId="50" fillId="0" borderId="26" xfId="0" applyNumberFormat="1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/>
    </xf>
    <xf numFmtId="0" fontId="50" fillId="0" borderId="26" xfId="0" applyNumberFormat="1" applyFont="1" applyFill="1" applyBorder="1" applyAlignment="1"/>
    <xf numFmtId="41" fontId="50" fillId="0" borderId="27" xfId="0" applyNumberFormat="1" applyFont="1" applyFill="1" applyBorder="1" applyAlignment="1"/>
    <xf numFmtId="0" fontId="49" fillId="0" borderId="42" xfId="0" applyNumberFormat="1" applyFont="1" applyFill="1" applyBorder="1" applyAlignment="1">
      <alignment horizontal="center"/>
    </xf>
    <xf numFmtId="0" fontId="16" fillId="0" borderId="42" xfId="0" applyNumberFormat="1" applyFont="1" applyFill="1" applyBorder="1" applyAlignment="1"/>
    <xf numFmtId="178" fontId="49" fillId="0" borderId="25" xfId="0" applyNumberFormat="1" applyFont="1" applyFill="1" applyBorder="1" applyAlignment="1">
      <alignment horizontal="left"/>
    </xf>
    <xf numFmtId="0" fontId="48" fillId="0" borderId="0" xfId="0" applyNumberFormat="1" applyFont="1" applyFill="1" applyBorder="1" applyAlignment="1"/>
    <xf numFmtId="178" fontId="48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/>
    <xf numFmtId="0" fontId="18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right"/>
    </xf>
    <xf numFmtId="173" fontId="58" fillId="0" borderId="0" xfId="0" applyNumberFormat="1" applyFont="1" applyAlignment="1"/>
    <xf numFmtId="173" fontId="5" fillId="0" borderId="0" xfId="0" applyNumberFormat="1" applyFont="1" applyFill="1" applyAlignment="1"/>
    <xf numFmtId="173" fontId="5" fillId="0" borderId="2" xfId="0" applyNumberFormat="1" applyFont="1" applyFill="1" applyBorder="1" applyAlignment="1"/>
    <xf numFmtId="174" fontId="7" fillId="0" borderId="0" xfId="0" applyNumberFormat="1" applyFont="1" applyFill="1" applyBorder="1" applyAlignment="1" applyProtection="1">
      <alignment horizontal="left"/>
      <protection locked="0"/>
    </xf>
    <xf numFmtId="167" fontId="5" fillId="0" borderId="15" xfId="0" applyNumberFormat="1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9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4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 indent="1"/>
      <protection locked="0"/>
    </xf>
    <xf numFmtId="41" fontId="7" fillId="0" borderId="40" xfId="0" applyNumberFormat="1" applyFont="1" applyFill="1" applyBorder="1" applyAlignment="1" applyProtection="1">
      <alignment horizontal="left"/>
      <protection locked="0"/>
    </xf>
    <xf numFmtId="1" fontId="7" fillId="0" borderId="0" xfId="0" applyNumberFormat="1" applyFont="1" applyFill="1" applyAlignment="1">
      <alignment horizontal="center"/>
    </xf>
    <xf numFmtId="178" fontId="9" fillId="0" borderId="0" xfId="0" applyFont="1" applyFill="1" applyAlignment="1"/>
    <xf numFmtId="178" fontId="7" fillId="0" borderId="0" xfId="0" applyFont="1" applyFill="1" applyBorder="1" applyAlignment="1">
      <alignment horizontal="left" indent="1"/>
    </xf>
    <xf numFmtId="0" fontId="9" fillId="0" borderId="0" xfId="0" applyNumberFormat="1" applyFont="1" applyFill="1" applyAlignment="1">
      <alignment horizontal="left"/>
    </xf>
    <xf numFmtId="178" fontId="7" fillId="0" borderId="0" xfId="0" applyFont="1" applyAlignment="1"/>
    <xf numFmtId="37" fontId="7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/>
    <xf numFmtId="0" fontId="13" fillId="0" borderId="0" xfId="0" applyNumberFormat="1" applyFont="1" applyAlignment="1"/>
    <xf numFmtId="41" fontId="50" fillId="0" borderId="0" xfId="0" applyNumberFormat="1" applyFont="1" applyFill="1" applyBorder="1" applyAlignment="1"/>
    <xf numFmtId="178" fontId="50" fillId="0" borderId="45" xfId="0" applyNumberFormat="1" applyFont="1" applyFill="1" applyBorder="1" applyAlignment="1">
      <alignment horizontal="left"/>
    </xf>
    <xf numFmtId="0" fontId="50" fillId="0" borderId="44" xfId="0" applyNumberFormat="1" applyFont="1" applyFill="1" applyBorder="1" applyAlignment="1">
      <alignment horizontal="center"/>
    </xf>
    <xf numFmtId="173" fontId="50" fillId="0" borderId="46" xfId="0" applyNumberFormat="1" applyFont="1" applyFill="1" applyBorder="1" applyAlignment="1"/>
    <xf numFmtId="0" fontId="39" fillId="0" borderId="4" xfId="0" applyNumberFormat="1" applyFont="1" applyBorder="1" applyAlignment="1">
      <alignment horizontal="right"/>
    </xf>
    <xf numFmtId="41" fontId="39" fillId="0" borderId="4" xfId="0" applyNumberFormat="1" applyFont="1" applyBorder="1" applyAlignment="1"/>
    <xf numFmtId="10" fontId="39" fillId="0" borderId="29" xfId="0" applyNumberFormat="1" applyFont="1" applyBorder="1" applyAlignment="1"/>
    <xf numFmtId="0" fontId="16" fillId="0" borderId="28" xfId="0" applyNumberFormat="1" applyFont="1" applyBorder="1" applyAlignment="1"/>
    <xf numFmtId="168" fontId="49" fillId="0" borderId="41" xfId="0" applyNumberFormat="1" applyFont="1" applyFill="1" applyBorder="1" applyAlignment="1"/>
    <xf numFmtId="0" fontId="13" fillId="0" borderId="0" xfId="0" applyNumberFormat="1" applyFont="1" applyFill="1" applyAlignment="1">
      <alignment horizontal="left" indent="2"/>
    </xf>
    <xf numFmtId="174" fontId="13" fillId="0" borderId="0" xfId="0" applyNumberFormat="1" applyFont="1" applyFill="1" applyAlignment="1"/>
    <xf numFmtId="167" fontId="13" fillId="0" borderId="0" xfId="0" applyNumberFormat="1" applyFont="1" applyFill="1" applyAlignment="1"/>
    <xf numFmtId="37" fontId="7" fillId="0" borderId="44" xfId="0" applyNumberFormat="1" applyFont="1" applyFill="1" applyBorder="1" applyAlignment="1"/>
    <xf numFmtId="43" fontId="7" fillId="0" borderId="0" xfId="0" applyNumberFormat="1" applyFont="1" applyFill="1" applyBorder="1" applyAlignment="1"/>
    <xf numFmtId="42" fontId="7" fillId="0" borderId="5" xfId="0" applyNumberFormat="1" applyFont="1" applyFill="1" applyBorder="1" applyAlignment="1" applyProtection="1">
      <protection locked="0"/>
    </xf>
    <xf numFmtId="178" fontId="7" fillId="0" borderId="0" xfId="0" applyFont="1" applyFill="1" applyBorder="1" applyAlignment="1" applyProtection="1">
      <alignment horizontal="left"/>
      <protection locked="0"/>
    </xf>
    <xf numFmtId="178" fontId="7" fillId="0" borderId="0" xfId="0" applyFont="1" applyFill="1" applyAlignment="1"/>
    <xf numFmtId="178" fontId="7" fillId="0" borderId="0" xfId="0" applyFont="1" applyFill="1" applyAlignment="1">
      <alignment horizontal="left" indent="1"/>
    </xf>
    <xf numFmtId="178" fontId="7" fillId="0" borderId="0" xfId="0" applyFont="1" applyFill="1" applyAlignment="1">
      <alignment horizontal="left" wrapText="1"/>
    </xf>
    <xf numFmtId="173" fontId="7" fillId="0" borderId="0" xfId="0" applyNumberFormat="1" applyFont="1" applyBorder="1" applyAlignment="1"/>
    <xf numFmtId="173" fontId="7" fillId="0" borderId="0" xfId="0" applyNumberFormat="1" applyFont="1" applyAlignment="1"/>
    <xf numFmtId="0" fontId="7" fillId="0" borderId="38" xfId="0" applyNumberFormat="1" applyFont="1" applyBorder="1" applyAlignment="1"/>
    <xf numFmtId="2" fontId="8" fillId="0" borderId="0" xfId="0" applyNumberFormat="1" applyFont="1" applyFill="1" applyAlignment="1" applyProtection="1">
      <alignment horizontal="center"/>
      <protection locked="0"/>
    </xf>
    <xf numFmtId="42" fontId="7" fillId="2" borderId="2" xfId="0" applyNumberFormat="1" applyFont="1" applyFill="1" applyBorder="1" applyAlignment="1" applyProtection="1">
      <protection locked="0"/>
    </xf>
    <xf numFmtId="167" fontId="21" fillId="0" borderId="0" xfId="0" applyNumberFormat="1" applyFont="1" applyFill="1" applyAlignment="1">
      <alignment horizontal="center"/>
    </xf>
    <xf numFmtId="177" fontId="0" fillId="0" borderId="0" xfId="0" applyNumberFormat="1" applyFont="1" applyAlignment="1"/>
    <xf numFmtId="173" fontId="17" fillId="0" borderId="0" xfId="0" applyNumberFormat="1" applyFont="1" applyAlignment="1"/>
    <xf numFmtId="173" fontId="7" fillId="0" borderId="2" xfId="0" applyNumberFormat="1" applyFont="1" applyFill="1" applyBorder="1" applyAlignment="1"/>
    <xf numFmtId="0" fontId="47" fillId="0" borderId="0" xfId="0" applyNumberFormat="1" applyFont="1" applyAlignment="1">
      <alignment horizontal="center"/>
    </xf>
    <xf numFmtId="0" fontId="47" fillId="0" borderId="0" xfId="0" applyNumberFormat="1" applyFont="1" applyAlignment="1"/>
    <xf numFmtId="173" fontId="37" fillId="0" borderId="0" xfId="0" applyNumberFormat="1" applyFont="1" applyAlignment="1"/>
    <xf numFmtId="10" fontId="38" fillId="0" borderId="0" xfId="0" applyNumberFormat="1" applyFont="1" applyAlignment="1"/>
    <xf numFmtId="0" fontId="37" fillId="0" borderId="0" xfId="0" applyNumberFormat="1" applyFont="1" applyAlignment="1">
      <alignment horizontal="center"/>
    </xf>
    <xf numFmtId="42" fontId="7" fillId="0" borderId="0" xfId="0" applyNumberFormat="1" applyFont="1" applyFill="1" applyAlignment="1" applyProtection="1">
      <alignment horizontal="fill"/>
      <protection locked="0"/>
    </xf>
    <xf numFmtId="178" fontId="40" fillId="0" borderId="0" xfId="0" applyNumberFormat="1" applyFont="1" applyFill="1" applyAlignment="1">
      <alignment horizontal="left"/>
    </xf>
    <xf numFmtId="0" fontId="60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center"/>
    </xf>
    <xf numFmtId="174" fontId="13" fillId="0" borderId="7" xfId="0" applyNumberFormat="1" applyFont="1" applyFill="1" applyBorder="1" applyAlignment="1"/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Border="1" applyAlignment="1"/>
    <xf numFmtId="41" fontId="7" fillId="0" borderId="47" xfId="0" applyNumberFormat="1" applyFont="1" applyFill="1" applyBorder="1" applyAlignment="1"/>
    <xf numFmtId="42" fontId="14" fillId="0" borderId="0" xfId="0" applyNumberFormat="1" applyFont="1" applyFill="1" applyAlignment="1"/>
    <xf numFmtId="42" fontId="7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>
      <alignment horizontal="left" indent="1"/>
    </xf>
    <xf numFmtId="173" fontId="7" fillId="0" borderId="0" xfId="0" applyNumberFormat="1" applyFont="1" applyFill="1" applyAlignment="1"/>
    <xf numFmtId="0" fontId="28" fillId="0" borderId="0" xfId="0" applyNumberFormat="1" applyFont="1" applyFill="1" applyAlignment="1"/>
    <xf numFmtId="178" fontId="13" fillId="0" borderId="0" xfId="0" applyFont="1" applyFill="1" applyAlignment="1"/>
    <xf numFmtId="178" fontId="13" fillId="0" borderId="9" xfId="0" applyFont="1" applyFill="1" applyBorder="1" applyAlignment="1">
      <alignment horizontal="center"/>
    </xf>
    <xf numFmtId="178" fontId="13" fillId="0" borderId="15" xfId="0" applyFont="1" applyFill="1" applyBorder="1" applyAlignment="1">
      <alignment horizontal="center"/>
    </xf>
    <xf numFmtId="0" fontId="52" fillId="0" borderId="0" xfId="0" applyNumberFormat="1" applyFont="1" applyFill="1" applyAlignment="1"/>
    <xf numFmtId="42" fontId="13" fillId="0" borderId="21" xfId="0" applyNumberFormat="1" applyFont="1" applyFill="1" applyBorder="1" applyAlignment="1"/>
    <xf numFmtId="42" fontId="19" fillId="0" borderId="0" xfId="0" applyNumberFormat="1" applyFont="1" applyFill="1" applyBorder="1" applyAlignment="1"/>
    <xf numFmtId="178" fontId="18" fillId="0" borderId="0" xfId="0" applyFont="1" applyFill="1" applyAlignment="1"/>
    <xf numFmtId="41" fontId="18" fillId="0" borderId="21" xfId="0" applyNumberFormat="1" applyFont="1" applyFill="1" applyBorder="1" applyAlignment="1"/>
    <xf numFmtId="170" fontId="7" fillId="0" borderId="0" xfId="0" applyNumberFormat="1" applyFont="1" applyAlignment="1" applyProtection="1">
      <protection locked="0"/>
    </xf>
    <xf numFmtId="166" fontId="7" fillId="0" borderId="0" xfId="0" applyNumberFormat="1" applyFont="1" applyAlignment="1"/>
    <xf numFmtId="170" fontId="7" fillId="0" borderId="0" xfId="0" applyNumberFormat="1" applyFont="1" applyBorder="1" applyAlignment="1" applyProtection="1">
      <protection locked="0"/>
    </xf>
    <xf numFmtId="170" fontId="7" fillId="0" borderId="0" xfId="0" applyNumberFormat="1" applyFont="1" applyAlignment="1" applyProtection="1">
      <alignment horizontal="center"/>
      <protection locked="0"/>
    </xf>
    <xf numFmtId="170" fontId="7" fillId="0" borderId="0" xfId="0" applyNumberFormat="1" applyFont="1" applyBorder="1" applyAlignment="1" applyProtection="1">
      <alignment horizontal="center"/>
      <protection locked="0"/>
    </xf>
    <xf numFmtId="170" fontId="7" fillId="0" borderId="0" xfId="0" applyNumberFormat="1" applyFont="1" applyAlignment="1" applyProtection="1">
      <alignment horizontal="right"/>
      <protection locked="0"/>
    </xf>
    <xf numFmtId="9" fontId="7" fillId="0" borderId="0" xfId="0" applyNumberFormat="1" applyFont="1" applyAlignment="1"/>
    <xf numFmtId="42" fontId="7" fillId="0" borderId="0" xfId="0" applyNumberFormat="1" applyFont="1" applyFill="1" applyBorder="1" applyAlignment="1" applyProtection="1">
      <alignment horizontal="left"/>
      <protection locked="0"/>
    </xf>
    <xf numFmtId="10" fontId="7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 applyProtection="1">
      <alignment horizontal="right"/>
      <protection locked="0"/>
    </xf>
    <xf numFmtId="41" fontId="7" fillId="0" borderId="47" xfId="0" applyNumberFormat="1" applyFont="1" applyFill="1" applyBorder="1" applyAlignment="1" applyProtection="1">
      <protection locked="0"/>
    </xf>
    <xf numFmtId="37" fontId="7" fillId="0" borderId="47" xfId="0" applyNumberFormat="1" applyFont="1" applyFill="1" applyBorder="1" applyAlignment="1"/>
    <xf numFmtId="0" fontId="18" fillId="0" borderId="0" xfId="0" applyNumberFormat="1" applyFont="1" applyAlignment="1">
      <alignment horizontal="left"/>
    </xf>
    <xf numFmtId="174" fontId="7" fillId="0" borderId="40" xfId="0" applyNumberFormat="1" applyFont="1" applyFill="1" applyBorder="1" applyAlignment="1" applyProtection="1">
      <alignment horizontal="left"/>
      <protection locked="0"/>
    </xf>
    <xf numFmtId="41" fontId="7" fillId="0" borderId="40" xfId="0" applyNumberFormat="1" applyFont="1" applyFill="1" applyBorder="1" applyAlignment="1" applyProtection="1">
      <alignment horizontal="right"/>
      <protection locked="0"/>
    </xf>
    <xf numFmtId="42" fontId="13" fillId="0" borderId="21" xfId="0" applyNumberFormat="1" applyFont="1" applyBorder="1" applyAlignment="1"/>
    <xf numFmtId="43" fontId="26" fillId="0" borderId="36" xfId="0" applyNumberFormat="1" applyFont="1" applyFill="1" applyBorder="1" applyAlignment="1" applyProtection="1">
      <alignment horizontal="center" vertical="center" wrapText="1"/>
    </xf>
    <xf numFmtId="178" fontId="26" fillId="0" borderId="36" xfId="0" applyFont="1" applyFill="1" applyBorder="1" applyAlignment="1" applyProtection="1">
      <alignment horizontal="center" vertical="center" wrapText="1"/>
    </xf>
    <xf numFmtId="43" fontId="0" fillId="0" borderId="0" xfId="0" applyNumberFormat="1" applyFont="1" applyAlignment="1">
      <alignment horizontal="center" vertical="center"/>
    </xf>
    <xf numFmtId="178" fontId="0" fillId="0" borderId="0" xfId="0" applyAlignment="1">
      <alignment horizontal="center" vertical="center"/>
    </xf>
    <xf numFmtId="43" fontId="0" fillId="0" borderId="0" xfId="0" applyNumberFormat="1" applyFont="1" applyAlignment="1"/>
    <xf numFmtId="9" fontId="0" fillId="0" borderId="0" xfId="0" applyNumberFormat="1" applyFont="1" applyAlignment="1"/>
    <xf numFmtId="173" fontId="0" fillId="0" borderId="0" xfId="0" applyNumberFormat="1" applyFont="1" applyAlignment="1"/>
    <xf numFmtId="41" fontId="0" fillId="0" borderId="40" xfId="0" applyNumberFormat="1" applyBorder="1" applyAlignment="1"/>
    <xf numFmtId="42" fontId="13" fillId="0" borderId="48" xfId="0" applyNumberFormat="1" applyFont="1" applyBorder="1" applyAlignment="1"/>
    <xf numFmtId="41" fontId="7" fillId="0" borderId="44" xfId="0" applyNumberFormat="1" applyFont="1" applyFill="1" applyBorder="1" applyAlignment="1"/>
    <xf numFmtId="178" fontId="0" fillId="0" borderId="40" xfId="0" applyFill="1" applyBorder="1" applyAlignment="1"/>
    <xf numFmtId="173" fontId="13" fillId="0" borderId="19" xfId="0" applyNumberFormat="1" applyFont="1" applyFill="1" applyBorder="1" applyAlignment="1"/>
    <xf numFmtId="173" fontId="13" fillId="0" borderId="18" xfId="0" applyNumberFormat="1" applyFont="1" applyFill="1" applyBorder="1" applyAlignment="1"/>
    <xf numFmtId="173" fontId="13" fillId="0" borderId="17" xfId="0" applyNumberFormat="1" applyFont="1" applyFill="1" applyBorder="1" applyAlignment="1"/>
    <xf numFmtId="173" fontId="13" fillId="0" borderId="36" xfId="0" applyNumberFormat="1" applyFont="1" applyFill="1" applyBorder="1" applyAlignment="1"/>
    <xf numFmtId="178" fontId="56" fillId="0" borderId="0" xfId="0" applyFont="1" applyFill="1" applyAlignment="1">
      <alignment horizontal="left"/>
    </xf>
    <xf numFmtId="0" fontId="7" fillId="0" borderId="0" xfId="6" applyFont="1" applyFill="1" applyAlignment="1">
      <alignment horizontal="left"/>
    </xf>
    <xf numFmtId="0" fontId="7" fillId="0" borderId="0" xfId="6" applyFont="1" applyFill="1" applyAlignment="1"/>
    <xf numFmtId="173" fontId="37" fillId="0" borderId="0" xfId="0" applyNumberFormat="1" applyFont="1" applyAlignment="1">
      <alignment horizontal="center"/>
    </xf>
    <xf numFmtId="188" fontId="53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28" fillId="0" borderId="0" xfId="0" applyNumberFormat="1" applyFont="1" applyAlignment="1"/>
    <xf numFmtId="173" fontId="13" fillId="0" borderId="10" xfId="13423" applyNumberFormat="1" applyFill="1" applyBorder="1" applyAlignment="1">
      <alignment vertical="center"/>
    </xf>
    <xf numFmtId="0" fontId="7" fillId="0" borderId="0" xfId="8" applyFont="1" applyFill="1" applyAlignment="1">
      <alignment horizontal="center"/>
    </xf>
    <xf numFmtId="178" fontId="9" fillId="0" borderId="0" xfId="17529" applyFont="1" applyAlignment="1">
      <alignment horizontal="left"/>
    </xf>
    <xf numFmtId="0" fontId="7" fillId="0" borderId="0" xfId="8" applyFont="1" applyFill="1"/>
    <xf numFmtId="0" fontId="13" fillId="0" borderId="0" xfId="8" applyFont="1" applyFill="1"/>
    <xf numFmtId="178" fontId="7" fillId="0" borderId="0" xfId="17529" applyFont="1" applyFill="1" applyAlignment="1">
      <alignment horizontal="left" indent="2"/>
    </xf>
    <xf numFmtId="42" fontId="7" fillId="0" borderId="0" xfId="13448" applyNumberFormat="1" applyFont="1" applyFill="1"/>
    <xf numFmtId="42" fontId="7" fillId="0" borderId="0" xfId="13448" applyNumberFormat="1" applyFont="1" applyFill="1" applyBorder="1"/>
    <xf numFmtId="41" fontId="7" fillId="0" borderId="0" xfId="13448" applyNumberFormat="1" applyFont="1" applyFill="1"/>
    <xf numFmtId="41" fontId="7" fillId="0" borderId="0" xfId="13448" applyNumberFormat="1" applyFont="1" applyFill="1" applyBorder="1"/>
    <xf numFmtId="0" fontId="7" fillId="0" borderId="0" xfId="662" applyNumberFormat="1" applyFont="1" applyFill="1" applyAlignment="1">
      <alignment horizontal="left" indent="2"/>
    </xf>
    <xf numFmtId="0" fontId="7" fillId="0" borderId="0" xfId="8" applyFont="1" applyFill="1" applyAlignment="1">
      <alignment horizontal="left" indent="2"/>
    </xf>
    <xf numFmtId="178" fontId="7" fillId="0" borderId="0" xfId="17529" applyFont="1" applyFill="1" applyAlignment="1">
      <alignment horizontal="left"/>
    </xf>
    <xf numFmtId="42" fontId="7" fillId="0" borderId="21" xfId="8" applyNumberFormat="1" applyFont="1" applyFill="1" applyBorder="1"/>
    <xf numFmtId="42" fontId="7" fillId="0" borderId="0" xfId="8" applyNumberFormat="1" applyFont="1" applyFill="1" applyBorder="1"/>
    <xf numFmtId="178" fontId="9" fillId="0" borderId="0" xfId="17529" applyFont="1" applyFill="1" applyAlignment="1">
      <alignment horizontal="left"/>
    </xf>
    <xf numFmtId="178" fontId="7" fillId="0" borderId="0" xfId="17529" applyFont="1" applyFill="1" applyAlignment="1">
      <alignment horizontal="left" indent="1"/>
    </xf>
    <xf numFmtId="178" fontId="7" fillId="0" borderId="0" xfId="17529" quotePrefix="1" applyFont="1" applyFill="1" applyAlignment="1">
      <alignment horizontal="left"/>
    </xf>
    <xf numFmtId="41" fontId="7" fillId="0" borderId="96" xfId="8" applyNumberFormat="1" applyFont="1" applyFill="1" applyBorder="1"/>
    <xf numFmtId="41" fontId="7" fillId="0" borderId="0" xfId="8" applyNumberFormat="1" applyFont="1" applyFill="1" applyBorder="1"/>
    <xf numFmtId="0" fontId="7" fillId="0" borderId="0" xfId="15172" applyFont="1" applyFill="1" applyAlignment="1">
      <alignment horizontal="left"/>
    </xf>
    <xf numFmtId="9" fontId="7" fillId="0" borderId="0" xfId="15172" applyNumberFormat="1" applyFont="1" applyFill="1" applyBorder="1" applyAlignment="1"/>
    <xf numFmtId="0" fontId="13" fillId="0" borderId="0" xfId="662" applyNumberFormat="1" applyFont="1" applyAlignment="1"/>
    <xf numFmtId="178" fontId="46" fillId="0" borderId="0" xfId="0" applyFont="1" applyAlignment="1"/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18" fontId="8" fillId="0" borderId="0" xfId="0" applyNumberFormat="1" applyFont="1" applyFill="1" applyAlignment="1">
      <alignment horizontal="center"/>
    </xf>
    <xf numFmtId="170" fontId="7" fillId="0" borderId="84" xfId="0" applyNumberFormat="1" applyFont="1" applyFill="1" applyBorder="1" applyAlignment="1" applyProtection="1">
      <protection locked="0"/>
    </xf>
    <xf numFmtId="173" fontId="7" fillId="0" borderId="84" xfId="0" applyNumberFormat="1" applyFont="1" applyFill="1" applyBorder="1" applyAlignment="1"/>
    <xf numFmtId="42" fontId="7" fillId="0" borderId="0" xfId="0" applyNumberFormat="1" applyFont="1" applyFill="1" applyBorder="1" applyProtection="1">
      <alignment horizontal="left" wrapText="1"/>
      <protection locked="0"/>
    </xf>
    <xf numFmtId="10" fontId="7" fillId="0" borderId="15" xfId="0" applyNumberFormat="1" applyFont="1" applyFill="1" applyBorder="1" applyAlignment="1" applyProtection="1">
      <alignment horizontal="center"/>
      <protection locked="0"/>
    </xf>
    <xf numFmtId="41" fontId="7" fillId="0" borderId="96" xfId="0" applyNumberFormat="1" applyFont="1" applyFill="1" applyBorder="1" applyAlignment="1"/>
    <xf numFmtId="10" fontId="7" fillId="0" borderId="6" xfId="0" applyNumberFormat="1" applyFont="1" applyFill="1" applyBorder="1" applyAlignment="1"/>
    <xf numFmtId="42" fontId="7" fillId="0" borderId="99" xfId="0" applyNumberFormat="1" applyFont="1" applyFill="1" applyBorder="1" applyAlignment="1"/>
    <xf numFmtId="42" fontId="7" fillId="0" borderId="21" xfId="0" applyNumberFormat="1" applyFont="1" applyBorder="1" applyAlignment="1"/>
    <xf numFmtId="0" fontId="58" fillId="0" borderId="0" xfId="0" applyNumberFormat="1" applyFont="1" applyAlignment="1"/>
    <xf numFmtId="10" fontId="13" fillId="0" borderId="0" xfId="18252" applyNumberFormat="1" applyFont="1" applyFill="1" applyAlignment="1"/>
    <xf numFmtId="0" fontId="18" fillId="0" borderId="0" xfId="14947" applyFont="1" applyFill="1" applyBorder="1" applyAlignment="1">
      <alignment horizontal="center" wrapText="1"/>
    </xf>
    <xf numFmtId="0" fontId="18" fillId="0" borderId="16" xfId="14947" applyFont="1" applyFill="1" applyBorder="1" applyAlignment="1">
      <alignment horizontal="center" wrapText="1"/>
    </xf>
    <xf numFmtId="0" fontId="25" fillId="0" borderId="84" xfId="14950" applyFont="1" applyFill="1" applyBorder="1" applyAlignment="1">
      <alignment horizontal="center" wrapText="1"/>
    </xf>
    <xf numFmtId="178" fontId="13" fillId="0" borderId="0" xfId="0" applyFont="1" applyFill="1" applyBorder="1" applyAlignment="1">
      <alignment horizontal="right" vertical="center"/>
    </xf>
    <xf numFmtId="173" fontId="13" fillId="0" borderId="100" xfId="13423" applyNumberFormat="1" applyFill="1" applyBorder="1" applyAlignment="1">
      <alignment vertical="center"/>
    </xf>
    <xf numFmtId="173" fontId="13" fillId="0" borderId="10" xfId="891" applyNumberFormat="1" applyFill="1" applyBorder="1" applyAlignment="1">
      <alignment vertical="center"/>
    </xf>
    <xf numFmtId="173" fontId="13" fillId="0" borderId="26" xfId="891" applyNumberFormat="1" applyFill="1" applyBorder="1" applyAlignment="1">
      <alignment vertical="center"/>
    </xf>
    <xf numFmtId="178" fontId="13" fillId="0" borderId="0" xfId="0" applyFont="1" applyFill="1" applyBorder="1" applyAlignment="1">
      <alignment horizontal="right" vertical="center" wrapText="1"/>
    </xf>
    <xf numFmtId="178" fontId="0" fillId="0" borderId="0" xfId="0" applyFill="1" applyAlignment="1">
      <alignment horizontal="right" vertical="center"/>
    </xf>
    <xf numFmtId="173" fontId="13" fillId="0" borderId="101" xfId="13423" applyNumberFormat="1" applyFill="1" applyBorder="1" applyAlignment="1">
      <alignment vertical="center"/>
    </xf>
    <xf numFmtId="0" fontId="18" fillId="0" borderId="0" xfId="14946" applyFont="1" applyFill="1" applyAlignment="1">
      <alignment horizontal="right"/>
    </xf>
    <xf numFmtId="0" fontId="8" fillId="0" borderId="0" xfId="0" applyNumberFormat="1" applyFont="1" applyFill="1" applyAlignment="1">
      <alignment horizontal="center"/>
    </xf>
    <xf numFmtId="178" fontId="7" fillId="0" borderId="0" xfId="0" applyFont="1" applyFill="1" applyAlignment="1"/>
    <xf numFmtId="173" fontId="13" fillId="0" borderId="0" xfId="0" applyNumberFormat="1" applyFont="1" applyFill="1" applyAlignment="1"/>
    <xf numFmtId="41" fontId="13" fillId="0" borderId="0" xfId="0" applyNumberFormat="1" applyFont="1" applyFill="1" applyAlignment="1"/>
    <xf numFmtId="42" fontId="13" fillId="0" borderId="0" xfId="0" applyNumberFormat="1" applyFont="1" applyFill="1" applyAlignment="1"/>
    <xf numFmtId="43" fontId="13" fillId="0" borderId="0" xfId="0" applyNumberFormat="1" applyFont="1" applyFill="1" applyBorder="1" applyAlignment="1"/>
    <xf numFmtId="173" fontId="42" fillId="0" borderId="0" xfId="1" applyNumberFormat="1" applyFont="1" applyAlignment="1"/>
    <xf numFmtId="0" fontId="8" fillId="0" borderId="0" xfId="0" applyNumberFormat="1" applyFont="1" applyAlignment="1">
      <alignment horizontal="center"/>
    </xf>
    <xf numFmtId="0" fontId="9" fillId="0" borderId="0" xfId="0" applyNumberFormat="1" applyFont="1" applyBorder="1" applyAlignment="1"/>
    <xf numFmtId="0" fontId="9" fillId="0" borderId="0" xfId="0" applyNumberFormat="1" applyFont="1" applyAlignment="1"/>
    <xf numFmtId="178" fontId="7" fillId="0" borderId="0" xfId="0" applyNumberFormat="1" applyFont="1" applyAlignment="1">
      <alignment horizontal="left" indent="1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9" fontId="0" fillId="0" borderId="0" xfId="18252" applyFont="1" applyAlignment="1"/>
    <xf numFmtId="174" fontId="7" fillId="0" borderId="0" xfId="0" applyNumberFormat="1" applyFont="1" applyFill="1" applyAlignment="1"/>
    <xf numFmtId="37" fontId="7" fillId="0" borderId="6" xfId="0" applyNumberFormat="1" applyFont="1" applyFill="1" applyBorder="1" applyAlignment="1"/>
    <xf numFmtId="173" fontId="7" fillId="0" borderId="0" xfId="0" quotePrefix="1" applyNumberFormat="1" applyFont="1" applyFill="1" applyBorder="1" applyAlignment="1">
      <alignment horizontal="centerContinuous"/>
    </xf>
    <xf numFmtId="165" fontId="7" fillId="0" borderId="0" xfId="0" applyNumberFormat="1" applyFont="1" applyFill="1" applyAlignment="1"/>
    <xf numFmtId="0" fontId="18" fillId="0" borderId="0" xfId="887" applyFont="1" applyFill="1"/>
    <xf numFmtId="0" fontId="13" fillId="0" borderId="0" xfId="887" applyFill="1"/>
    <xf numFmtId="0" fontId="36" fillId="0" borderId="0" xfId="887" applyFont="1" applyFill="1"/>
    <xf numFmtId="0" fontId="18" fillId="0" borderId="0" xfId="887" applyFont="1" applyFill="1" applyAlignment="1">
      <alignment wrapText="1"/>
    </xf>
    <xf numFmtId="174" fontId="13" fillId="0" borderId="0" xfId="887" applyNumberFormat="1" applyFill="1"/>
    <xf numFmtId="0" fontId="13" fillId="0" borderId="0" xfId="887" quotePrefix="1" applyFill="1"/>
    <xf numFmtId="174" fontId="0" fillId="0" borderId="0" xfId="890" applyNumberFormat="1" applyFont="1" applyFill="1"/>
    <xf numFmtId="174" fontId="18" fillId="0" borderId="0" xfId="890" applyNumberFormat="1" applyFont="1" applyFill="1"/>
    <xf numFmtId="0" fontId="13" fillId="0" borderId="0" xfId="887" applyFill="1" applyAlignment="1">
      <alignment horizontal="right"/>
    </xf>
    <xf numFmtId="174" fontId="18" fillId="0" borderId="0" xfId="887" applyNumberFormat="1" applyFont="1" applyFill="1"/>
    <xf numFmtId="0" fontId="18" fillId="0" borderId="0" xfId="887" applyFont="1" applyFill="1" applyAlignment="1">
      <alignment horizontal="right"/>
    </xf>
    <xf numFmtId="44" fontId="18" fillId="0" borderId="0" xfId="890" applyFont="1" applyFill="1"/>
    <xf numFmtId="174" fontId="18" fillId="0" borderId="16" xfId="887" applyNumberFormat="1" applyFont="1" applyFill="1" applyBorder="1"/>
    <xf numFmtId="43" fontId="42" fillId="0" borderId="0" xfId="1" applyFont="1" applyAlignment="1"/>
    <xf numFmtId="173" fontId="22" fillId="0" borderId="0" xfId="13423" applyNumberFormat="1" applyFont="1" applyFill="1" applyAlignment="1"/>
    <xf numFmtId="173" fontId="0" fillId="0" borderId="0" xfId="13423" applyNumberFormat="1" applyFont="1" applyFill="1" applyAlignment="1"/>
    <xf numFmtId="173" fontId="215" fillId="0" borderId="0" xfId="13423" applyNumberFormat="1" applyFont="1" applyFill="1" applyAlignment="1"/>
    <xf numFmtId="173" fontId="206" fillId="0" borderId="84" xfId="13423" applyNumberFormat="1" applyFont="1" applyFill="1" applyBorder="1" applyAlignment="1">
      <alignment horizontal="center"/>
    </xf>
    <xf numFmtId="173" fontId="215" fillId="0" borderId="0" xfId="13423" applyNumberFormat="1" applyFont="1" applyFill="1" applyAlignment="1">
      <alignment horizontal="right"/>
    </xf>
    <xf numFmtId="9" fontId="215" fillId="0" borderId="84" xfId="847" applyFont="1" applyFill="1" applyBorder="1" applyAlignment="1"/>
    <xf numFmtId="38" fontId="215" fillId="0" borderId="0" xfId="13423" applyNumberFormat="1" applyFont="1" applyFill="1" applyBorder="1" applyAlignment="1"/>
    <xf numFmtId="9" fontId="215" fillId="0" borderId="0" xfId="847" applyFont="1" applyFill="1" applyBorder="1" applyAlignment="1"/>
    <xf numFmtId="38" fontId="215" fillId="0" borderId="21" xfId="13423" applyNumberFormat="1" applyFont="1" applyFill="1" applyBorder="1" applyAlignment="1"/>
    <xf numFmtId="49" fontId="215" fillId="0" borderId="0" xfId="13423" applyNumberFormat="1" applyFont="1" applyFill="1" applyBorder="1" applyAlignment="1"/>
    <xf numFmtId="173" fontId="215" fillId="0" borderId="0" xfId="13423" applyNumberFormat="1" applyFont="1" applyFill="1" applyBorder="1" applyAlignment="1"/>
    <xf numFmtId="49" fontId="215" fillId="0" borderId="0" xfId="13423" applyNumberFormat="1" applyFont="1" applyFill="1" applyAlignment="1"/>
    <xf numFmtId="0" fontId="215" fillId="0" borderId="0" xfId="13423" applyNumberFormat="1" applyFont="1" applyFill="1" applyAlignment="1"/>
    <xf numFmtId="173" fontId="215" fillId="0" borderId="21" xfId="13423" applyNumberFormat="1" applyFont="1" applyFill="1" applyBorder="1" applyAlignment="1"/>
    <xf numFmtId="0" fontId="215" fillId="0" borderId="0" xfId="0" applyNumberFormat="1" applyFont="1" applyFill="1" applyAlignment="1"/>
    <xf numFmtId="0" fontId="49" fillId="0" borderId="97" xfId="0" applyNumberFormat="1" applyFont="1" applyFill="1" applyBorder="1" applyAlignment="1">
      <alignment horizontal="center"/>
    </xf>
    <xf numFmtId="41" fontId="50" fillId="0" borderId="96" xfId="0" applyNumberFormat="1" applyFont="1" applyFill="1" applyBorder="1" applyAlignment="1"/>
    <xf numFmtId="41" fontId="50" fillId="0" borderId="84" xfId="0" applyNumberFormat="1" applyFont="1" applyFill="1" applyBorder="1" applyAlignment="1"/>
    <xf numFmtId="178" fontId="7" fillId="0" borderId="0" xfId="6" applyNumberFormat="1" applyFont="1" applyFill="1" applyAlignment="1">
      <alignment horizontal="left" indent="1"/>
    </xf>
    <xf numFmtId="41" fontId="7" fillId="0" borderId="84" xfId="0" applyNumberFormat="1" applyFont="1" applyFill="1" applyBorder="1" applyAlignment="1"/>
    <xf numFmtId="170" fontId="7" fillId="0" borderId="84" xfId="0" applyNumberFormat="1" applyFont="1" applyFill="1" applyBorder="1" applyAlignment="1">
      <alignment horizontal="right" wrapText="1"/>
    </xf>
    <xf numFmtId="41" fontId="7" fillId="0" borderId="0" xfId="15172" applyNumberFormat="1" applyFont="1" applyFill="1" applyBorder="1" applyAlignment="1" applyProtection="1">
      <protection locked="0"/>
    </xf>
    <xf numFmtId="174" fontId="7" fillId="0" borderId="21" xfId="15172" applyNumberFormat="1" applyFont="1" applyFill="1" applyBorder="1" applyAlignment="1"/>
    <xf numFmtId="0" fontId="8" fillId="0" borderId="0" xfId="0" applyNumberFormat="1" applyFont="1" applyAlignment="1">
      <alignment horizontal="center"/>
    </xf>
    <xf numFmtId="17" fontId="18" fillId="0" borderId="0" xfId="0" applyNumberFormat="1" applyFont="1" applyFill="1" applyAlignment="1">
      <alignment horizontal="centerContinuous" wrapText="1"/>
    </xf>
    <xf numFmtId="17" fontId="18" fillId="0" borderId="84" xfId="0" applyNumberFormat="1" applyFont="1" applyBorder="1" applyAlignment="1">
      <alignment horizontal="center"/>
    </xf>
    <xf numFmtId="17" fontId="18" fillId="0" borderId="84" xfId="0" applyNumberFormat="1" applyFont="1" applyFill="1" applyBorder="1" applyAlignment="1">
      <alignment horizontal="center"/>
    </xf>
    <xf numFmtId="17" fontId="18" fillId="0" borderId="102" xfId="0" applyNumberFormat="1" applyFont="1" applyBorder="1" applyAlignment="1">
      <alignment horizontal="center" wrapText="1"/>
    </xf>
    <xf numFmtId="17" fontId="18" fillId="0" borderId="103" xfId="0" applyNumberFormat="1" applyFont="1" applyBorder="1" applyAlignment="1">
      <alignment horizontal="center" wrapText="1"/>
    </xf>
    <xf numFmtId="173" fontId="0" fillId="0" borderId="17" xfId="0" applyNumberFormat="1" applyFont="1" applyBorder="1" applyAlignment="1"/>
    <xf numFmtId="178" fontId="0" fillId="0" borderId="17" xfId="0" applyBorder="1" applyAlignment="1"/>
    <xf numFmtId="42" fontId="7" fillId="0" borderId="104" xfId="0" applyNumberFormat="1" applyFont="1" applyBorder="1" applyAlignment="1" applyProtection="1">
      <protection locked="0"/>
    </xf>
    <xf numFmtId="174" fontId="7" fillId="2" borderId="43" xfId="0" applyNumberFormat="1" applyFont="1" applyFill="1" applyBorder="1" applyAlignment="1"/>
    <xf numFmtId="178" fontId="7" fillId="0" borderId="0" xfId="0" applyNumberFormat="1" applyFont="1" applyFill="1" applyAlignment="1">
      <alignment horizontal="left" wrapText="1"/>
    </xf>
    <xf numFmtId="178" fontId="8" fillId="0" borderId="0" xfId="0" applyNumberFormat="1" applyFont="1" applyFill="1" applyAlignment="1">
      <alignment horizontal="left"/>
    </xf>
    <xf numFmtId="41" fontId="13" fillId="0" borderId="0" xfId="0" applyNumberFormat="1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178" fontId="7" fillId="0" borderId="0" xfId="0" applyNumberFormat="1" applyFont="1" applyAlignment="1">
      <alignment horizontal="left"/>
    </xf>
    <xf numFmtId="42" fontId="7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Alignment="1">
      <alignment horizontal="center"/>
    </xf>
    <xf numFmtId="41" fontId="7" fillId="0" borderId="84" xfId="0" applyNumberFormat="1" applyFont="1" applyFill="1" applyBorder="1" applyAlignment="1" applyProtection="1">
      <protection locked="0"/>
    </xf>
    <xf numFmtId="41" fontId="7" fillId="0" borderId="21" xfId="0" applyNumberFormat="1" applyFont="1" applyBorder="1" applyAlignment="1"/>
    <xf numFmtId="41" fontId="7" fillId="0" borderId="5" xfId="0" applyNumberFormat="1" applyFont="1" applyBorder="1" applyAlignment="1"/>
    <xf numFmtId="178" fontId="34" fillId="0" borderId="0" xfId="0" applyNumberFormat="1" applyFont="1" applyAlignment="1">
      <alignment horizontal="left"/>
    </xf>
    <xf numFmtId="178" fontId="34" fillId="0" borderId="0" xfId="0" applyNumberFormat="1" applyFont="1" applyFill="1" applyAlignment="1">
      <alignment horizontal="left"/>
    </xf>
    <xf numFmtId="17" fontId="18" fillId="0" borderId="49" xfId="0" applyNumberFormat="1" applyFont="1" applyBorder="1" applyAlignment="1">
      <alignment horizontal="center" wrapText="1"/>
    </xf>
    <xf numFmtId="188" fontId="53" fillId="0" borderId="104" xfId="0" applyNumberFormat="1" applyFont="1" applyBorder="1" applyAlignment="1">
      <alignment horizontal="right"/>
    </xf>
    <xf numFmtId="213" fontId="37" fillId="0" borderId="0" xfId="0" applyNumberFormat="1" applyFont="1" applyAlignment="1"/>
    <xf numFmtId="213" fontId="37" fillId="0" borderId="104" xfId="0" applyNumberFormat="1" applyFont="1" applyBorder="1" applyAlignment="1"/>
    <xf numFmtId="0" fontId="8" fillId="0" borderId="0" xfId="0" applyNumberFormat="1" applyFont="1" applyFill="1" applyAlignment="1">
      <alignment horizontal="center"/>
    </xf>
    <xf numFmtId="178" fontId="216" fillId="0" borderId="0" xfId="0" applyFont="1">
      <alignment horizontal="left" wrapText="1"/>
    </xf>
    <xf numFmtId="178" fontId="217" fillId="0" borderId="0" xfId="0" applyFont="1" applyAlignment="1">
      <alignment horizontal="left" indent="2"/>
    </xf>
    <xf numFmtId="178" fontId="217" fillId="0" borderId="0" xfId="0" applyFont="1">
      <alignment horizontal="left" wrapText="1"/>
    </xf>
    <xf numFmtId="0" fontId="217" fillId="0" borderId="0" xfId="21226" applyFont="1" applyFill="1" applyBorder="1" applyAlignment="1">
      <alignment horizontal="left"/>
    </xf>
    <xf numFmtId="178" fontId="217" fillId="0" borderId="0" xfId="0" applyFont="1" applyFill="1" applyAlignment="1">
      <alignment horizontal="left"/>
    </xf>
    <xf numFmtId="0" fontId="218" fillId="0" borderId="0" xfId="0" applyNumberFormat="1" applyFont="1" applyFill="1" applyAlignment="1">
      <alignment horizontal="fill"/>
    </xf>
    <xf numFmtId="0" fontId="218" fillId="0" borderId="0" xfId="0" applyNumberFormat="1" applyFont="1" applyFill="1" applyAlignment="1">
      <alignment horizontal="center"/>
    </xf>
    <xf numFmtId="0" fontId="187" fillId="0" borderId="0" xfId="0" applyNumberFormat="1" applyFont="1" applyAlignment="1">
      <alignment horizontal="left"/>
    </xf>
    <xf numFmtId="173" fontId="58" fillId="0" borderId="0" xfId="0" applyNumberFormat="1" applyFont="1" applyFill="1" applyBorder="1" applyAlignment="1"/>
    <xf numFmtId="173" fontId="53" fillId="0" borderId="0" xfId="0" applyNumberFormat="1" applyFont="1" applyFill="1" applyBorder="1" applyAlignment="1"/>
    <xf numFmtId="0" fontId="58" fillId="0" borderId="0" xfId="0" applyNumberFormat="1" applyFont="1" applyAlignment="1">
      <alignment horizontal="right"/>
    </xf>
    <xf numFmtId="0" fontId="7" fillId="0" borderId="0" xfId="15001" applyFont="1" applyFill="1" applyAlignment="1">
      <alignment horizontal="left" indent="1"/>
    </xf>
    <xf numFmtId="0" fontId="18" fillId="0" borderId="106" xfId="14947" applyFont="1" applyFill="1" applyBorder="1" applyAlignment="1">
      <alignment horizontal="center" wrapText="1"/>
    </xf>
    <xf numFmtId="0" fontId="18" fillId="0" borderId="107" xfId="14965" applyFont="1" applyFill="1" applyBorder="1" applyAlignment="1">
      <alignment horizontal="center" wrapText="1"/>
    </xf>
    <xf numFmtId="173" fontId="13" fillId="0" borderId="108" xfId="13423" applyNumberFormat="1" applyFill="1" applyBorder="1"/>
    <xf numFmtId="0" fontId="8" fillId="0" borderId="0" xfId="0" applyNumberFormat="1" applyFont="1" applyFill="1" applyAlignment="1">
      <alignment horizontal="center"/>
    </xf>
    <xf numFmtId="0" fontId="8" fillId="0" borderId="6" xfId="0" quotePrefix="1" applyNumberFormat="1" applyFont="1" applyFill="1" applyBorder="1" applyAlignment="1" applyProtection="1">
      <alignment horizontal="center"/>
      <protection locked="0"/>
    </xf>
    <xf numFmtId="41" fontId="7" fillId="0" borderId="84" xfId="1" applyNumberFormat="1" applyFont="1" applyFill="1" applyBorder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78" fontId="13" fillId="0" borderId="0" xfId="0" applyFont="1" applyFill="1" applyAlignment="1">
      <alignment horizontal="centerContinuous"/>
    </xf>
    <xf numFmtId="173" fontId="221" fillId="0" borderId="0" xfId="1" applyNumberFormat="1" applyFont="1"/>
    <xf numFmtId="178" fontId="9" fillId="0" borderId="0" xfId="0" applyNumberFormat="1" applyFont="1" applyAlignment="1">
      <alignment horizontal="left"/>
    </xf>
    <xf numFmtId="178" fontId="13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center"/>
    </xf>
    <xf numFmtId="42" fontId="7" fillId="0" borderId="84" xfId="0" applyNumberFormat="1" applyFont="1" applyBorder="1" applyAlignment="1" applyProtection="1">
      <alignment horizontal="right"/>
      <protection locked="0"/>
    </xf>
    <xf numFmtId="42" fontId="7" fillId="0" borderId="6" xfId="0" applyNumberFormat="1" applyFont="1" applyBorder="1" applyAlignment="1"/>
    <xf numFmtId="41" fontId="7" fillId="0" borderId="84" xfId="0" applyNumberFormat="1" applyFont="1" applyBorder="1" applyAlignment="1"/>
    <xf numFmtId="0" fontId="8" fillId="0" borderId="0" xfId="0" applyNumberFormat="1" applyFont="1" applyFill="1" applyAlignment="1">
      <alignment horizontal="center"/>
    </xf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42" fontId="7" fillId="0" borderId="0" xfId="0" applyNumberFormat="1" applyFont="1" applyBorder="1" applyAlignment="1" applyProtection="1">
      <alignment horizontal="right"/>
      <protection locked="0"/>
    </xf>
    <xf numFmtId="178" fontId="8" fillId="0" borderId="0" xfId="0" applyFont="1" applyFill="1" applyAlignment="1"/>
    <xf numFmtId="178" fontId="217" fillId="0" borderId="0" xfId="0" applyFont="1" applyAlignment="1"/>
    <xf numFmtId="41" fontId="8" fillId="0" borderId="0" xfId="0" applyNumberFormat="1" applyFont="1" applyAlignment="1">
      <alignment horizontal="center"/>
    </xf>
    <xf numFmtId="178" fontId="8" fillId="0" borderId="84" xfId="0" applyFont="1" applyFill="1" applyBorder="1" applyAlignment="1">
      <alignment horizontal="center"/>
    </xf>
    <xf numFmtId="178" fontId="8" fillId="0" borderId="84" xfId="0" applyFont="1" applyFill="1" applyBorder="1" applyAlignment="1" applyProtection="1">
      <protection locked="0"/>
    </xf>
    <xf numFmtId="41" fontId="8" fillId="0" borderId="84" xfId="0" applyNumberFormat="1" applyFont="1" applyBorder="1" applyAlignment="1">
      <alignment horizontal="center"/>
    </xf>
    <xf numFmtId="178" fontId="8" fillId="0" borderId="84" xfId="0" applyFont="1" applyBorder="1" applyAlignment="1">
      <alignment horizontal="center"/>
    </xf>
    <xf numFmtId="0" fontId="7" fillId="0" borderId="0" xfId="890" applyNumberFormat="1" applyFont="1" applyFill="1" applyAlignment="1" applyProtection="1">
      <protection locked="0"/>
    </xf>
    <xf numFmtId="0" fontId="7" fillId="0" borderId="0" xfId="890" applyNumberFormat="1" applyFont="1" applyFill="1" applyBorder="1" applyAlignment="1" applyProtection="1">
      <protection locked="0"/>
    </xf>
    <xf numFmtId="173" fontId="217" fillId="0" borderId="0" xfId="0" applyNumberFormat="1" applyFont="1" applyAlignment="1"/>
    <xf numFmtId="9" fontId="7" fillId="0" borderId="0" xfId="6" applyNumberFormat="1" applyFont="1" applyFill="1" applyAlignment="1"/>
    <xf numFmtId="41" fontId="7" fillId="0" borderId="0" xfId="12" applyNumberFormat="1" applyFont="1" applyFill="1" applyBorder="1" applyAlignment="1"/>
    <xf numFmtId="0" fontId="34" fillId="0" borderId="0" xfId="6" applyFont="1" applyFill="1" applyAlignment="1"/>
    <xf numFmtId="37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167" fontId="7" fillId="0" borderId="6" xfId="0" applyNumberFormat="1" applyFont="1" applyFill="1" applyBorder="1" applyAlignment="1">
      <alignment horizontal="center"/>
    </xf>
    <xf numFmtId="41" fontId="7" fillId="0" borderId="104" xfId="890" applyNumberFormat="1" applyFont="1" applyFill="1" applyBorder="1" applyProtection="1">
      <protection locked="0"/>
    </xf>
    <xf numFmtId="41" fontId="0" fillId="0" borderId="0" xfId="0" applyNumberFormat="1" applyFill="1" applyAlignment="1"/>
    <xf numFmtId="42" fontId="7" fillId="0" borderId="0" xfId="8" applyNumberFormat="1" applyFont="1" applyFill="1"/>
    <xf numFmtId="178" fontId="7" fillId="0" borderId="0" xfId="7" applyFont="1" applyAlignment="1">
      <alignment horizontal="left" indent="2"/>
    </xf>
    <xf numFmtId="10" fontId="0" fillId="0" borderId="0" xfId="13423" applyNumberFormat="1" applyFont="1"/>
    <xf numFmtId="43" fontId="0" fillId="0" borderId="0" xfId="13423" applyFont="1"/>
    <xf numFmtId="169" fontId="7" fillId="0" borderId="6" xfId="0" applyNumberFormat="1" applyFont="1" applyFill="1" applyBorder="1" applyAlignment="1" applyProtection="1">
      <protection locked="0"/>
    </xf>
    <xf numFmtId="178" fontId="7" fillId="0" borderId="5" xfId="0" applyNumberFormat="1" applyFont="1" applyFill="1" applyBorder="1" applyAlignment="1" applyProtection="1">
      <protection locked="0"/>
    </xf>
    <xf numFmtId="10" fontId="7" fillId="0" borderId="96" xfId="0" applyNumberFormat="1" applyFont="1" applyFill="1" applyBorder="1" applyAlignment="1"/>
    <xf numFmtId="0" fontId="7" fillId="0" borderId="96" xfId="0" applyNumberFormat="1" applyFont="1" applyFill="1" applyBorder="1" applyAlignment="1"/>
    <xf numFmtId="42" fontId="7" fillId="0" borderId="0" xfId="0" applyNumberFormat="1" applyFont="1" applyFill="1" applyBorder="1" applyAlignment="1" applyProtection="1">
      <alignment horizontal="right"/>
      <protection locked="0"/>
    </xf>
    <xf numFmtId="41" fontId="13" fillId="1" borderId="0" xfId="0" applyNumberFormat="1" applyFont="1" applyFill="1" applyAlignment="1"/>
    <xf numFmtId="42" fontId="7" fillId="0" borderId="0" xfId="0" applyNumberFormat="1" applyFont="1" applyBorder="1" applyAlignment="1"/>
    <xf numFmtId="174" fontId="7" fillId="0" borderId="0" xfId="21227" applyNumberFormat="1" applyFont="1" applyFill="1" applyBorder="1" applyAlignment="1">
      <alignment horizontal="right" wrapText="1"/>
    </xf>
    <xf numFmtId="0" fontId="8" fillId="0" borderId="0" xfId="0" applyNumberFormat="1" applyFont="1" applyFill="1" applyAlignment="1">
      <alignment horizontal="center"/>
    </xf>
    <xf numFmtId="224" fontId="8" fillId="0" borderId="16" xfId="0" applyNumberFormat="1" applyFont="1" applyFill="1" applyBorder="1" applyAlignment="1"/>
    <xf numFmtId="41" fontId="7" fillId="0" borderId="104" xfId="0" applyNumberFormat="1" applyFont="1" applyFill="1" applyBorder="1" applyAlignment="1" applyProtection="1">
      <protection locked="0"/>
    </xf>
    <xf numFmtId="173" fontId="7" fillId="0" borderId="104" xfId="0" applyNumberFormat="1" applyFont="1" applyFill="1" applyBorder="1" applyAlignment="1"/>
    <xf numFmtId="174" fontId="7" fillId="0" borderId="0" xfId="21227" applyNumberFormat="1" applyFont="1" applyFill="1" applyBorder="1" applyAlignment="1"/>
    <xf numFmtId="41" fontId="7" fillId="0" borderId="104" xfId="0" applyNumberFormat="1" applyFont="1" applyFill="1" applyBorder="1" applyAlignment="1"/>
    <xf numFmtId="37" fontId="7" fillId="0" borderId="104" xfId="0" applyNumberFormat="1" applyFont="1" applyFill="1" applyBorder="1" applyAlignment="1"/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104" xfId="0" applyNumberFormat="1" applyFont="1" applyBorder="1" applyAlignment="1" applyProtection="1">
      <alignment horizontal="right"/>
      <protection locked="0"/>
    </xf>
    <xf numFmtId="41" fontId="7" fillId="0" borderId="104" xfId="0" applyNumberFormat="1" applyFont="1" applyFill="1" applyBorder="1" applyAlignment="1" applyProtection="1">
      <alignment horizontal="right"/>
      <protection locked="0"/>
    </xf>
    <xf numFmtId="41" fontId="7" fillId="0" borderId="104" xfId="0" applyNumberFormat="1" applyFont="1" applyFill="1" applyBorder="1" applyAlignment="1">
      <alignment horizontal="right"/>
    </xf>
    <xf numFmtId="41" fontId="7" fillId="0" borderId="104" xfId="0" applyNumberFormat="1" applyFont="1" applyBorder="1" applyAlignment="1"/>
    <xf numFmtId="41" fontId="7" fillId="0" borderId="0" xfId="0" applyNumberFormat="1" applyFont="1" applyBorder="1" applyAlignment="1" applyProtection="1">
      <alignment horizontal="right"/>
      <protection locked="0"/>
    </xf>
    <xf numFmtId="174" fontId="7" fillId="0" borderId="21" xfId="21227" applyNumberFormat="1" applyFont="1" applyFill="1" applyBorder="1" applyAlignment="1"/>
    <xf numFmtId="3" fontId="7" fillId="0" borderId="104" xfId="0" applyNumberFormat="1" applyFont="1" applyFill="1" applyBorder="1" applyAlignment="1"/>
    <xf numFmtId="0" fontId="5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41" fontId="5" fillId="0" borderId="0" xfId="0" applyNumberFormat="1" applyFont="1" applyAlignment="1"/>
    <xf numFmtId="43" fontId="5" fillId="0" borderId="0" xfId="0" applyNumberFormat="1" applyFont="1" applyAlignment="1"/>
    <xf numFmtId="41" fontId="53" fillId="0" borderId="0" xfId="0" applyNumberFormat="1" applyFont="1" applyAlignment="1"/>
    <xf numFmtId="0" fontId="39" fillId="0" borderId="4" xfId="0" applyNumberFormat="1" applyFont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7" fillId="0" borderId="0" xfId="21228" applyFont="1" applyFill="1"/>
    <xf numFmtId="41" fontId="50" fillId="0" borderId="44" xfId="0" applyNumberFormat="1" applyFont="1" applyFill="1" applyBorder="1" applyAlignment="1"/>
    <xf numFmtId="0" fontId="223" fillId="0" borderId="0" xfId="0" applyNumberFormat="1" applyFont="1" applyAlignment="1"/>
    <xf numFmtId="0" fontId="7" fillId="0" borderId="0" xfId="21228" applyFont="1" applyFill="1" applyBorder="1"/>
    <xf numFmtId="0" fontId="7" fillId="0" borderId="0" xfId="21228" applyFont="1" applyFill="1" applyBorder="1" applyAlignment="1">
      <alignment horizontal="center"/>
    </xf>
    <xf numFmtId="0" fontId="7" fillId="0" borderId="0" xfId="21228" applyFont="1" applyFill="1" applyBorder="1" applyAlignment="1">
      <alignment vertical="center"/>
    </xf>
    <xf numFmtId="0" fontId="7" fillId="0" borderId="0" xfId="21228" applyFont="1" applyFill="1" applyBorder="1" applyAlignment="1">
      <alignment vertical="top"/>
    </xf>
    <xf numFmtId="174" fontId="8" fillId="0" borderId="0" xfId="21228" applyNumberFormat="1" applyFont="1" applyFill="1" applyBorder="1" applyAlignment="1"/>
    <xf numFmtId="42" fontId="7" fillId="0" borderId="0" xfId="21228" applyNumberFormat="1" applyFont="1" applyFill="1"/>
    <xf numFmtId="173" fontId="7" fillId="0" borderId="0" xfId="21229" applyNumberFormat="1" applyFont="1" applyFill="1" applyBorder="1"/>
    <xf numFmtId="173" fontId="7" fillId="0" borderId="0" xfId="21229" applyNumberFormat="1" applyFont="1" applyFill="1"/>
    <xf numFmtId="173" fontId="61" fillId="0" borderId="0" xfId="1" applyNumberFormat="1" applyFont="1" applyFill="1" applyBorder="1" applyAlignment="1">
      <alignment horizontal="center"/>
    </xf>
    <xf numFmtId="173" fontId="61" fillId="0" borderId="0" xfId="1" applyNumberFormat="1" applyFont="1" applyFill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0" fontId="223" fillId="0" borderId="0" xfId="0" applyNumberFormat="1" applyFont="1" applyFill="1" applyAlignment="1"/>
    <xf numFmtId="0" fontId="61" fillId="0" borderId="0" xfId="21228" applyFont="1" applyFill="1" applyBorder="1" applyAlignment="1">
      <alignment horizontal="center"/>
    </xf>
    <xf numFmtId="0" fontId="222" fillId="0" borderId="0" xfId="0" applyNumberFormat="1" applyFont="1" applyFill="1" applyAlignment="1"/>
    <xf numFmtId="173" fontId="222" fillId="0" borderId="0" xfId="0" applyNumberFormat="1" applyFont="1" applyFill="1" applyAlignment="1"/>
    <xf numFmtId="0" fontId="61" fillId="0" borderId="0" xfId="21228" applyFont="1" applyFill="1" applyAlignment="1">
      <alignment horizontal="center"/>
    </xf>
    <xf numFmtId="41" fontId="61" fillId="0" borderId="0" xfId="21228" applyNumberFormat="1" applyFont="1" applyFill="1" applyAlignment="1">
      <alignment horizontal="center"/>
    </xf>
    <xf numFmtId="178" fontId="224" fillId="0" borderId="0" xfId="0" applyFont="1" applyFill="1" applyAlignment="1">
      <alignment horizontal="right"/>
    </xf>
    <xf numFmtId="173" fontId="225" fillId="0" borderId="20" xfId="0" applyNumberFormat="1" applyFont="1" applyFill="1" applyBorder="1" applyAlignment="1"/>
    <xf numFmtId="173" fontId="225" fillId="0" borderId="0" xfId="0" applyNumberFormat="1" applyFont="1" applyFill="1" applyBorder="1" applyAlignment="1"/>
    <xf numFmtId="0" fontId="226" fillId="0" borderId="0" xfId="0" applyNumberFormat="1" applyFont="1" applyFill="1" applyAlignment="1">
      <alignment horizontal="center"/>
    </xf>
    <xf numFmtId="0" fontId="226" fillId="0" borderId="0" xfId="0" quotePrefix="1" applyNumberFormat="1" applyFont="1" applyFill="1" applyAlignment="1">
      <alignment horizontal="left"/>
    </xf>
    <xf numFmtId="0" fontId="206" fillId="0" borderId="0" xfId="0" applyNumberFormat="1" applyFont="1" applyFill="1" applyBorder="1" applyAlignment="1">
      <alignment horizontal="center"/>
    </xf>
    <xf numFmtId="0" fontId="227" fillId="0" borderId="0" xfId="0" applyNumberFormat="1" applyFont="1" applyAlignment="1"/>
    <xf numFmtId="0" fontId="226" fillId="0" borderId="0" xfId="0" applyNumberFormat="1" applyFont="1" applyFill="1" applyAlignment="1">
      <alignment horizontal="left"/>
    </xf>
    <xf numFmtId="174" fontId="226" fillId="0" borderId="0" xfId="0" applyNumberFormat="1" applyFont="1" applyFill="1" applyBorder="1" applyAlignment="1"/>
    <xf numFmtId="0" fontId="179" fillId="0" borderId="0" xfId="0" applyNumberFormat="1" applyFont="1" applyAlignment="1"/>
    <xf numFmtId="173" fontId="226" fillId="0" borderId="0" xfId="0" applyNumberFormat="1" applyFont="1" applyFill="1" applyAlignment="1">
      <alignment horizontal="right"/>
    </xf>
    <xf numFmtId="173" fontId="226" fillId="0" borderId="0" xfId="0" applyNumberFormat="1" applyFont="1" applyFill="1" applyBorder="1" applyAlignment="1">
      <alignment horizontal="right"/>
    </xf>
    <xf numFmtId="0" fontId="226" fillId="0" borderId="0" xfId="0" applyNumberFormat="1" applyFont="1" applyFill="1" applyAlignment="1"/>
    <xf numFmtId="174" fontId="226" fillId="0" borderId="40" xfId="0" applyNumberFormat="1" applyFont="1" applyFill="1" applyBorder="1" applyAlignment="1">
      <alignment horizontal="right"/>
    </xf>
    <xf numFmtId="0" fontId="179" fillId="0" borderId="0" xfId="0" applyNumberFormat="1" applyFont="1" applyFill="1" applyAlignment="1"/>
    <xf numFmtId="0" fontId="228" fillId="0" borderId="0" xfId="0" applyNumberFormat="1" applyFont="1" applyFill="1" applyAlignment="1">
      <alignment horizontal="center"/>
    </xf>
    <xf numFmtId="10" fontId="179" fillId="0" borderId="0" xfId="0" applyNumberFormat="1" applyFont="1" applyAlignment="1"/>
    <xf numFmtId="43" fontId="179" fillId="0" borderId="0" xfId="0" applyNumberFormat="1" applyFont="1" applyFill="1" applyAlignment="1">
      <alignment horizontal="right"/>
    </xf>
    <xf numFmtId="174" fontId="226" fillId="0" borderId="0" xfId="0" applyNumberFormat="1" applyFont="1" applyFill="1" applyAlignment="1">
      <alignment horizontal="left"/>
    </xf>
    <xf numFmtId="0" fontId="206" fillId="0" borderId="0" xfId="0" applyNumberFormat="1" applyFont="1" applyFill="1" applyAlignment="1">
      <alignment horizontal="center"/>
    </xf>
    <xf numFmtId="43" fontId="226" fillId="0" borderId="0" xfId="0" applyNumberFormat="1" applyFont="1" applyFill="1" applyAlignment="1">
      <alignment horizontal="left"/>
    </xf>
    <xf numFmtId="173" fontId="206" fillId="0" borderId="0" xfId="0" applyNumberFormat="1" applyFont="1" applyFill="1" applyBorder="1" applyAlignment="1">
      <alignment horizontal="center"/>
    </xf>
    <xf numFmtId="0" fontId="228" fillId="0" borderId="0" xfId="0" applyNumberFormat="1" applyFont="1" applyFill="1" applyBorder="1" applyAlignment="1">
      <alignment horizontal="center"/>
    </xf>
    <xf numFmtId="173" fontId="228" fillId="0" borderId="0" xfId="0" applyNumberFormat="1" applyFont="1" applyFill="1" applyBorder="1" applyAlignment="1">
      <alignment horizontal="center"/>
    </xf>
    <xf numFmtId="185" fontId="226" fillId="0" borderId="0" xfId="0" applyNumberFormat="1" applyFont="1" applyFill="1" applyBorder="1" applyAlignment="1"/>
    <xf numFmtId="173" fontId="206" fillId="0" borderId="0" xfId="0" applyNumberFormat="1" applyFont="1" applyFill="1" applyAlignment="1">
      <alignment horizontal="center"/>
    </xf>
    <xf numFmtId="174" fontId="179" fillId="0" borderId="0" xfId="0" applyNumberFormat="1" applyFont="1" applyAlignment="1"/>
    <xf numFmtId="173" fontId="179" fillId="0" borderId="0" xfId="0" applyNumberFormat="1" applyFont="1" applyAlignment="1"/>
    <xf numFmtId="173" fontId="226" fillId="0" borderId="0" xfId="0" applyNumberFormat="1" applyFont="1" applyFill="1" applyBorder="1" applyAlignment="1"/>
    <xf numFmtId="0" fontId="226" fillId="0" borderId="0" xfId="0" applyNumberFormat="1" applyFont="1" applyFill="1" applyBorder="1" applyAlignment="1">
      <alignment horizontal="left" indent="1"/>
    </xf>
    <xf numFmtId="0" fontId="226" fillId="0" borderId="0" xfId="0" applyNumberFormat="1" applyFont="1" applyFill="1" applyAlignment="1">
      <alignment horizontal="center" vertical="top"/>
    </xf>
    <xf numFmtId="0" fontId="226" fillId="0" borderId="0" xfId="0" applyNumberFormat="1" applyFont="1" applyFill="1" applyAlignment="1">
      <alignment vertical="top"/>
    </xf>
    <xf numFmtId="0" fontId="226" fillId="0" borderId="0" xfId="0" quotePrefix="1" applyNumberFormat="1" applyFont="1" applyFill="1" applyBorder="1" applyAlignment="1">
      <alignment horizontal="left"/>
    </xf>
    <xf numFmtId="0" fontId="230" fillId="0" borderId="0" xfId="0" applyNumberFormat="1" applyFont="1" applyAlignment="1"/>
    <xf numFmtId="0" fontId="226" fillId="0" borderId="0" xfId="0" applyNumberFormat="1" applyFont="1" applyFill="1" applyAlignment="1">
      <alignment horizontal="left" vertical="center" indent="1"/>
    </xf>
    <xf numFmtId="174" fontId="226" fillId="0" borderId="40" xfId="0" applyNumberFormat="1" applyFont="1" applyFill="1" applyBorder="1" applyAlignment="1"/>
    <xf numFmtId="185" fontId="179" fillId="0" borderId="40" xfId="0" applyNumberFormat="1" applyFont="1" applyBorder="1" applyAlignment="1"/>
    <xf numFmtId="185" fontId="179" fillId="0" borderId="96" xfId="0" applyNumberFormat="1" applyFont="1" applyBorder="1" applyAlignment="1"/>
    <xf numFmtId="186" fontId="226" fillId="0" borderId="0" xfId="0" applyNumberFormat="1" applyFont="1" applyFill="1" applyAlignment="1">
      <alignment horizontal="right"/>
    </xf>
    <xf numFmtId="186" fontId="179" fillId="0" borderId="0" xfId="0" applyNumberFormat="1" applyFont="1" applyAlignment="1"/>
    <xf numFmtId="173" fontId="226" fillId="0" borderId="0" xfId="3" applyNumberFormat="1" applyFont="1" applyFill="1" applyBorder="1"/>
    <xf numFmtId="0" fontId="231" fillId="0" borderId="0" xfId="0" applyNumberFormat="1" applyFont="1" applyFill="1" applyAlignment="1">
      <alignment horizontal="left"/>
    </xf>
    <xf numFmtId="0" fontId="179" fillId="0" borderId="0" xfId="0" applyNumberFormat="1" applyFont="1" applyAlignment="1">
      <alignment horizontal="center" wrapText="1"/>
    </xf>
    <xf numFmtId="174" fontId="227" fillId="0" borderId="0" xfId="0" applyNumberFormat="1" applyFont="1" applyAlignment="1"/>
    <xf numFmtId="185" fontId="179" fillId="0" borderId="0" xfId="0" applyNumberFormat="1" applyFont="1" applyBorder="1" applyAlignment="1"/>
    <xf numFmtId="0" fontId="18" fillId="61" borderId="0" xfId="21230" applyNumberFormat="1" applyFont="1" applyFill="1" applyAlignment="1"/>
    <xf numFmtId="0" fontId="18" fillId="61" borderId="109" xfId="21230" applyNumberFormat="1" applyFont="1" applyFill="1" applyBorder="1" applyAlignment="1">
      <alignment horizontal="center" wrapText="1"/>
    </xf>
    <xf numFmtId="0" fontId="18" fillId="91" borderId="109" xfId="21230" quotePrefix="1" applyNumberFormat="1" applyFont="1" applyFill="1" applyBorder="1" applyAlignment="1">
      <alignment horizontal="center" wrapText="1"/>
    </xf>
    <xf numFmtId="0" fontId="18" fillId="61" borderId="0" xfId="21230" applyNumberFormat="1" applyFont="1" applyFill="1" applyAlignment="1">
      <alignment horizontal="center" wrapText="1"/>
    </xf>
    <xf numFmtId="0" fontId="18" fillId="61" borderId="109" xfId="21230" quotePrefix="1" applyNumberFormat="1" applyFont="1" applyFill="1" applyBorder="1" applyAlignment="1">
      <alignment horizontal="center" wrapText="1"/>
    </xf>
    <xf numFmtId="0" fontId="232" fillId="61" borderId="0" xfId="21230" applyNumberFormat="1" applyFill="1" applyAlignment="1"/>
    <xf numFmtId="174" fontId="0" fillId="61" borderId="0" xfId="21231" applyNumberFormat="1" applyFont="1" applyFill="1" applyAlignment="1"/>
    <xf numFmtId="174" fontId="232" fillId="61" borderId="0" xfId="21230" applyNumberFormat="1" applyFill="1" applyAlignment="1"/>
    <xf numFmtId="0" fontId="18" fillId="61" borderId="21" xfId="21230" applyNumberFormat="1" applyFont="1" applyFill="1" applyBorder="1" applyAlignment="1"/>
    <xf numFmtId="174" fontId="18" fillId="61" borderId="21" xfId="21231" applyNumberFormat="1" applyFont="1" applyFill="1" applyBorder="1" applyAlignment="1"/>
    <xf numFmtId="10" fontId="18" fillId="0" borderId="21" xfId="21232" applyFont="1" applyBorder="1"/>
    <xf numFmtId="0" fontId="13" fillId="61" borderId="0" xfId="21230" applyNumberFormat="1" applyFont="1" applyFill="1" applyBorder="1" applyAlignment="1"/>
    <xf numFmtId="10" fontId="13" fillId="0" borderId="0" xfId="21232" applyFont="1" applyBorder="1"/>
    <xf numFmtId="183" fontId="0" fillId="61" borderId="0" xfId="21233" applyNumberFormat="1" applyFont="1" applyFill="1" applyAlignment="1"/>
    <xf numFmtId="0" fontId="18" fillId="91" borderId="21" xfId="21230" applyNumberFormat="1" applyFont="1" applyFill="1" applyBorder="1" applyAlignment="1"/>
    <xf numFmtId="174" fontId="18" fillId="91" borderId="21" xfId="21231" applyNumberFormat="1" applyFont="1" applyFill="1" applyBorder="1" applyAlignment="1"/>
    <xf numFmtId="0" fontId="18" fillId="61" borderId="109" xfId="21230" applyNumberFormat="1" applyFont="1" applyFill="1" applyBorder="1" applyAlignment="1"/>
    <xf numFmtId="174" fontId="18" fillId="61" borderId="109" xfId="21231" applyNumberFormat="1" applyFont="1" applyFill="1" applyBorder="1" applyAlignment="1"/>
    <xf numFmtId="0" fontId="232" fillId="61" borderId="109" xfId="21230" applyNumberFormat="1" applyFill="1" applyBorder="1" applyAlignment="1"/>
    <xf numFmtId="174" fontId="0" fillId="61" borderId="109" xfId="21231" applyNumberFormat="1" applyFont="1" applyFill="1" applyBorder="1" applyAlignment="1"/>
    <xf numFmtId="0" fontId="232" fillId="61" borderId="21" xfId="21230" applyNumberFormat="1" applyFill="1" applyBorder="1" applyAlignment="1"/>
    <xf numFmtId="0" fontId="232" fillId="61" borderId="21" xfId="21230" quotePrefix="1" applyNumberFormat="1" applyFill="1" applyBorder="1" applyAlignment="1">
      <alignment horizontal="left"/>
    </xf>
    <xf numFmtId="174" fontId="0" fillId="61" borderId="21" xfId="21231" applyNumberFormat="1" applyFont="1" applyFill="1" applyBorder="1" applyAlignment="1"/>
    <xf numFmtId="43" fontId="18" fillId="61" borderId="109" xfId="21233" applyFont="1" applyFill="1" applyBorder="1" applyAlignment="1"/>
    <xf numFmtId="43" fontId="18" fillId="61" borderId="21" xfId="21233" applyFont="1" applyFill="1" applyBorder="1" applyAlignment="1"/>
    <xf numFmtId="0" fontId="232" fillId="61" borderId="0" xfId="21230" applyNumberFormat="1" applyFill="1" applyAlignment="1">
      <alignment horizontal="center"/>
    </xf>
    <xf numFmtId="0" fontId="18" fillId="61" borderId="109" xfId="21230" applyNumberFormat="1" applyFont="1" applyFill="1" applyBorder="1" applyAlignment="1">
      <alignment horizontal="center"/>
    </xf>
    <xf numFmtId="0" fontId="18" fillId="61" borderId="21" xfId="21230" applyNumberFormat="1" applyFont="1" applyFill="1" applyBorder="1" applyAlignment="1">
      <alignment horizontal="center"/>
    </xf>
    <xf numFmtId="0" fontId="18" fillId="61" borderId="0" xfId="21230" applyNumberFormat="1" applyFont="1" applyFill="1" applyAlignment="1">
      <alignment horizontal="center" vertical="center" wrapText="1"/>
    </xf>
    <xf numFmtId="0" fontId="18" fillId="61" borderId="0" xfId="21230" applyNumberFormat="1" applyFont="1" applyFill="1" applyAlignment="1">
      <alignment horizontal="center" vertical="center"/>
    </xf>
    <xf numFmtId="44" fontId="232" fillId="61" borderId="0" xfId="21230" applyNumberFormat="1" applyFill="1" applyAlignment="1"/>
    <xf numFmtId="41" fontId="232" fillId="61" borderId="0" xfId="21230" applyNumberFormat="1" applyFill="1" applyAlignment="1"/>
    <xf numFmtId="225" fontId="0" fillId="61" borderId="0" xfId="21231" applyNumberFormat="1" applyFont="1" applyFill="1" applyAlignment="1"/>
    <xf numFmtId="225" fontId="18" fillId="61" borderId="109" xfId="21231" applyNumberFormat="1" applyFont="1" applyFill="1" applyBorder="1" applyAlignment="1"/>
    <xf numFmtId="173" fontId="18" fillId="61" borderId="109" xfId="21233" applyNumberFormat="1" applyFont="1" applyFill="1" applyBorder="1" applyAlignment="1"/>
    <xf numFmtId="0" fontId="8" fillId="0" borderId="0" xfId="0" applyNumberFormat="1" applyFont="1" applyFill="1" applyAlignment="1">
      <alignment horizontal="center"/>
    </xf>
    <xf numFmtId="0" fontId="18" fillId="0" borderId="49" xfId="0" applyNumberFormat="1" applyFont="1" applyFill="1" applyBorder="1" applyAlignment="1">
      <alignment horizontal="center" vertical="center" wrapText="1"/>
    </xf>
    <xf numFmtId="173" fontId="13" fillId="0" borderId="51" xfId="0" applyNumberFormat="1" applyFont="1" applyFill="1" applyBorder="1" applyAlignment="1"/>
    <xf numFmtId="173" fontId="7" fillId="0" borderId="0" xfId="1" applyNumberFormat="1" applyFont="1" applyFill="1" applyAlignment="1">
      <alignment horizontal="right"/>
    </xf>
    <xf numFmtId="174" fontId="7" fillId="0" borderId="0" xfId="21227" applyNumberFormat="1" applyFont="1" applyFill="1" applyAlignment="1"/>
    <xf numFmtId="0" fontId="8" fillId="0" borderId="0" xfId="0" applyNumberFormat="1" applyFont="1" applyAlignment="1">
      <alignment horizontal="center"/>
    </xf>
    <xf numFmtId="174" fontId="7" fillId="0" borderId="20" xfId="21227" applyNumberFormat="1" applyFont="1" applyFill="1" applyBorder="1" applyAlignment="1"/>
    <xf numFmtId="17" fontId="7" fillId="0" borderId="0" xfId="0" applyNumberFormat="1" applyFont="1" applyAlignment="1"/>
    <xf numFmtId="10" fontId="9" fillId="0" borderId="0" xfId="0" applyNumberFormat="1" applyFont="1" applyFill="1" applyAlignment="1">
      <alignment horizontal="center"/>
    </xf>
    <xf numFmtId="42" fontId="7" fillId="0" borderId="84" xfId="0" applyNumberFormat="1" applyFont="1" applyFill="1" applyBorder="1" applyAlignment="1"/>
    <xf numFmtId="42" fontId="7" fillId="0" borderId="48" xfId="0" applyNumberFormat="1" applyFont="1" applyBorder="1" applyAlignment="1"/>
    <xf numFmtId="42" fontId="7" fillId="0" borderId="84" xfId="0" applyNumberFormat="1" applyFont="1" applyFill="1" applyBorder="1" applyAlignment="1" applyProtection="1">
      <protection locked="0"/>
    </xf>
    <xf numFmtId="15" fontId="7" fillId="0" borderId="0" xfId="0" applyNumberFormat="1" applyFont="1" applyFill="1" applyAlignment="1">
      <alignment vertical="top"/>
    </xf>
    <xf numFmtId="37" fontId="7" fillId="0" borderId="84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42" fontId="7" fillId="0" borderId="0" xfId="0" applyNumberFormat="1" applyFont="1" applyBorder="1" applyAlignment="1" applyProtection="1">
      <protection locked="0"/>
    </xf>
    <xf numFmtId="41" fontId="7" fillId="0" borderId="48" xfId="0" applyNumberFormat="1" applyFont="1" applyBorder="1" applyAlignment="1"/>
    <xf numFmtId="174" fontId="5" fillId="0" borderId="40" xfId="21227" applyNumberFormat="1" applyFont="1" applyBorder="1" applyAlignment="1"/>
    <xf numFmtId="174" fontId="5" fillId="0" borderId="21" xfId="21227" applyNumberFormat="1" applyFont="1" applyBorder="1" applyAlignment="1"/>
    <xf numFmtId="174" fontId="7" fillId="0" borderId="104" xfId="21227" applyNumberFormat="1" applyFont="1" applyFill="1" applyBorder="1" applyAlignment="1"/>
    <xf numFmtId="174" fontId="7" fillId="0" borderId="0" xfId="21227" applyNumberFormat="1" applyFont="1" applyAlignment="1" applyProtection="1">
      <protection locked="0"/>
    </xf>
    <xf numFmtId="0" fontId="7" fillId="0" borderId="6" xfId="0" applyNumberFormat="1" applyFont="1" applyFill="1" applyBorder="1" applyAlignment="1">
      <alignment horizontal="left"/>
    </xf>
    <xf numFmtId="43" fontId="7" fillId="0" borderId="0" xfId="0" applyNumberFormat="1" applyFont="1" applyFill="1" applyAlignment="1" applyProtection="1">
      <alignment horizontal="right"/>
      <protection locked="0"/>
    </xf>
    <xf numFmtId="43" fontId="7" fillId="0" borderId="0" xfId="0" applyNumberFormat="1" applyFont="1" applyFill="1" applyBorder="1" applyAlignment="1" applyProtection="1">
      <alignment horizontal="left"/>
      <protection locked="0"/>
    </xf>
    <xf numFmtId="174" fontId="7" fillId="0" borderId="48" xfId="21227" applyNumberFormat="1" applyFont="1" applyFill="1" applyBorder="1" applyAlignment="1"/>
    <xf numFmtId="0" fontId="233" fillId="0" borderId="0" xfId="0" applyNumberFormat="1" applyFont="1" applyAlignment="1"/>
    <xf numFmtId="174" fontId="221" fillId="0" borderId="0" xfId="21227" applyNumberFormat="1" applyFont="1"/>
    <xf numFmtId="42" fontId="7" fillId="0" borderId="0" xfId="0" applyNumberFormat="1" applyFont="1">
      <alignment horizontal="left" wrapText="1"/>
    </xf>
    <xf numFmtId="41" fontId="7" fillId="0" borderId="0" xfId="0" applyNumberFormat="1" applyFont="1">
      <alignment horizontal="left" wrapText="1"/>
    </xf>
    <xf numFmtId="41" fontId="7" fillId="0" borderId="47" xfId="0" applyNumberFormat="1" applyFont="1" applyBorder="1">
      <alignment horizontal="left" wrapText="1"/>
    </xf>
    <xf numFmtId="41" fontId="28" fillId="0" borderId="0" xfId="0" applyNumberFormat="1" applyFont="1">
      <alignment horizontal="left" wrapText="1"/>
    </xf>
    <xf numFmtId="42" fontId="7" fillId="0" borderId="105" xfId="0" applyNumberFormat="1" applyFont="1" applyBorder="1">
      <alignment horizontal="left" wrapText="1"/>
    </xf>
    <xf numFmtId="174" fontId="7" fillId="0" borderId="0" xfId="21227" applyNumberFormat="1" applyFont="1" applyBorder="1" applyAlignment="1">
      <alignment horizontal="left" wrapText="1"/>
    </xf>
    <xf numFmtId="178" fontId="7" fillId="0" borderId="0" xfId="0" applyNumberFormat="1" applyFont="1" applyAlignment="1"/>
    <xf numFmtId="173" fontId="7" fillId="0" borderId="104" xfId="1" applyNumberFormat="1" applyFont="1" applyFill="1" applyBorder="1" applyAlignment="1">
      <alignment horizontal="left" wrapText="1"/>
    </xf>
    <xf numFmtId="0" fontId="227" fillId="0" borderId="0" xfId="0" applyNumberFormat="1" applyFont="1" applyFill="1" applyAlignment="1"/>
    <xf numFmtId="224" fontId="8" fillId="0" borderId="16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centerContinuous"/>
    </xf>
    <xf numFmtId="0" fontId="13" fillId="0" borderId="6" xfId="0" applyNumberFormat="1" applyFont="1" applyFill="1" applyBorder="1" applyAlignment="1">
      <alignment horizontal="center"/>
    </xf>
    <xf numFmtId="0" fontId="13" fillId="0" borderId="50" xfId="0" applyNumberFormat="1" applyFont="1" applyFill="1" applyBorder="1" applyAlignment="1"/>
    <xf numFmtId="0" fontId="13" fillId="0" borderId="50" xfId="0" quotePrefix="1" applyNumberFormat="1" applyFont="1" applyFill="1" applyBorder="1" applyAlignment="1">
      <alignment horizontal="center"/>
    </xf>
    <xf numFmtId="3" fontId="13" fillId="0" borderId="50" xfId="0" applyNumberFormat="1" applyFont="1" applyFill="1" applyBorder="1" applyAlignment="1"/>
    <xf numFmtId="0" fontId="13" fillId="0" borderId="18" xfId="0" applyNumberFormat="1" applyFont="1" applyFill="1" applyBorder="1" applyAlignment="1"/>
    <xf numFmtId="0" fontId="13" fillId="0" borderId="18" xfId="0" quotePrefix="1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/>
    <xf numFmtId="0" fontId="13" fillId="0" borderId="17" xfId="0" applyNumberFormat="1" applyFont="1" applyFill="1" applyBorder="1" applyAlignment="1"/>
    <xf numFmtId="0" fontId="13" fillId="0" borderId="17" xfId="0" quotePrefix="1" applyNumberFormat="1" applyFont="1" applyFill="1" applyBorder="1" applyAlignment="1">
      <alignment horizontal="center"/>
    </xf>
    <xf numFmtId="3" fontId="13" fillId="0" borderId="17" xfId="0" applyNumberFormat="1" applyFont="1" applyFill="1" applyBorder="1" applyAlignment="1"/>
    <xf numFmtId="10" fontId="13" fillId="0" borderId="17" xfId="0" applyNumberFormat="1" applyFont="1" applyFill="1" applyBorder="1" applyAlignment="1"/>
    <xf numFmtId="0" fontId="13" fillId="0" borderId="49" xfId="0" applyNumberFormat="1" applyFont="1" applyFill="1" applyBorder="1" applyAlignment="1"/>
    <xf numFmtId="10" fontId="13" fillId="0" borderId="49" xfId="0" applyNumberFormat="1" applyFont="1" applyFill="1" applyBorder="1" applyAlignment="1"/>
    <xf numFmtId="173" fontId="13" fillId="0" borderId="49" xfId="0" applyNumberFormat="1" applyFont="1" applyFill="1" applyBorder="1" applyAlignment="1"/>
    <xf numFmtId="0" fontId="13" fillId="0" borderId="43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9" fontId="13" fillId="0" borderId="0" xfId="0" applyNumberFormat="1" applyFont="1" applyFill="1" applyAlignment="1"/>
    <xf numFmtId="43" fontId="13" fillId="0" borderId="0" xfId="1" applyFont="1" applyFill="1" applyAlignment="1"/>
    <xf numFmtId="0" fontId="13" fillId="0" borderId="25" xfId="0" applyNumberFormat="1" applyFont="1" applyFill="1" applyBorder="1" applyAlignment="1"/>
    <xf numFmtId="0" fontId="13" fillId="0" borderId="42" xfId="0" applyNumberFormat="1" applyFont="1" applyFill="1" applyBorder="1" applyAlignment="1"/>
    <xf numFmtId="0" fontId="13" fillId="0" borderId="41" xfId="0" applyNumberFormat="1" applyFont="1" applyFill="1" applyBorder="1" applyAlignment="1"/>
    <xf numFmtId="0" fontId="13" fillId="0" borderId="26" xfId="0" applyNumberFormat="1" applyFont="1" applyFill="1" applyBorder="1" applyAlignment="1"/>
    <xf numFmtId="178" fontId="28" fillId="0" borderId="0" xfId="0" applyFont="1" applyFill="1" applyBorder="1" applyAlignment="1"/>
    <xf numFmtId="178" fontId="28" fillId="0" borderId="27" xfId="0" quotePrefix="1" applyFont="1" applyFill="1" applyBorder="1" applyAlignment="1"/>
    <xf numFmtId="178" fontId="28" fillId="0" borderId="27" xfId="0" applyFont="1" applyFill="1" applyBorder="1" applyAlignment="1"/>
    <xf numFmtId="0" fontId="13" fillId="0" borderId="26" xfId="0" applyNumberFormat="1" applyFont="1" applyFill="1" applyBorder="1" applyAlignment="1">
      <alignment horizontal="left" indent="8"/>
    </xf>
    <xf numFmtId="0" fontId="13" fillId="0" borderId="0" xfId="0" applyNumberFormat="1" applyFont="1" applyFill="1" applyBorder="1" applyAlignment="1">
      <alignment horizontal="left" indent="2"/>
    </xf>
    <xf numFmtId="0" fontId="13" fillId="0" borderId="27" xfId="0" applyNumberFormat="1" applyFont="1" applyFill="1" applyBorder="1" applyAlignment="1">
      <alignment horizontal="left" indent="2"/>
    </xf>
    <xf numFmtId="43" fontId="13" fillId="0" borderId="27" xfId="0" applyNumberFormat="1" applyFont="1" applyFill="1" applyBorder="1" applyAlignment="1">
      <alignment horizontal="left" indent="2"/>
    </xf>
    <xf numFmtId="0" fontId="13" fillId="0" borderId="28" xfId="0" applyNumberFormat="1" applyFont="1" applyFill="1" applyBorder="1" applyAlignment="1">
      <alignment horizontal="left" indent="8"/>
    </xf>
    <xf numFmtId="0" fontId="13" fillId="0" borderId="4" xfId="0" applyNumberFormat="1" applyFont="1" applyFill="1" applyBorder="1" applyAlignment="1">
      <alignment horizontal="left" indent="2"/>
    </xf>
    <xf numFmtId="43" fontId="13" fillId="0" borderId="29" xfId="0" applyNumberFormat="1" applyFont="1" applyFill="1" applyBorder="1" applyAlignment="1">
      <alignment horizontal="left" indent="2"/>
    </xf>
    <xf numFmtId="43" fontId="13" fillId="0" borderId="0" xfId="0" applyNumberFormat="1" applyFont="1" applyFill="1" applyAlignment="1">
      <alignment horizontal="left" indent="2"/>
    </xf>
    <xf numFmtId="43" fontId="13" fillId="0" borderId="16" xfId="0" applyNumberFormat="1" applyFont="1" applyFill="1" applyBorder="1" applyAlignment="1"/>
    <xf numFmtId="173" fontId="0" fillId="0" borderId="0" xfId="13423" applyNumberFormat="1" applyFont="1" applyFill="1" applyBorder="1" applyAlignment="1"/>
    <xf numFmtId="0" fontId="0" fillId="0" borderId="18" xfId="0" applyNumberFormat="1" applyFont="1" applyFill="1" applyBorder="1" applyAlignment="1"/>
    <xf numFmtId="0" fontId="0" fillId="0" borderId="17" xfId="0" applyNumberFormat="1" applyFont="1" applyFill="1" applyBorder="1" applyAlignment="1"/>
    <xf numFmtId="178" fontId="18" fillId="0" borderId="0" xfId="0" applyFont="1" applyFill="1" applyAlignment="1">
      <alignment horizontal="left"/>
    </xf>
    <xf numFmtId="0" fontId="18" fillId="0" borderId="100" xfId="14947" applyFont="1" applyFill="1" applyBorder="1" applyAlignment="1">
      <alignment horizontal="center" wrapText="1"/>
    </xf>
    <xf numFmtId="0" fontId="44" fillId="0" borderId="100" xfId="14965" applyFont="1" applyFill="1" applyBorder="1" applyAlignment="1">
      <alignment horizontal="center" wrapText="1"/>
    </xf>
    <xf numFmtId="0" fontId="44" fillId="0" borderId="100" xfId="14965" applyFont="1" applyFill="1" applyBorder="1" applyAlignment="1">
      <alignment horizontal="center"/>
    </xf>
    <xf numFmtId="178" fontId="0" fillId="0" borderId="39" xfId="0" applyFill="1" applyBorder="1" applyAlignment="1">
      <alignment horizontal="right"/>
    </xf>
    <xf numFmtId="0" fontId="13" fillId="0" borderId="102" xfId="14950" applyFont="1" applyFill="1" applyBorder="1" applyAlignment="1">
      <alignment vertical="center" wrapText="1"/>
    </xf>
    <xf numFmtId="173" fontId="213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/>
    <xf numFmtId="16" fontId="18" fillId="0" borderId="0" xfId="0" applyNumberFormat="1" applyFont="1" applyFill="1" applyAlignment="1"/>
    <xf numFmtId="173" fontId="13" fillId="0" borderId="21" xfId="0" applyNumberFormat="1" applyFont="1" applyFill="1" applyBorder="1" applyAlignment="1"/>
    <xf numFmtId="43" fontId="0" fillId="0" borderId="0" xfId="1" applyFont="1" applyFill="1" applyAlignment="1"/>
    <xf numFmtId="0" fontId="37" fillId="0" borderId="0" xfId="0" applyNumberFormat="1" applyFont="1" applyFill="1" applyAlignment="1"/>
    <xf numFmtId="5" fontId="41" fillId="0" borderId="0" xfId="0" applyNumberFormat="1" applyFont="1" applyFill="1" applyAlignment="1"/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0" fontId="8" fillId="0" borderId="0" xfId="887" applyFont="1"/>
    <xf numFmtId="0" fontId="8" fillId="0" borderId="0" xfId="15032" applyFont="1"/>
    <xf numFmtId="0" fontId="7" fillId="0" borderId="0" xfId="15032" applyFont="1"/>
    <xf numFmtId="0" fontId="8" fillId="0" borderId="0" xfId="15032" applyFont="1" applyFill="1" applyBorder="1"/>
    <xf numFmtId="0" fontId="11" fillId="0" borderId="0" xfId="887" applyFont="1" applyBorder="1"/>
    <xf numFmtId="0" fontId="8" fillId="0" borderId="0" xfId="887" applyFont="1" applyBorder="1"/>
    <xf numFmtId="0" fontId="7" fillId="0" borderId="0" xfId="15032" applyFont="1" applyFill="1" applyBorder="1"/>
    <xf numFmtId="0" fontId="11" fillId="0" borderId="0" xfId="15032" applyFont="1" applyBorder="1"/>
    <xf numFmtId="0" fontId="7" fillId="0" borderId="0" xfId="15032" applyFont="1" applyBorder="1"/>
    <xf numFmtId="0" fontId="11" fillId="0" borderId="0" xfId="15032" applyFont="1"/>
    <xf numFmtId="0" fontId="7" fillId="0" borderId="84" xfId="887" applyFont="1" applyBorder="1"/>
    <xf numFmtId="0" fontId="34" fillId="0" borderId="84" xfId="887" applyFont="1" applyBorder="1"/>
    <xf numFmtId="0" fontId="11" fillId="0" borderId="0" xfId="887" applyFont="1" applyFill="1" applyBorder="1"/>
    <xf numFmtId="0" fontId="8" fillId="0" borderId="84" xfId="887" applyFont="1" applyBorder="1"/>
    <xf numFmtId="0" fontId="7" fillId="0" borderId="84" xfId="15032" applyFont="1" applyBorder="1"/>
    <xf numFmtId="0" fontId="11" fillId="0" borderId="84" xfId="15032" applyFont="1" applyBorder="1"/>
    <xf numFmtId="0" fontId="7" fillId="0" borderId="0" xfId="15032" applyFont="1" applyAlignment="1">
      <alignment horizontal="center"/>
    </xf>
    <xf numFmtId="0" fontId="7" fillId="0" borderId="0" xfId="15032" applyFont="1" applyBorder="1" applyAlignment="1">
      <alignment horizontal="center"/>
    </xf>
    <xf numFmtId="0" fontId="8" fillId="0" borderId="0" xfId="15032" applyFont="1" applyAlignment="1">
      <alignment horizontal="center"/>
    </xf>
    <xf numFmtId="0" fontId="7" fillId="0" borderId="0" xfId="15032" applyFont="1" applyFill="1" applyBorder="1" applyAlignment="1">
      <alignment horizontal="center"/>
    </xf>
    <xf numFmtId="167" fontId="7" fillId="0" borderId="0" xfId="15032" applyNumberFormat="1" applyFont="1"/>
    <xf numFmtId="0" fontId="8" fillId="0" borderId="84" xfId="15032" applyFont="1" applyBorder="1"/>
    <xf numFmtId="0" fontId="8" fillId="0" borderId="84" xfId="15032" applyFont="1" applyBorder="1" applyAlignment="1">
      <alignment horizontal="center"/>
    </xf>
    <xf numFmtId="0" fontId="7" fillId="0" borderId="84" xfId="15032" applyFont="1" applyBorder="1" applyAlignment="1">
      <alignment horizontal="center"/>
    </xf>
    <xf numFmtId="9" fontId="7" fillId="0" borderId="0" xfId="15032" applyNumberFormat="1" applyFont="1"/>
    <xf numFmtId="0" fontId="8" fillId="0" borderId="0" xfId="15032" applyFont="1" applyBorder="1"/>
    <xf numFmtId="41" fontId="8" fillId="0" borderId="0" xfId="15032" applyNumberFormat="1" applyFont="1"/>
    <xf numFmtId="41" fontId="7" fillId="0" borderId="0" xfId="15032" applyNumberFormat="1" applyFont="1"/>
    <xf numFmtId="0" fontId="219" fillId="0" borderId="0" xfId="15032" applyFont="1"/>
    <xf numFmtId="41" fontId="11" fillId="0" borderId="0" xfId="15032" applyNumberFormat="1" applyFont="1"/>
    <xf numFmtId="10" fontId="7" fillId="0" borderId="0" xfId="15032" applyNumberFormat="1" applyFont="1"/>
    <xf numFmtId="10" fontId="7" fillId="0" borderId="0" xfId="847" applyNumberFormat="1" applyFont="1"/>
    <xf numFmtId="10" fontId="7" fillId="0" borderId="84" xfId="847" applyNumberFormat="1" applyFont="1" applyBorder="1"/>
    <xf numFmtId="226" fontId="7" fillId="0" borderId="0" xfId="15032" applyNumberFormat="1" applyFont="1"/>
    <xf numFmtId="0" fontId="7" fillId="0" borderId="0" xfId="15032" applyFont="1" applyAlignment="1">
      <alignment horizontal="right"/>
    </xf>
    <xf numFmtId="227" fontId="7" fillId="0" borderId="0" xfId="15032" applyNumberFormat="1" applyFont="1"/>
    <xf numFmtId="41" fontId="7" fillId="0" borderId="84" xfId="15032" applyNumberFormat="1" applyFont="1" applyBorder="1"/>
    <xf numFmtId="41" fontId="8" fillId="0" borderId="99" xfId="15032" applyNumberFormat="1" applyFont="1" applyBorder="1"/>
    <xf numFmtId="41" fontId="8" fillId="0" borderId="84" xfId="15032" applyNumberFormat="1" applyFont="1" applyBorder="1"/>
    <xf numFmtId="41" fontId="7" fillId="0" borderId="0" xfId="15032" applyNumberFormat="1" applyFont="1" applyFill="1" applyBorder="1"/>
    <xf numFmtId="41" fontId="11" fillId="0" borderId="84" xfId="15032" applyNumberFormat="1" applyFont="1" applyBorder="1"/>
    <xf numFmtId="44" fontId="235" fillId="0" borderId="0" xfId="15032" applyNumberFormat="1" applyFont="1" applyFill="1"/>
    <xf numFmtId="2" fontId="8" fillId="0" borderId="0" xfId="15032" quotePrefix="1" applyNumberFormat="1" applyFont="1" applyAlignment="1">
      <alignment horizontal="center"/>
    </xf>
    <xf numFmtId="2" fontId="7" fillId="0" borderId="0" xfId="15032" applyNumberFormat="1" applyFont="1" applyAlignment="1">
      <alignment horizontal="center"/>
    </xf>
    <xf numFmtId="0" fontId="7" fillId="0" borderId="2" xfId="0" applyNumberFormat="1" applyFont="1" applyFill="1" applyBorder="1" applyAlignment="1"/>
    <xf numFmtId="184" fontId="7" fillId="0" borderId="0" xfId="0" applyNumberFormat="1" applyFont="1" applyFill="1" applyBorder="1" applyAlignment="1"/>
    <xf numFmtId="42" fontId="0" fillId="0" borderId="0" xfId="0" applyNumberFormat="1" applyFill="1" applyBorder="1" applyAlignment="1"/>
    <xf numFmtId="0" fontId="0" fillId="0" borderId="0" xfId="0" applyNumberFormat="1" applyFill="1" applyBorder="1" applyAlignment="1"/>
    <xf numFmtId="178" fontId="7" fillId="0" borderId="0" xfId="0" applyFont="1" applyFill="1" applyBorder="1">
      <alignment horizontal="left" wrapText="1"/>
    </xf>
    <xf numFmtId="15" fontId="7" fillId="0" borderId="0" xfId="0" applyNumberFormat="1" applyFont="1" applyFill="1" applyBorder="1" applyAlignment="1"/>
    <xf numFmtId="0" fontId="8" fillId="0" borderId="0" xfId="0" quotePrefix="1" applyNumberFormat="1" applyFont="1" applyFill="1" applyBorder="1" applyAlignment="1">
      <alignment horizontal="left"/>
    </xf>
    <xf numFmtId="0" fontId="7" fillId="0" borderId="0" xfId="0" applyNumberFormat="1" applyFont="1" applyFill="1" applyAlignment="1" applyProtection="1">
      <alignment horizontal="left" indent="1"/>
      <protection locked="0"/>
    </xf>
    <xf numFmtId="224" fontId="8" fillId="0" borderId="0" xfId="0" applyNumberFormat="1" applyFont="1" applyFill="1" applyBorder="1" applyAlignment="1">
      <alignment horizontal="center"/>
    </xf>
    <xf numFmtId="0" fontId="236" fillId="0" borderId="0" xfId="0" applyNumberFormat="1" applyFont="1" applyFill="1" applyAlignment="1">
      <alignment horizontal="center"/>
    </xf>
    <xf numFmtId="2" fontId="236" fillId="0" borderId="0" xfId="0" applyNumberFormat="1" applyFont="1" applyFill="1" applyAlignment="1" applyProtection="1">
      <alignment horizontal="center"/>
      <protection locked="0"/>
    </xf>
    <xf numFmtId="42" fontId="7" fillId="92" borderId="0" xfId="0" applyNumberFormat="1" applyFont="1" applyFill="1" applyAlignment="1" applyProtection="1">
      <alignment horizontal="right"/>
      <protection locked="0"/>
    </xf>
    <xf numFmtId="43" fontId="7" fillId="0" borderId="0" xfId="15032" applyNumberFormat="1" applyFont="1"/>
    <xf numFmtId="173" fontId="7" fillId="92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"/>
    </xf>
    <xf numFmtId="9" fontId="7" fillId="0" borderId="0" xfId="0" applyNumberFormat="1" applyFont="1" applyBorder="1" applyAlignment="1"/>
    <xf numFmtId="41" fontId="7" fillId="0" borderId="0" xfId="15032" applyNumberFormat="1" applyFont="1" applyFill="1"/>
    <xf numFmtId="178" fontId="11" fillId="0" borderId="0" xfId="0" applyFont="1" applyFill="1" applyAlignment="1">
      <alignment horizontal="left" indent="1"/>
    </xf>
    <xf numFmtId="41" fontId="7" fillId="0" borderId="0" xfId="890" applyNumberFormat="1" applyFont="1" applyFill="1" applyBorder="1" applyProtection="1">
      <protection locked="0"/>
    </xf>
    <xf numFmtId="173" fontId="217" fillId="0" borderId="0" xfId="0" applyNumberFormat="1" applyFont="1" applyFill="1" applyAlignment="1"/>
    <xf numFmtId="42" fontId="8" fillId="0" borderId="21" xfId="0" applyNumberFormat="1" applyFont="1" applyFill="1" applyBorder="1" applyAlignment="1"/>
    <xf numFmtId="41" fontId="7" fillId="0" borderId="84" xfId="890" applyNumberFormat="1" applyFont="1" applyFill="1" applyBorder="1" applyProtection="1">
      <protection locked="0"/>
    </xf>
    <xf numFmtId="173" fontId="217" fillId="0" borderId="84" xfId="0" applyNumberFormat="1" applyFont="1" applyFill="1" applyBorder="1" applyAlignment="1"/>
    <xf numFmtId="178" fontId="8" fillId="0" borderId="0" xfId="0" applyFont="1" applyFill="1" applyAlignment="1">
      <alignment horizontal="left"/>
    </xf>
    <xf numFmtId="9" fontId="8" fillId="0" borderId="0" xfId="0" applyNumberFormat="1" applyFont="1" applyFill="1" applyAlignment="1">
      <alignment horizontal="center"/>
    </xf>
    <xf numFmtId="173" fontId="237" fillId="0" borderId="0" xfId="0" applyNumberFormat="1" applyFont="1" applyFill="1" applyAlignment="1"/>
    <xf numFmtId="41" fontId="8" fillId="0" borderId="0" xfId="0" applyNumberFormat="1" applyFont="1" applyFill="1" applyBorder="1" applyAlignment="1"/>
    <xf numFmtId="41" fontId="8" fillId="0" borderId="0" xfId="0" applyNumberFormat="1" applyFont="1" applyFill="1" applyAlignment="1"/>
    <xf numFmtId="0" fontId="238" fillId="0" borderId="0" xfId="15032" applyFont="1"/>
    <xf numFmtId="2" fontId="238" fillId="0" borderId="0" xfId="15032" applyNumberFormat="1" applyFont="1" applyAlignment="1">
      <alignment horizontal="center"/>
    </xf>
    <xf numFmtId="0" fontId="239" fillId="0" borderId="0" xfId="15032" applyFont="1" applyBorder="1"/>
    <xf numFmtId="41" fontId="238" fillId="0" borderId="0" xfId="15032" applyNumberFormat="1" applyFont="1"/>
    <xf numFmtId="0" fontId="239" fillId="0" borderId="0" xfId="15032" applyFont="1"/>
    <xf numFmtId="41" fontId="238" fillId="0" borderId="0" xfId="15032" applyNumberFormat="1" applyFont="1" applyFill="1" applyBorder="1"/>
    <xf numFmtId="0" fontId="238" fillId="0" borderId="0" xfId="15032" applyFont="1" applyBorder="1"/>
    <xf numFmtId="41" fontId="239" fillId="0" borderId="0" xfId="15032" applyNumberFormat="1" applyFont="1"/>
    <xf numFmtId="0" fontId="240" fillId="0" borderId="0" xfId="15032" applyFont="1"/>
    <xf numFmtId="10" fontId="7" fillId="92" borderId="0" xfId="0" applyNumberFormat="1" applyFont="1" applyFill="1" applyBorder="1" applyAlignment="1"/>
    <xf numFmtId="10" fontId="7" fillId="92" borderId="0" xfId="0" applyNumberFormat="1" applyFont="1" applyFill="1" applyAlignment="1"/>
    <xf numFmtId="44" fontId="7" fillId="0" borderId="0" xfId="15032" applyNumberFormat="1" applyFont="1"/>
    <xf numFmtId="43" fontId="11" fillId="0" borderId="0" xfId="15032" applyNumberFormat="1" applyFont="1"/>
    <xf numFmtId="0" fontId="0" fillId="0" borderId="0" xfId="0" applyNumberFormat="1" applyFill="1" applyAlignment="1">
      <alignment horizontal="right"/>
    </xf>
    <xf numFmtId="0" fontId="241" fillId="0" borderId="0" xfId="0" applyNumberFormat="1" applyFont="1" applyFill="1" applyAlignment="1"/>
    <xf numFmtId="0" fontId="239" fillId="0" borderId="0" xfId="0" applyNumberFormat="1" applyFont="1" applyFill="1" applyAlignment="1" applyProtection="1">
      <alignment horizontal="centerContinuous"/>
      <protection locked="0"/>
    </xf>
    <xf numFmtId="15" fontId="239" fillId="0" borderId="0" xfId="0" applyNumberFormat="1" applyFont="1" applyFill="1" applyAlignment="1">
      <alignment horizontal="centerContinuous"/>
    </xf>
    <xf numFmtId="0" fontId="239" fillId="0" borderId="0" xfId="0" applyNumberFormat="1" applyFont="1" applyFill="1" applyAlignment="1" applyProtection="1">
      <alignment horizontal="center"/>
      <protection locked="0"/>
    </xf>
    <xf numFmtId="0" fontId="239" fillId="0" borderId="0" xfId="0" applyNumberFormat="1" applyFont="1" applyFill="1" applyAlignment="1">
      <alignment horizontal="centerContinuous"/>
    </xf>
    <xf numFmtId="3" fontId="239" fillId="0" borderId="0" xfId="0" applyNumberFormat="1" applyFont="1" applyFill="1" applyAlignment="1">
      <alignment horizontal="centerContinuous"/>
    </xf>
    <xf numFmtId="0" fontId="239" fillId="0" borderId="0" xfId="0" quotePrefix="1" applyNumberFormat="1" applyFont="1" applyFill="1" applyBorder="1" applyAlignment="1">
      <alignment horizontal="centerContinuous"/>
    </xf>
    <xf numFmtId="0" fontId="239" fillId="0" borderId="0" xfId="0" applyNumberFormat="1" applyFont="1" applyFill="1" applyAlignment="1">
      <alignment horizontal="centerContinuous" vertical="center"/>
    </xf>
    <xf numFmtId="178" fontId="239" fillId="0" borderId="0" xfId="0" applyFont="1" applyFill="1" applyAlignment="1">
      <alignment horizontal="centerContinuous"/>
    </xf>
    <xf numFmtId="0" fontId="238" fillId="0" borderId="0" xfId="0" applyNumberFormat="1" applyFont="1" applyFill="1" applyAlignment="1">
      <alignment horizontal="centerContinuous"/>
    </xf>
    <xf numFmtId="0" fontId="238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0" fontId="59" fillId="0" borderId="0" xfId="0" applyNumberFormat="1" applyFont="1" applyFill="1" applyAlignment="1">
      <alignment horizontal="center"/>
    </xf>
    <xf numFmtId="0" fontId="239" fillId="0" borderId="0" xfId="0" applyNumberFormat="1" applyFont="1" applyFill="1" applyAlignment="1" applyProtection="1">
      <alignment horizontal="center"/>
      <protection locked="0"/>
    </xf>
    <xf numFmtId="0" fontId="239" fillId="0" borderId="0" xfId="0" applyNumberFormat="1" applyFont="1" applyAlignment="1">
      <alignment horizontal="center"/>
    </xf>
    <xf numFmtId="0" fontId="18" fillId="61" borderId="0" xfId="21230" applyNumberFormat="1" applyFont="1" applyFill="1" applyAlignment="1">
      <alignment horizontal="center"/>
    </xf>
    <xf numFmtId="0" fontId="18" fillId="61" borderId="0" xfId="21230" applyNumberFormat="1" applyFont="1" applyFill="1" applyAlignment="1"/>
    <xf numFmtId="0" fontId="206" fillId="0" borderId="1" xfId="13423" applyNumberFormat="1" applyFont="1" applyFill="1" applyBorder="1" applyAlignment="1">
      <alignment horizontal="center"/>
    </xf>
    <xf numFmtId="0" fontId="206" fillId="0" borderId="23" xfId="13423" applyNumberFormat="1" applyFont="1" applyFill="1" applyBorder="1" applyAlignment="1">
      <alignment horizontal="center"/>
    </xf>
    <xf numFmtId="0" fontId="206" fillId="0" borderId="22" xfId="13423" applyNumberFormat="1" applyFont="1" applyFill="1" applyBorder="1" applyAlignment="1">
      <alignment horizontal="center"/>
    </xf>
    <xf numFmtId="37" fontId="18" fillId="0" borderId="0" xfId="0" applyNumberFormat="1" applyFont="1" applyAlignment="1">
      <alignment horizontal="center"/>
    </xf>
  </cellXfs>
  <cellStyles count="21294">
    <cellStyle name="_x0013_" xfId="892"/>
    <cellStyle name=" 1" xfId="893"/>
    <cellStyle name=" 1 2" xfId="894"/>
    <cellStyle name=" 1 2 2" xfId="895"/>
    <cellStyle name=" 1 2 3" xfId="896"/>
    <cellStyle name=" 1 3" xfId="897"/>
    <cellStyle name=" 1 3 2" xfId="898"/>
    <cellStyle name=" 1 4" xfId="899"/>
    <cellStyle name=" 1 4 2" xfId="900"/>
    <cellStyle name=" 1 5" xfId="901"/>
    <cellStyle name=" 1 6" xfId="902"/>
    <cellStyle name=" 1 6 2" xfId="903"/>
    <cellStyle name=" 1 7" xfId="904"/>
    <cellStyle name=" 1 7 2" xfId="905"/>
    <cellStyle name="_x0013_ 10" xfId="906"/>
    <cellStyle name="_x0013_ 10 2" xfId="907"/>
    <cellStyle name="_x0013_ 11" xfId="908"/>
    <cellStyle name="_x0013_ 11 2" xfId="909"/>
    <cellStyle name="_x0013_ 12" xfId="910"/>
    <cellStyle name="_x0013_ 12 2" xfId="911"/>
    <cellStyle name="_x0013_ 13" xfId="912"/>
    <cellStyle name="_x0013_ 13 2" xfId="913"/>
    <cellStyle name="_x0013_ 14" xfId="914"/>
    <cellStyle name="_x0013_ 14 2" xfId="915"/>
    <cellStyle name="_x0013_ 15" xfId="916"/>
    <cellStyle name="_x0013_ 15 2" xfId="917"/>
    <cellStyle name="_x0013_ 16" xfId="918"/>
    <cellStyle name="_x0013_ 17" xfId="919"/>
    <cellStyle name="_x0013_ 18" xfId="920"/>
    <cellStyle name="_x0013_ 19" xfId="921"/>
    <cellStyle name="_x0013_ 2" xfId="922"/>
    <cellStyle name="_x0013_ 2 2" xfId="923"/>
    <cellStyle name="_x0013_ 2 3" xfId="924"/>
    <cellStyle name="_x0013_ 20" xfId="925"/>
    <cellStyle name="_x0013_ 21" xfId="926"/>
    <cellStyle name="_x0013_ 22" xfId="927"/>
    <cellStyle name="_x0013_ 23" xfId="928"/>
    <cellStyle name="_x0013_ 24" xfId="929"/>
    <cellStyle name="_x0013_ 25" xfId="930"/>
    <cellStyle name="_x0013_ 26" xfId="931"/>
    <cellStyle name="_x0013_ 27" xfId="932"/>
    <cellStyle name="_x0013_ 28" xfId="933"/>
    <cellStyle name="_x0013_ 29" xfId="934"/>
    <cellStyle name="_x0013_ 3" xfId="935"/>
    <cellStyle name="_x0013_ 3 2" xfId="936"/>
    <cellStyle name="_x0013_ 30" xfId="937"/>
    <cellStyle name="_x0013_ 31" xfId="938"/>
    <cellStyle name="_x0013_ 32" xfId="939"/>
    <cellStyle name="_x0013_ 33" xfId="940"/>
    <cellStyle name="_x0013_ 34" xfId="941"/>
    <cellStyle name="_x0013_ 35" xfId="942"/>
    <cellStyle name="_x0013_ 36" xfId="943"/>
    <cellStyle name="_x0013_ 37" xfId="944"/>
    <cellStyle name="_x0013_ 38" xfId="945"/>
    <cellStyle name="_x0013_ 39" xfId="946"/>
    <cellStyle name="_x0013_ 4" xfId="947"/>
    <cellStyle name="_x0013_ 4 2" xfId="948"/>
    <cellStyle name="_x0013_ 40" xfId="949"/>
    <cellStyle name="_x0013_ 41" xfId="950"/>
    <cellStyle name="_x0013_ 42" xfId="951"/>
    <cellStyle name="_x0013_ 43" xfId="952"/>
    <cellStyle name="_x0013_ 44" xfId="953"/>
    <cellStyle name="_x0013_ 45" xfId="954"/>
    <cellStyle name="_x0013_ 46" xfId="955"/>
    <cellStyle name="_x0013_ 47" xfId="956"/>
    <cellStyle name="_x0013_ 48" xfId="957"/>
    <cellStyle name="_x0013_ 49" xfId="958"/>
    <cellStyle name="_x0013_ 5" xfId="959"/>
    <cellStyle name="_x0013_ 5 2" xfId="960"/>
    <cellStyle name="_x0013_ 50" xfId="961"/>
    <cellStyle name="_x0013_ 51" xfId="962"/>
    <cellStyle name="_x0013_ 6" xfId="963"/>
    <cellStyle name="_x0013_ 6 2" xfId="964"/>
    <cellStyle name="_x0013_ 7" xfId="965"/>
    <cellStyle name="_x0013_ 7 2" xfId="966"/>
    <cellStyle name="_x0013_ 8" xfId="967"/>
    <cellStyle name="_x0013_ 8 2" xfId="968"/>
    <cellStyle name="_x0013_ 9" xfId="969"/>
    <cellStyle name="_x0013_ 9 2" xfId="970"/>
    <cellStyle name="_09GRC Gas Transport For Review" xfId="971"/>
    <cellStyle name="_09GRC Gas Transport For Review 2" xfId="972"/>
    <cellStyle name="_09GRC Gas Transport For Review 2 2" xfId="973"/>
    <cellStyle name="_09GRC Gas Transport For Review 3" xfId="974"/>
    <cellStyle name="_09GRC Gas Transport For Review_Book4" xfId="975"/>
    <cellStyle name="_09GRC Gas Transport For Review_Book4 2" xfId="976"/>
    <cellStyle name="_09GRC Gas Transport For Review_Book4 2 2" xfId="977"/>
    <cellStyle name="_09GRC Gas Transport For Review_Book4 3" xfId="978"/>
    <cellStyle name="_09GRC Gas Transport For Review_Book4_DEM-WP(C) ENERG10C--ctn Mid-C_042010 2010GRC" xfId="979"/>
    <cellStyle name="_09GRC Gas Transport For Review_DEM-WP(C) ENERG10C--ctn Mid-C_042010 2010GRC" xfId="980"/>
    <cellStyle name="_x0013__16.07E Wild Horse Wind Expansionwrkingfile" xfId="981"/>
    <cellStyle name="_x0013__16.07E Wild Horse Wind Expansionwrkingfile 2" xfId="982"/>
    <cellStyle name="_x0013__16.07E Wild Horse Wind Expansionwrkingfile 2 2" xfId="983"/>
    <cellStyle name="_x0013__16.07E Wild Horse Wind Expansionwrkingfile 3" xfId="984"/>
    <cellStyle name="_x0013__16.07E Wild Horse Wind Expansionwrkingfile SF" xfId="985"/>
    <cellStyle name="_x0013__16.07E Wild Horse Wind Expansionwrkingfile SF 2" xfId="986"/>
    <cellStyle name="_x0013__16.07E Wild Horse Wind Expansionwrkingfile SF 2 2" xfId="987"/>
    <cellStyle name="_x0013__16.07E Wild Horse Wind Expansionwrkingfile SF 3" xfId="988"/>
    <cellStyle name="_x0013__16.07E Wild Horse Wind Expansionwrkingfile SF_DEM-WP(C) ENERG10C--ctn Mid-C_042010 2010GRC" xfId="989"/>
    <cellStyle name="_x0013__16.07E Wild Horse Wind Expansionwrkingfile_DEM-WP(C) ENERG10C--ctn Mid-C_042010 2010GRC" xfId="990"/>
    <cellStyle name="_x0013__16.37E Wild Horse Expansion DeferralRevwrkingfile SF" xfId="991"/>
    <cellStyle name="_x0013__16.37E Wild Horse Expansion DeferralRevwrkingfile SF 2" xfId="992"/>
    <cellStyle name="_x0013__16.37E Wild Horse Expansion DeferralRevwrkingfile SF 2 2" xfId="993"/>
    <cellStyle name="_x0013__16.37E Wild Horse Expansion DeferralRevwrkingfile SF 3" xfId="994"/>
    <cellStyle name="_x0013__16.37E Wild Horse Expansion DeferralRevwrkingfile SF_DEM-WP(C) ENERG10C--ctn Mid-C_042010 2010GRC" xfId="995"/>
    <cellStyle name="_2008 Strat Plan Power Costs Forecast V2 (2009 Update)" xfId="996"/>
    <cellStyle name="_2008 Strat Plan Power Costs Forecast V2 (2009 Update) 2" xfId="997"/>
    <cellStyle name="_2008 Strat Plan Power Costs Forecast V2 (2009 Update) 2 2" xfId="998"/>
    <cellStyle name="_2008 Strat Plan Power Costs Forecast V2 (2009 Update) 3" xfId="999"/>
    <cellStyle name="_2008 Strat Plan Power Costs Forecast V2 (2009 Update)_DEM-WP(C) ENERG10C--ctn Mid-C_042010 2010GRC" xfId="1000"/>
    <cellStyle name="_2008 Strat Plan Power Costs Forecast V2 (2009 Update)_NIM Summary" xfId="1001"/>
    <cellStyle name="_2008 Strat Plan Power Costs Forecast V2 (2009 Update)_NIM Summary 2" xfId="1002"/>
    <cellStyle name="_2008 Strat Plan Power Costs Forecast V2 (2009 Update)_NIM Summary 2 2" xfId="1003"/>
    <cellStyle name="_2008 Strat Plan Power Costs Forecast V2 (2009 Update)_NIM Summary 3" xfId="1004"/>
    <cellStyle name="_2008 Strat Plan Power Costs Forecast V2 (2009 Update)_NIM Summary_DEM-WP(C) ENERG10C--ctn Mid-C_042010 2010GRC" xfId="1005"/>
    <cellStyle name="_4.06E Pass Throughs" xfId="1006"/>
    <cellStyle name="_4.06E Pass Throughs 2" xfId="1007"/>
    <cellStyle name="_4.06E Pass Throughs 2 2" xfId="1008"/>
    <cellStyle name="_4.06E Pass Throughs 2 2 2" xfId="1009"/>
    <cellStyle name="_4.06E Pass Throughs 2 3" xfId="1010"/>
    <cellStyle name="_4.06E Pass Throughs 3" xfId="1011"/>
    <cellStyle name="_4.06E Pass Throughs 3 2" xfId="1012"/>
    <cellStyle name="_4.06E Pass Throughs 4" xfId="1013"/>
    <cellStyle name="_4.06E Pass Throughs 4 2" xfId="1014"/>
    <cellStyle name="_4.06E Pass Throughs 4 3" xfId="1015"/>
    <cellStyle name="_4.06E Pass Throughs 5" xfId="1016"/>
    <cellStyle name="_4.06E Pass Throughs 5 2" xfId="1017"/>
    <cellStyle name="_4.06E Pass Throughs 5 3" xfId="1018"/>
    <cellStyle name="_4.06E Pass Throughs 6" xfId="1019"/>
    <cellStyle name="_4.06E Pass Throughs 6 2" xfId="1020"/>
    <cellStyle name="_4.06E Pass Throughs 7" xfId="1021"/>
    <cellStyle name="_4.06E Pass Throughs 7 2" xfId="1022"/>
    <cellStyle name="_4.06E Pass Throughs 8" xfId="1023"/>
    <cellStyle name="_4.06E Pass Throughs 8 2" xfId="1024"/>
    <cellStyle name="_4.06E Pass Throughs_04 07E Wild Horse Wind Expansion (C) (2)" xfId="1025"/>
    <cellStyle name="_4.06E Pass Throughs_04 07E Wild Horse Wind Expansion (C) (2) 2" xfId="1026"/>
    <cellStyle name="_4.06E Pass Throughs_04 07E Wild Horse Wind Expansion (C) (2) 2 2" xfId="1027"/>
    <cellStyle name="_4.06E Pass Throughs_04 07E Wild Horse Wind Expansion (C) (2) 3" xfId="1028"/>
    <cellStyle name="_4.06E Pass Throughs_04 07E Wild Horse Wind Expansion (C) (2)_Adj Bench DR 3 for Initial Briefs (Electric)" xfId="1029"/>
    <cellStyle name="_4.06E Pass Throughs_04 07E Wild Horse Wind Expansion (C) (2)_Adj Bench DR 3 for Initial Briefs (Electric) 2" xfId="1030"/>
    <cellStyle name="_4.06E Pass Throughs_04 07E Wild Horse Wind Expansion (C) (2)_Adj Bench DR 3 for Initial Briefs (Electric) 2 2" xfId="1031"/>
    <cellStyle name="_4.06E Pass Throughs_04 07E Wild Horse Wind Expansion (C) (2)_Adj Bench DR 3 for Initial Briefs (Electric) 3" xfId="1032"/>
    <cellStyle name="_4.06E Pass Throughs_04 07E Wild Horse Wind Expansion (C) (2)_Adj Bench DR 3 for Initial Briefs (Electric)_DEM-WP(C) ENERG10C--ctn Mid-C_042010 2010GRC" xfId="1033"/>
    <cellStyle name="_4.06E Pass Throughs_04 07E Wild Horse Wind Expansion (C) (2)_Book1" xfId="1034"/>
    <cellStyle name="_4.06E Pass Throughs_04 07E Wild Horse Wind Expansion (C) (2)_DEM-WP(C) ENERG10C--ctn Mid-C_042010 2010GRC" xfId="1035"/>
    <cellStyle name="_4.06E Pass Throughs_04 07E Wild Horse Wind Expansion (C) (2)_Electric Rev Req Model (2009 GRC) " xfId="1036"/>
    <cellStyle name="_4.06E Pass Throughs_04 07E Wild Horse Wind Expansion (C) (2)_Electric Rev Req Model (2009 GRC)  2" xfId="1037"/>
    <cellStyle name="_4.06E Pass Throughs_04 07E Wild Horse Wind Expansion (C) (2)_Electric Rev Req Model (2009 GRC)  2 2" xfId="1038"/>
    <cellStyle name="_4.06E Pass Throughs_04 07E Wild Horse Wind Expansion (C) (2)_Electric Rev Req Model (2009 GRC)  3" xfId="1039"/>
    <cellStyle name="_4.06E Pass Throughs_04 07E Wild Horse Wind Expansion (C) (2)_Electric Rev Req Model (2009 GRC) _DEM-WP(C) ENERG10C--ctn Mid-C_042010 2010GRC" xfId="1040"/>
    <cellStyle name="_4.06E Pass Throughs_04 07E Wild Horse Wind Expansion (C) (2)_Electric Rev Req Model (2009 GRC) Rebuttal" xfId="1041"/>
    <cellStyle name="_4.06E Pass Throughs_04 07E Wild Horse Wind Expansion (C) (2)_Electric Rev Req Model (2009 GRC) Rebuttal 2" xfId="1042"/>
    <cellStyle name="_4.06E Pass Throughs_04 07E Wild Horse Wind Expansion (C) (2)_Electric Rev Req Model (2009 GRC) Rebuttal REmoval of New  WH Solar AdjustMI" xfId="1043"/>
    <cellStyle name="_4.06E Pass Throughs_04 07E Wild Horse Wind Expansion (C) (2)_Electric Rev Req Model (2009 GRC) Rebuttal REmoval of New  WH Solar AdjustMI 2" xfId="1044"/>
    <cellStyle name="_4.06E Pass Throughs_04 07E Wild Horse Wind Expansion (C) (2)_Electric Rev Req Model (2009 GRC) Rebuttal REmoval of New  WH Solar AdjustMI 2 2" xfId="1045"/>
    <cellStyle name="_4.06E Pass Throughs_04 07E Wild Horse Wind Expansion (C) (2)_Electric Rev Req Model (2009 GRC) Rebuttal REmoval of New  WH Solar AdjustMI 3" xfId="1046"/>
    <cellStyle name="_4.06E Pass Throughs_04 07E Wild Horse Wind Expansion (C) (2)_Electric Rev Req Model (2009 GRC) Rebuttal REmoval of New  WH Solar AdjustMI_DEM-WP(C) ENERG10C--ctn Mid-C_042010 2010GRC" xfId="1047"/>
    <cellStyle name="_4.06E Pass Throughs_04 07E Wild Horse Wind Expansion (C) (2)_Electric Rev Req Model (2009 GRC) Revised 01-18-2010" xfId="1048"/>
    <cellStyle name="_4.06E Pass Throughs_04 07E Wild Horse Wind Expansion (C) (2)_Electric Rev Req Model (2009 GRC) Revised 01-18-2010 2" xfId="1049"/>
    <cellStyle name="_4.06E Pass Throughs_04 07E Wild Horse Wind Expansion (C) (2)_Electric Rev Req Model (2009 GRC) Revised 01-18-2010 2 2" xfId="1050"/>
    <cellStyle name="_4.06E Pass Throughs_04 07E Wild Horse Wind Expansion (C) (2)_Electric Rev Req Model (2009 GRC) Revised 01-18-2010 3" xfId="1051"/>
    <cellStyle name="_4.06E Pass Throughs_04 07E Wild Horse Wind Expansion (C) (2)_Electric Rev Req Model (2009 GRC) Revised 01-18-2010_DEM-WP(C) ENERG10C--ctn Mid-C_042010 2010GRC" xfId="1052"/>
    <cellStyle name="_4.06E Pass Throughs_04 07E Wild Horse Wind Expansion (C) (2)_Electric Rev Req Model (2010 GRC)" xfId="1053"/>
    <cellStyle name="_4.06E Pass Throughs_04 07E Wild Horse Wind Expansion (C) (2)_Electric Rev Req Model (2010 GRC) SF" xfId="1054"/>
    <cellStyle name="_4.06E Pass Throughs_04 07E Wild Horse Wind Expansion (C) (2)_Final Order Electric EXHIBIT A-1" xfId="1055"/>
    <cellStyle name="_4.06E Pass Throughs_04 07E Wild Horse Wind Expansion (C) (2)_Final Order Electric EXHIBIT A-1 2" xfId="1056"/>
    <cellStyle name="_4.06E Pass Throughs_04 07E Wild Horse Wind Expansion (C) (2)_TENASKA REGULATORY ASSET" xfId="1057"/>
    <cellStyle name="_4.06E Pass Throughs_04 07E Wild Horse Wind Expansion (C) (2)_TENASKA REGULATORY ASSET 2" xfId="1058"/>
    <cellStyle name="_4.06E Pass Throughs_16.37E Wild Horse Expansion DeferralRevwrkingfile SF" xfId="1059"/>
    <cellStyle name="_4.06E Pass Throughs_16.37E Wild Horse Expansion DeferralRevwrkingfile SF 2" xfId="1060"/>
    <cellStyle name="_4.06E Pass Throughs_16.37E Wild Horse Expansion DeferralRevwrkingfile SF 2 2" xfId="1061"/>
    <cellStyle name="_4.06E Pass Throughs_16.37E Wild Horse Expansion DeferralRevwrkingfile SF 3" xfId="1062"/>
    <cellStyle name="_4.06E Pass Throughs_16.37E Wild Horse Expansion DeferralRevwrkingfile SF_DEM-WP(C) ENERG10C--ctn Mid-C_042010 2010GRC" xfId="1063"/>
    <cellStyle name="_4.06E Pass Throughs_2009 Compliance Filing PCA Exhibits for GRC" xfId="1064"/>
    <cellStyle name="_4.06E Pass Throughs_2009 Compliance Filing PCA Exhibits for GRC 2" xfId="1065"/>
    <cellStyle name="_4.06E Pass Throughs_2009 GRC Compl Filing - Exhibit D" xfId="1066"/>
    <cellStyle name="_4.06E Pass Throughs_2009 GRC Compl Filing - Exhibit D 2" xfId="1067"/>
    <cellStyle name="_4.06E Pass Throughs_2009 GRC Compl Filing - Exhibit D 2 2" xfId="1068"/>
    <cellStyle name="_4.06E Pass Throughs_2009 GRC Compl Filing - Exhibit D 3" xfId="1069"/>
    <cellStyle name="_4.06E Pass Throughs_2009 GRC Compl Filing - Exhibit D_DEM-WP(C) ENERG10C--ctn Mid-C_042010 2010GRC" xfId="1070"/>
    <cellStyle name="_4.06E Pass Throughs_3.01 Income Statement" xfId="1071"/>
    <cellStyle name="_4.06E Pass Throughs_4 31 Regulatory Assets and Liabilities  7 06- Exhibit D" xfId="1072"/>
    <cellStyle name="_4.06E Pass Throughs_4 31 Regulatory Assets and Liabilities  7 06- Exhibit D 2" xfId="1073"/>
    <cellStyle name="_4.06E Pass Throughs_4 31 Regulatory Assets and Liabilities  7 06- Exhibit D 2 2" xfId="1074"/>
    <cellStyle name="_4.06E Pass Throughs_4 31 Regulatory Assets and Liabilities  7 06- Exhibit D 2 2 2" xfId="1075"/>
    <cellStyle name="_4.06E Pass Throughs_4 31 Regulatory Assets and Liabilities  7 06- Exhibit D 3" xfId="1076"/>
    <cellStyle name="_4.06E Pass Throughs_4 31 Regulatory Assets and Liabilities  7 06- Exhibit D_DEM-WP(C) ENERG10C--ctn Mid-C_042010 2010GRC" xfId="1077"/>
    <cellStyle name="_4.06E Pass Throughs_4 31 Regulatory Assets and Liabilities  7 06- Exhibit D_NIM Summary" xfId="1078"/>
    <cellStyle name="_4.06E Pass Throughs_4 31 Regulatory Assets and Liabilities  7 06- Exhibit D_NIM Summary 2" xfId="1079"/>
    <cellStyle name="_4.06E Pass Throughs_4 31 Regulatory Assets and Liabilities  7 06- Exhibit D_NIM Summary 2 2" xfId="1080"/>
    <cellStyle name="_4.06E Pass Throughs_4 31 Regulatory Assets and Liabilities  7 06- Exhibit D_NIM Summary 3" xfId="1081"/>
    <cellStyle name="_4.06E Pass Throughs_4 31 Regulatory Assets and Liabilities  7 06- Exhibit D_NIM Summary_DEM-WP(C) ENERG10C--ctn Mid-C_042010 2010GRC" xfId="1082"/>
    <cellStyle name="_4.06E Pass Throughs_4 31 Regulatory Assets and Liabilities  7 06- Exhibit D_NIM+O&amp;M" xfId="1083"/>
    <cellStyle name="_4.06E Pass Throughs_4 31 Regulatory Assets and Liabilities  7 06- Exhibit D_NIM+O&amp;M Monthly" xfId="1084"/>
    <cellStyle name="_4.06E Pass Throughs_4 31E Reg Asset  Liab and EXH D" xfId="1085"/>
    <cellStyle name="_4.06E Pass Throughs_4 31E Reg Asset  Liab and EXH D _ Aug 10 Filing (2)" xfId="1086"/>
    <cellStyle name="_4.06E Pass Throughs_4 31E Reg Asset  Liab and EXH D _ Aug 10 Filing (2) 2" xfId="1087"/>
    <cellStyle name="_4.06E Pass Throughs_4 31E Reg Asset  Liab and EXH D 2" xfId="1088"/>
    <cellStyle name="_4.06E Pass Throughs_4 31E Reg Asset  Liab and EXH D 3" xfId="1089"/>
    <cellStyle name="_4.06E Pass Throughs_4 32 Regulatory Assets and Liabilities  7 06- Exhibit D" xfId="1090"/>
    <cellStyle name="_4.06E Pass Throughs_4 32 Regulatory Assets and Liabilities  7 06- Exhibit D 2" xfId="1091"/>
    <cellStyle name="_4.06E Pass Throughs_4 32 Regulatory Assets and Liabilities  7 06- Exhibit D 2 2" xfId="1092"/>
    <cellStyle name="_4.06E Pass Throughs_4 32 Regulatory Assets and Liabilities  7 06- Exhibit D 2 2 2" xfId="1093"/>
    <cellStyle name="_4.06E Pass Throughs_4 32 Regulatory Assets and Liabilities  7 06- Exhibit D 3" xfId="1094"/>
    <cellStyle name="_4.06E Pass Throughs_4 32 Regulatory Assets and Liabilities  7 06- Exhibit D_DEM-WP(C) ENERG10C--ctn Mid-C_042010 2010GRC" xfId="1095"/>
    <cellStyle name="_4.06E Pass Throughs_4 32 Regulatory Assets and Liabilities  7 06- Exhibit D_NIM Summary" xfId="1096"/>
    <cellStyle name="_4.06E Pass Throughs_4 32 Regulatory Assets and Liabilities  7 06- Exhibit D_NIM Summary 2" xfId="1097"/>
    <cellStyle name="_4.06E Pass Throughs_4 32 Regulatory Assets and Liabilities  7 06- Exhibit D_NIM Summary 2 2" xfId="1098"/>
    <cellStyle name="_4.06E Pass Throughs_4 32 Regulatory Assets and Liabilities  7 06- Exhibit D_NIM Summary 3" xfId="1099"/>
    <cellStyle name="_4.06E Pass Throughs_4 32 Regulatory Assets and Liabilities  7 06- Exhibit D_NIM Summary_DEM-WP(C) ENERG10C--ctn Mid-C_042010 2010GRC" xfId="1100"/>
    <cellStyle name="_4.06E Pass Throughs_4 32 Regulatory Assets and Liabilities  7 06- Exhibit D_NIM+O&amp;M" xfId="1101"/>
    <cellStyle name="_4.06E Pass Throughs_4 32 Regulatory Assets and Liabilities  7 06- Exhibit D_NIM+O&amp;M Monthly" xfId="1102"/>
    <cellStyle name="_4.06E Pass Throughs_AURORA Total New" xfId="1103"/>
    <cellStyle name="_4.06E Pass Throughs_AURORA Total New 2" xfId="1104"/>
    <cellStyle name="_4.06E Pass Throughs_AURORA Total New 2 2" xfId="1105"/>
    <cellStyle name="_4.06E Pass Throughs_AURORA Total New 3" xfId="1106"/>
    <cellStyle name="_4.06E Pass Throughs_Book2" xfId="1107"/>
    <cellStyle name="_4.06E Pass Throughs_Book2 2" xfId="1108"/>
    <cellStyle name="_4.06E Pass Throughs_Book2 2 2" xfId="1109"/>
    <cellStyle name="_4.06E Pass Throughs_Book2 3" xfId="1110"/>
    <cellStyle name="_4.06E Pass Throughs_Book2_Adj Bench DR 3 for Initial Briefs (Electric)" xfId="1111"/>
    <cellStyle name="_4.06E Pass Throughs_Book2_Adj Bench DR 3 for Initial Briefs (Electric) 2" xfId="1112"/>
    <cellStyle name="_4.06E Pass Throughs_Book2_Adj Bench DR 3 for Initial Briefs (Electric) 2 2" xfId="1113"/>
    <cellStyle name="_4.06E Pass Throughs_Book2_Adj Bench DR 3 for Initial Briefs (Electric) 3" xfId="1114"/>
    <cellStyle name="_4.06E Pass Throughs_Book2_Adj Bench DR 3 for Initial Briefs (Electric)_DEM-WP(C) ENERG10C--ctn Mid-C_042010 2010GRC" xfId="1115"/>
    <cellStyle name="_4.06E Pass Throughs_Book2_DEM-WP(C) ENERG10C--ctn Mid-C_042010 2010GRC" xfId="1116"/>
    <cellStyle name="_4.06E Pass Throughs_Book2_Electric Rev Req Model (2009 GRC) Rebuttal" xfId="1117"/>
    <cellStyle name="_4.06E Pass Throughs_Book2_Electric Rev Req Model (2009 GRC) Rebuttal 2" xfId="1118"/>
    <cellStyle name="_4.06E Pass Throughs_Book2_Electric Rev Req Model (2009 GRC) Rebuttal REmoval of New  WH Solar AdjustMI" xfId="1119"/>
    <cellStyle name="_4.06E Pass Throughs_Book2_Electric Rev Req Model (2009 GRC) Rebuttal REmoval of New  WH Solar AdjustMI 2" xfId="1120"/>
    <cellStyle name="_4.06E Pass Throughs_Book2_Electric Rev Req Model (2009 GRC) Rebuttal REmoval of New  WH Solar AdjustMI 2 2" xfId="1121"/>
    <cellStyle name="_4.06E Pass Throughs_Book2_Electric Rev Req Model (2009 GRC) Rebuttal REmoval of New  WH Solar AdjustMI 3" xfId="1122"/>
    <cellStyle name="_4.06E Pass Throughs_Book2_Electric Rev Req Model (2009 GRC) Rebuttal REmoval of New  WH Solar AdjustMI_DEM-WP(C) ENERG10C--ctn Mid-C_042010 2010GRC" xfId="1123"/>
    <cellStyle name="_4.06E Pass Throughs_Book2_Electric Rev Req Model (2009 GRC) Revised 01-18-2010" xfId="1124"/>
    <cellStyle name="_4.06E Pass Throughs_Book2_Electric Rev Req Model (2009 GRC) Revised 01-18-2010 2" xfId="1125"/>
    <cellStyle name="_4.06E Pass Throughs_Book2_Electric Rev Req Model (2009 GRC) Revised 01-18-2010 2 2" xfId="1126"/>
    <cellStyle name="_4.06E Pass Throughs_Book2_Electric Rev Req Model (2009 GRC) Revised 01-18-2010 3" xfId="1127"/>
    <cellStyle name="_4.06E Pass Throughs_Book2_Electric Rev Req Model (2009 GRC) Revised 01-18-2010_DEM-WP(C) ENERG10C--ctn Mid-C_042010 2010GRC" xfId="1128"/>
    <cellStyle name="_4.06E Pass Throughs_Book2_Final Order Electric EXHIBIT A-1" xfId="1129"/>
    <cellStyle name="_4.06E Pass Throughs_Book2_Final Order Electric EXHIBIT A-1 2" xfId="1130"/>
    <cellStyle name="_4.06E Pass Throughs_Book4" xfId="1131"/>
    <cellStyle name="_4.06E Pass Throughs_Book4 2" xfId="1132"/>
    <cellStyle name="_4.06E Pass Throughs_Book4 2 2" xfId="1133"/>
    <cellStyle name="_4.06E Pass Throughs_Book4 3" xfId="1134"/>
    <cellStyle name="_4.06E Pass Throughs_Book4_DEM-WP(C) ENERG10C--ctn Mid-C_042010 2010GRC" xfId="1135"/>
    <cellStyle name="_4.06E Pass Throughs_Book9" xfId="1136"/>
    <cellStyle name="_4.06E Pass Throughs_Book9 2" xfId="1137"/>
    <cellStyle name="_4.06E Pass Throughs_Book9 2 2" xfId="1138"/>
    <cellStyle name="_4.06E Pass Throughs_Book9 3" xfId="1139"/>
    <cellStyle name="_4.06E Pass Throughs_Book9_DEM-WP(C) ENERG10C--ctn Mid-C_042010 2010GRC" xfId="1140"/>
    <cellStyle name="_4.06E Pass Throughs_Chelan PUD Power Costs (8-10)" xfId="1141"/>
    <cellStyle name="_4.06E Pass Throughs_Chelan PUD Power Costs (8-10) 2" xfId="1142"/>
    <cellStyle name="_4.06E Pass Throughs_DEM-WP(C) Chelan Power Costs" xfId="1143"/>
    <cellStyle name="_4.06E Pass Throughs_DEM-WP(C) Chelan Power Costs 2" xfId="1144"/>
    <cellStyle name="_4.06E Pass Throughs_DEM-WP(C) ENERG10C--ctn Mid-C_042010 2010GRC" xfId="1145"/>
    <cellStyle name="_4.06E Pass Throughs_DEM-WP(C) Gas Transport 2010GRC" xfId="1146"/>
    <cellStyle name="_4.06E Pass Throughs_DEM-WP(C) Gas Transport 2010GRC 2" xfId="1147"/>
    <cellStyle name="_4.06E Pass Throughs_Exh A-1 resulting from UE-112050 effective Jan 1 2012" xfId="1148"/>
    <cellStyle name="_4.06E Pass Throughs_Exh G - Klamath Peaker PPA fr C Locke 2-12" xfId="1149"/>
    <cellStyle name="_4.06E Pass Throughs_Exhibit A-1 effective 4-1-11 fr S Free 12-11" xfId="1150"/>
    <cellStyle name="_4.06E Pass Throughs_Mint Farm Generation BPA" xfId="1151"/>
    <cellStyle name="_4.06E Pass Throughs_NIM Summary" xfId="1152"/>
    <cellStyle name="_4.06E Pass Throughs_NIM Summary 09GRC" xfId="1153"/>
    <cellStyle name="_4.06E Pass Throughs_NIM Summary 09GRC 2" xfId="1154"/>
    <cellStyle name="_4.06E Pass Throughs_NIM Summary 09GRC 2 2" xfId="1155"/>
    <cellStyle name="_4.06E Pass Throughs_NIM Summary 09GRC 3" xfId="1156"/>
    <cellStyle name="_4.06E Pass Throughs_NIM Summary 09GRC_DEM-WP(C) ENERG10C--ctn Mid-C_042010 2010GRC" xfId="1157"/>
    <cellStyle name="_4.06E Pass Throughs_NIM Summary 10" xfId="1158"/>
    <cellStyle name="_4.06E Pass Throughs_NIM Summary 11" xfId="1159"/>
    <cellStyle name="_4.06E Pass Throughs_NIM Summary 12" xfId="1160"/>
    <cellStyle name="_4.06E Pass Throughs_NIM Summary 13" xfId="1161"/>
    <cellStyle name="_4.06E Pass Throughs_NIM Summary 14" xfId="1162"/>
    <cellStyle name="_4.06E Pass Throughs_NIM Summary 15" xfId="1163"/>
    <cellStyle name="_4.06E Pass Throughs_NIM Summary 16" xfId="1164"/>
    <cellStyle name="_4.06E Pass Throughs_NIM Summary 17" xfId="1165"/>
    <cellStyle name="_4.06E Pass Throughs_NIM Summary 18" xfId="1166"/>
    <cellStyle name="_4.06E Pass Throughs_NIM Summary 19" xfId="1167"/>
    <cellStyle name="_4.06E Pass Throughs_NIM Summary 2" xfId="1168"/>
    <cellStyle name="_4.06E Pass Throughs_NIM Summary 2 2" xfId="1169"/>
    <cellStyle name="_4.06E Pass Throughs_NIM Summary 20" xfId="1170"/>
    <cellStyle name="_4.06E Pass Throughs_NIM Summary 21" xfId="1171"/>
    <cellStyle name="_4.06E Pass Throughs_NIM Summary 22" xfId="1172"/>
    <cellStyle name="_4.06E Pass Throughs_NIM Summary 23" xfId="1173"/>
    <cellStyle name="_4.06E Pass Throughs_NIM Summary 24" xfId="1174"/>
    <cellStyle name="_4.06E Pass Throughs_NIM Summary 25" xfId="1175"/>
    <cellStyle name="_4.06E Pass Throughs_NIM Summary 26" xfId="1176"/>
    <cellStyle name="_4.06E Pass Throughs_NIM Summary 27" xfId="1177"/>
    <cellStyle name="_4.06E Pass Throughs_NIM Summary 28" xfId="1178"/>
    <cellStyle name="_4.06E Pass Throughs_NIM Summary 29" xfId="1179"/>
    <cellStyle name="_4.06E Pass Throughs_NIM Summary 3" xfId="1180"/>
    <cellStyle name="_4.06E Pass Throughs_NIM Summary 30" xfId="1181"/>
    <cellStyle name="_4.06E Pass Throughs_NIM Summary 31" xfId="1182"/>
    <cellStyle name="_4.06E Pass Throughs_NIM Summary 32" xfId="1183"/>
    <cellStyle name="_4.06E Pass Throughs_NIM Summary 33" xfId="1184"/>
    <cellStyle name="_4.06E Pass Throughs_NIM Summary 34" xfId="1185"/>
    <cellStyle name="_4.06E Pass Throughs_NIM Summary 35" xfId="1186"/>
    <cellStyle name="_4.06E Pass Throughs_NIM Summary 36" xfId="1187"/>
    <cellStyle name="_4.06E Pass Throughs_NIM Summary 37" xfId="1188"/>
    <cellStyle name="_4.06E Pass Throughs_NIM Summary 38" xfId="1189"/>
    <cellStyle name="_4.06E Pass Throughs_NIM Summary 39" xfId="1190"/>
    <cellStyle name="_4.06E Pass Throughs_NIM Summary 4" xfId="1191"/>
    <cellStyle name="_4.06E Pass Throughs_NIM Summary 40" xfId="1192"/>
    <cellStyle name="_4.06E Pass Throughs_NIM Summary 41" xfId="1193"/>
    <cellStyle name="_4.06E Pass Throughs_NIM Summary 42" xfId="1194"/>
    <cellStyle name="_4.06E Pass Throughs_NIM Summary 43" xfId="1195"/>
    <cellStyle name="_4.06E Pass Throughs_NIM Summary 44" xfId="1196"/>
    <cellStyle name="_4.06E Pass Throughs_NIM Summary 45" xfId="1197"/>
    <cellStyle name="_4.06E Pass Throughs_NIM Summary 46" xfId="1198"/>
    <cellStyle name="_4.06E Pass Throughs_NIM Summary 47" xfId="1199"/>
    <cellStyle name="_4.06E Pass Throughs_NIM Summary 48" xfId="1200"/>
    <cellStyle name="_4.06E Pass Throughs_NIM Summary 49" xfId="1201"/>
    <cellStyle name="_4.06E Pass Throughs_NIM Summary 5" xfId="1202"/>
    <cellStyle name="_4.06E Pass Throughs_NIM Summary 50" xfId="1203"/>
    <cellStyle name="_4.06E Pass Throughs_NIM Summary 51" xfId="1204"/>
    <cellStyle name="_4.06E Pass Throughs_NIM Summary 52" xfId="1205"/>
    <cellStyle name="_4.06E Pass Throughs_NIM Summary 6" xfId="1206"/>
    <cellStyle name="_4.06E Pass Throughs_NIM Summary 7" xfId="1207"/>
    <cellStyle name="_4.06E Pass Throughs_NIM Summary 8" xfId="1208"/>
    <cellStyle name="_4.06E Pass Throughs_NIM Summary 9" xfId="1209"/>
    <cellStyle name="_4.06E Pass Throughs_NIM Summary_DEM-WP(C) ENERG10C--ctn Mid-C_042010 2010GRC" xfId="1210"/>
    <cellStyle name="_4.06E Pass Throughs_NIM+O&amp;M" xfId="1211"/>
    <cellStyle name="_4.06E Pass Throughs_NIM+O&amp;M 2" xfId="1212"/>
    <cellStyle name="_4.06E Pass Throughs_NIM+O&amp;M Monthly" xfId="1213"/>
    <cellStyle name="_4.06E Pass Throughs_NIM+O&amp;M Monthly 2" xfId="1214"/>
    <cellStyle name="_4.06E Pass Throughs_PCA 10 -  Exhibit D Dec 2011" xfId="1215"/>
    <cellStyle name="_4.06E Pass Throughs_PCA 10 -  Exhibit D from A Kellogg Jan 2011" xfId="1216"/>
    <cellStyle name="_4.06E Pass Throughs_PCA 10 -  Exhibit D from A Kellogg July 2011" xfId="1217"/>
    <cellStyle name="_4.06E Pass Throughs_PCA 10 -  Exhibit D from S Free Rcv'd 12-11" xfId="1218"/>
    <cellStyle name="_4.06E Pass Throughs_PCA 11 -  Exhibit D Jan 2012 fr A Kellogg" xfId="1219"/>
    <cellStyle name="_4.06E Pass Throughs_PCA 11 -  Exhibit D Jan 2012 WF" xfId="1220"/>
    <cellStyle name="_4.06E Pass Throughs_PCA 9 -  Exhibit D April 2010" xfId="1221"/>
    <cellStyle name="_4.06E Pass Throughs_PCA 9 -  Exhibit D April 2010 (3)" xfId="1222"/>
    <cellStyle name="_4.06E Pass Throughs_PCA 9 -  Exhibit D April 2010 (3) 2" xfId="1223"/>
    <cellStyle name="_4.06E Pass Throughs_PCA 9 -  Exhibit D April 2010 (3) 2 2" xfId="1224"/>
    <cellStyle name="_4.06E Pass Throughs_PCA 9 -  Exhibit D April 2010 (3) 3" xfId="1225"/>
    <cellStyle name="_4.06E Pass Throughs_PCA 9 -  Exhibit D April 2010 (3)_DEM-WP(C) ENERG10C--ctn Mid-C_042010 2010GRC" xfId="1226"/>
    <cellStyle name="_4.06E Pass Throughs_PCA 9 -  Exhibit D April 2010 2" xfId="1227"/>
    <cellStyle name="_4.06E Pass Throughs_PCA 9 -  Exhibit D April 2010 3" xfId="1228"/>
    <cellStyle name="_4.06E Pass Throughs_PCA 9 -  Exhibit D April 2010 4" xfId="1229"/>
    <cellStyle name="_4.06E Pass Throughs_PCA 9 -  Exhibit D April 2010 5" xfId="1230"/>
    <cellStyle name="_4.06E Pass Throughs_PCA 9 -  Exhibit D April 2010 6" xfId="1231"/>
    <cellStyle name="_4.06E Pass Throughs_PCA 9 -  Exhibit D Nov 2010" xfId="1232"/>
    <cellStyle name="_4.06E Pass Throughs_PCA 9 -  Exhibit D Nov 2010 2" xfId="1233"/>
    <cellStyle name="_4.06E Pass Throughs_PCA 9 - Exhibit D at August 2010" xfId="1234"/>
    <cellStyle name="_4.06E Pass Throughs_PCA 9 - Exhibit D at August 2010 2" xfId="1235"/>
    <cellStyle name="_4.06E Pass Throughs_PCA 9 - Exhibit D June 2010 GRC" xfId="1236"/>
    <cellStyle name="_4.06E Pass Throughs_PCA 9 - Exhibit D June 2010 GRC 2" xfId="1237"/>
    <cellStyle name="_4.06E Pass Throughs_Power Costs - Comparison bx Rbtl-Staff-Jt-PC" xfId="1238"/>
    <cellStyle name="_4.06E Pass Throughs_Power Costs - Comparison bx Rbtl-Staff-Jt-PC 2" xfId="1239"/>
    <cellStyle name="_4.06E Pass Throughs_Power Costs - Comparison bx Rbtl-Staff-Jt-PC 2 2" xfId="1240"/>
    <cellStyle name="_4.06E Pass Throughs_Power Costs - Comparison bx Rbtl-Staff-Jt-PC 3" xfId="1241"/>
    <cellStyle name="_4.06E Pass Throughs_Power Costs - Comparison bx Rbtl-Staff-Jt-PC_Adj Bench DR 3 for Initial Briefs (Electric)" xfId="1242"/>
    <cellStyle name="_4.06E Pass Throughs_Power Costs - Comparison bx Rbtl-Staff-Jt-PC_Adj Bench DR 3 for Initial Briefs (Electric) 2" xfId="1243"/>
    <cellStyle name="_4.06E Pass Throughs_Power Costs - Comparison bx Rbtl-Staff-Jt-PC_Adj Bench DR 3 for Initial Briefs (Electric) 2 2" xfId="1244"/>
    <cellStyle name="_4.06E Pass Throughs_Power Costs - Comparison bx Rbtl-Staff-Jt-PC_Adj Bench DR 3 for Initial Briefs (Electric) 3" xfId="1245"/>
    <cellStyle name="_4.06E Pass Throughs_Power Costs - Comparison bx Rbtl-Staff-Jt-PC_Adj Bench DR 3 for Initial Briefs (Electric)_DEM-WP(C) ENERG10C--ctn Mid-C_042010 2010GRC" xfId="1246"/>
    <cellStyle name="_4.06E Pass Throughs_Power Costs - Comparison bx Rbtl-Staff-Jt-PC_DEM-WP(C) ENERG10C--ctn Mid-C_042010 2010GRC" xfId="1247"/>
    <cellStyle name="_4.06E Pass Throughs_Power Costs - Comparison bx Rbtl-Staff-Jt-PC_Electric Rev Req Model (2009 GRC) Rebuttal" xfId="1248"/>
    <cellStyle name="_4.06E Pass Throughs_Power Costs - Comparison bx Rbtl-Staff-Jt-PC_Electric Rev Req Model (2009 GRC) Rebuttal 2" xfId="1249"/>
    <cellStyle name="_4.06E Pass Throughs_Power Costs - Comparison bx Rbtl-Staff-Jt-PC_Electric Rev Req Model (2009 GRC) Rebuttal REmoval of New  WH Solar AdjustMI" xfId="1250"/>
    <cellStyle name="_4.06E Pass Throughs_Power Costs - Comparison bx Rbtl-Staff-Jt-PC_Electric Rev Req Model (2009 GRC) Rebuttal REmoval of New  WH Solar AdjustMI 2" xfId="1251"/>
    <cellStyle name="_4.06E Pass Throughs_Power Costs - Comparison bx Rbtl-Staff-Jt-PC_Electric Rev Req Model (2009 GRC) Rebuttal REmoval of New  WH Solar AdjustMI 2 2" xfId="1252"/>
    <cellStyle name="_4.06E Pass Throughs_Power Costs - Comparison bx Rbtl-Staff-Jt-PC_Electric Rev Req Model (2009 GRC) Rebuttal REmoval of New  WH Solar AdjustMI 3" xfId="1253"/>
    <cellStyle name="_4.06E Pass Throughs_Power Costs - Comparison bx Rbtl-Staff-Jt-PC_Electric Rev Req Model (2009 GRC) Rebuttal REmoval of New  WH Solar AdjustMI_DEM-WP(C) ENERG10C--ctn Mid-C_042010 2010GRC" xfId="1254"/>
    <cellStyle name="_4.06E Pass Throughs_Power Costs - Comparison bx Rbtl-Staff-Jt-PC_Electric Rev Req Model (2009 GRC) Revised 01-18-2010" xfId="1255"/>
    <cellStyle name="_4.06E Pass Throughs_Power Costs - Comparison bx Rbtl-Staff-Jt-PC_Electric Rev Req Model (2009 GRC) Revised 01-18-2010 2" xfId="1256"/>
    <cellStyle name="_4.06E Pass Throughs_Power Costs - Comparison bx Rbtl-Staff-Jt-PC_Electric Rev Req Model (2009 GRC) Revised 01-18-2010 2 2" xfId="1257"/>
    <cellStyle name="_4.06E Pass Throughs_Power Costs - Comparison bx Rbtl-Staff-Jt-PC_Electric Rev Req Model (2009 GRC) Revised 01-18-2010 3" xfId="1258"/>
    <cellStyle name="_4.06E Pass Throughs_Power Costs - Comparison bx Rbtl-Staff-Jt-PC_Electric Rev Req Model (2009 GRC) Revised 01-18-2010_DEM-WP(C) ENERG10C--ctn Mid-C_042010 2010GRC" xfId="1259"/>
    <cellStyle name="_4.06E Pass Throughs_Power Costs - Comparison bx Rbtl-Staff-Jt-PC_Final Order Electric EXHIBIT A-1" xfId="1260"/>
    <cellStyle name="_4.06E Pass Throughs_Power Costs - Comparison bx Rbtl-Staff-Jt-PC_Final Order Electric EXHIBIT A-1 2" xfId="1261"/>
    <cellStyle name="_4.06E Pass Throughs_Production Adj 4.37" xfId="21234"/>
    <cellStyle name="_4.06E Pass Throughs_Purchased Power Adj 4.03" xfId="21235"/>
    <cellStyle name="_4.06E Pass Throughs_Rebuttal Power Costs" xfId="1262"/>
    <cellStyle name="_4.06E Pass Throughs_Rebuttal Power Costs 2" xfId="1263"/>
    <cellStyle name="_4.06E Pass Throughs_Rebuttal Power Costs 2 2" xfId="1264"/>
    <cellStyle name="_4.06E Pass Throughs_Rebuttal Power Costs 3" xfId="1265"/>
    <cellStyle name="_4.06E Pass Throughs_Rebuttal Power Costs_Adj Bench DR 3 for Initial Briefs (Electric)" xfId="1266"/>
    <cellStyle name="_4.06E Pass Throughs_Rebuttal Power Costs_Adj Bench DR 3 for Initial Briefs (Electric) 2" xfId="1267"/>
    <cellStyle name="_4.06E Pass Throughs_Rebuttal Power Costs_Adj Bench DR 3 for Initial Briefs (Electric) 2 2" xfId="1268"/>
    <cellStyle name="_4.06E Pass Throughs_Rebuttal Power Costs_Adj Bench DR 3 for Initial Briefs (Electric) 3" xfId="1269"/>
    <cellStyle name="_4.06E Pass Throughs_Rebuttal Power Costs_Adj Bench DR 3 for Initial Briefs (Electric)_DEM-WP(C) ENERG10C--ctn Mid-C_042010 2010GRC" xfId="1270"/>
    <cellStyle name="_4.06E Pass Throughs_Rebuttal Power Costs_DEM-WP(C) ENERG10C--ctn Mid-C_042010 2010GRC" xfId="1271"/>
    <cellStyle name="_4.06E Pass Throughs_Rebuttal Power Costs_Electric Rev Req Model (2009 GRC) Rebuttal" xfId="1272"/>
    <cellStyle name="_4.06E Pass Throughs_Rebuttal Power Costs_Electric Rev Req Model (2009 GRC) Rebuttal 2" xfId="1273"/>
    <cellStyle name="_4.06E Pass Throughs_Rebuttal Power Costs_Electric Rev Req Model (2009 GRC) Rebuttal REmoval of New  WH Solar AdjustMI" xfId="1274"/>
    <cellStyle name="_4.06E Pass Throughs_Rebuttal Power Costs_Electric Rev Req Model (2009 GRC) Rebuttal REmoval of New  WH Solar AdjustMI 2" xfId="1275"/>
    <cellStyle name="_4.06E Pass Throughs_Rebuttal Power Costs_Electric Rev Req Model (2009 GRC) Rebuttal REmoval of New  WH Solar AdjustMI 2 2" xfId="1276"/>
    <cellStyle name="_4.06E Pass Throughs_Rebuttal Power Costs_Electric Rev Req Model (2009 GRC) Rebuttal REmoval of New  WH Solar AdjustMI 3" xfId="1277"/>
    <cellStyle name="_4.06E Pass Throughs_Rebuttal Power Costs_Electric Rev Req Model (2009 GRC) Rebuttal REmoval of New  WH Solar AdjustMI_DEM-WP(C) ENERG10C--ctn Mid-C_042010 2010GRC" xfId="1278"/>
    <cellStyle name="_4.06E Pass Throughs_Rebuttal Power Costs_Electric Rev Req Model (2009 GRC) Revised 01-18-2010" xfId="1279"/>
    <cellStyle name="_4.06E Pass Throughs_Rebuttal Power Costs_Electric Rev Req Model (2009 GRC) Revised 01-18-2010 2" xfId="1280"/>
    <cellStyle name="_4.06E Pass Throughs_Rebuttal Power Costs_Electric Rev Req Model (2009 GRC) Revised 01-18-2010 2 2" xfId="1281"/>
    <cellStyle name="_4.06E Pass Throughs_Rebuttal Power Costs_Electric Rev Req Model (2009 GRC) Revised 01-18-2010 3" xfId="1282"/>
    <cellStyle name="_4.06E Pass Throughs_Rebuttal Power Costs_Electric Rev Req Model (2009 GRC) Revised 01-18-2010_DEM-WP(C) ENERG10C--ctn Mid-C_042010 2010GRC" xfId="1283"/>
    <cellStyle name="_4.06E Pass Throughs_Rebuttal Power Costs_Final Order Electric EXHIBIT A-1" xfId="1284"/>
    <cellStyle name="_4.06E Pass Throughs_Rebuttal Power Costs_Final Order Electric EXHIBIT A-1 2" xfId="1285"/>
    <cellStyle name="_4.06E Pass Throughs_ROR 5.02" xfId="21236"/>
    <cellStyle name="_4.06E Pass Throughs_Wind Integration 10GRC" xfId="1286"/>
    <cellStyle name="_4.06E Pass Throughs_Wind Integration 10GRC 2" xfId="1287"/>
    <cellStyle name="_4.06E Pass Throughs_Wind Integration 10GRC 2 2" xfId="1288"/>
    <cellStyle name="_4.06E Pass Throughs_Wind Integration 10GRC 3" xfId="1289"/>
    <cellStyle name="_4.06E Pass Throughs_Wind Integration 10GRC_DEM-WP(C) ENERG10C--ctn Mid-C_042010 2010GRC" xfId="1290"/>
    <cellStyle name="_4.13E Montana Energy Tax" xfId="1291"/>
    <cellStyle name="_4.13E Montana Energy Tax 2" xfId="1292"/>
    <cellStyle name="_4.13E Montana Energy Tax 2 2" xfId="1293"/>
    <cellStyle name="_4.13E Montana Energy Tax 2 2 2" xfId="1294"/>
    <cellStyle name="_4.13E Montana Energy Tax 2 3" xfId="1295"/>
    <cellStyle name="_4.13E Montana Energy Tax 3" xfId="1296"/>
    <cellStyle name="_4.13E Montana Energy Tax 3 2" xfId="1297"/>
    <cellStyle name="_4.13E Montana Energy Tax 4" xfId="1298"/>
    <cellStyle name="_4.13E Montana Energy Tax 4 2" xfId="1299"/>
    <cellStyle name="_4.13E Montana Energy Tax 4 3" xfId="1300"/>
    <cellStyle name="_4.13E Montana Energy Tax 5" xfId="1301"/>
    <cellStyle name="_4.13E Montana Energy Tax 5 2" xfId="1302"/>
    <cellStyle name="_4.13E Montana Energy Tax 6" xfId="1303"/>
    <cellStyle name="_4.13E Montana Energy Tax 6 2" xfId="1304"/>
    <cellStyle name="_4.13E Montana Energy Tax 7" xfId="1305"/>
    <cellStyle name="_4.13E Montana Energy Tax 7 2" xfId="1306"/>
    <cellStyle name="_4.13E Montana Energy Tax_04 07E Wild Horse Wind Expansion (C) (2)" xfId="1307"/>
    <cellStyle name="_4.13E Montana Energy Tax_04 07E Wild Horse Wind Expansion (C) (2) 2" xfId="1308"/>
    <cellStyle name="_4.13E Montana Energy Tax_04 07E Wild Horse Wind Expansion (C) (2) 2 2" xfId="1309"/>
    <cellStyle name="_4.13E Montana Energy Tax_04 07E Wild Horse Wind Expansion (C) (2) 3" xfId="1310"/>
    <cellStyle name="_4.13E Montana Energy Tax_04 07E Wild Horse Wind Expansion (C) (2)_Adj Bench DR 3 for Initial Briefs (Electric)" xfId="1311"/>
    <cellStyle name="_4.13E Montana Energy Tax_04 07E Wild Horse Wind Expansion (C) (2)_Adj Bench DR 3 for Initial Briefs (Electric) 2" xfId="1312"/>
    <cellStyle name="_4.13E Montana Energy Tax_04 07E Wild Horse Wind Expansion (C) (2)_Adj Bench DR 3 for Initial Briefs (Electric) 2 2" xfId="1313"/>
    <cellStyle name="_4.13E Montana Energy Tax_04 07E Wild Horse Wind Expansion (C) (2)_Adj Bench DR 3 for Initial Briefs (Electric) 3" xfId="1314"/>
    <cellStyle name="_4.13E Montana Energy Tax_04 07E Wild Horse Wind Expansion (C) (2)_Adj Bench DR 3 for Initial Briefs (Electric)_DEM-WP(C) ENERG10C--ctn Mid-C_042010 2010GRC" xfId="1315"/>
    <cellStyle name="_4.13E Montana Energy Tax_04 07E Wild Horse Wind Expansion (C) (2)_Book1" xfId="1316"/>
    <cellStyle name="_4.13E Montana Energy Tax_04 07E Wild Horse Wind Expansion (C) (2)_DEM-WP(C) ENERG10C--ctn Mid-C_042010 2010GRC" xfId="1317"/>
    <cellStyle name="_4.13E Montana Energy Tax_04 07E Wild Horse Wind Expansion (C) (2)_Electric Rev Req Model (2009 GRC) " xfId="1318"/>
    <cellStyle name="_4.13E Montana Energy Tax_04 07E Wild Horse Wind Expansion (C) (2)_Electric Rev Req Model (2009 GRC)  2" xfId="1319"/>
    <cellStyle name="_4.13E Montana Energy Tax_04 07E Wild Horse Wind Expansion (C) (2)_Electric Rev Req Model (2009 GRC)  2 2" xfId="1320"/>
    <cellStyle name="_4.13E Montana Energy Tax_04 07E Wild Horse Wind Expansion (C) (2)_Electric Rev Req Model (2009 GRC)  3" xfId="1321"/>
    <cellStyle name="_4.13E Montana Energy Tax_04 07E Wild Horse Wind Expansion (C) (2)_Electric Rev Req Model (2009 GRC) _DEM-WP(C) ENERG10C--ctn Mid-C_042010 2010GRC" xfId="1322"/>
    <cellStyle name="_4.13E Montana Energy Tax_04 07E Wild Horse Wind Expansion (C) (2)_Electric Rev Req Model (2009 GRC) Rebuttal" xfId="1323"/>
    <cellStyle name="_4.13E Montana Energy Tax_04 07E Wild Horse Wind Expansion (C) (2)_Electric Rev Req Model (2009 GRC) Rebuttal 2" xfId="1324"/>
    <cellStyle name="_4.13E Montana Energy Tax_04 07E Wild Horse Wind Expansion (C) (2)_Electric Rev Req Model (2009 GRC) Rebuttal REmoval of New  WH Solar AdjustMI" xfId="1325"/>
    <cellStyle name="_4.13E Montana Energy Tax_04 07E Wild Horse Wind Expansion (C) (2)_Electric Rev Req Model (2009 GRC) Rebuttal REmoval of New  WH Solar AdjustMI 2" xfId="1326"/>
    <cellStyle name="_4.13E Montana Energy Tax_04 07E Wild Horse Wind Expansion (C) (2)_Electric Rev Req Model (2009 GRC) Rebuttal REmoval of New  WH Solar AdjustMI 2 2" xfId="1327"/>
    <cellStyle name="_4.13E Montana Energy Tax_04 07E Wild Horse Wind Expansion (C) (2)_Electric Rev Req Model (2009 GRC) Rebuttal REmoval of New  WH Solar AdjustMI 3" xfId="1328"/>
    <cellStyle name="_4.13E Montana Energy Tax_04 07E Wild Horse Wind Expansion (C) (2)_Electric Rev Req Model (2009 GRC) Rebuttal REmoval of New  WH Solar AdjustMI_DEM-WP(C) ENERG10C--ctn Mid-C_042010 2010GRC" xfId="1329"/>
    <cellStyle name="_4.13E Montana Energy Tax_04 07E Wild Horse Wind Expansion (C) (2)_Electric Rev Req Model (2009 GRC) Revised 01-18-2010" xfId="1330"/>
    <cellStyle name="_4.13E Montana Energy Tax_04 07E Wild Horse Wind Expansion (C) (2)_Electric Rev Req Model (2009 GRC) Revised 01-18-2010 2" xfId="1331"/>
    <cellStyle name="_4.13E Montana Energy Tax_04 07E Wild Horse Wind Expansion (C) (2)_Electric Rev Req Model (2009 GRC) Revised 01-18-2010 2 2" xfId="1332"/>
    <cellStyle name="_4.13E Montana Energy Tax_04 07E Wild Horse Wind Expansion (C) (2)_Electric Rev Req Model (2009 GRC) Revised 01-18-2010 3" xfId="1333"/>
    <cellStyle name="_4.13E Montana Energy Tax_04 07E Wild Horse Wind Expansion (C) (2)_Electric Rev Req Model (2009 GRC) Revised 01-18-2010_DEM-WP(C) ENERG10C--ctn Mid-C_042010 2010GRC" xfId="1334"/>
    <cellStyle name="_4.13E Montana Energy Tax_04 07E Wild Horse Wind Expansion (C) (2)_Electric Rev Req Model (2010 GRC)" xfId="1335"/>
    <cellStyle name="_4.13E Montana Energy Tax_04 07E Wild Horse Wind Expansion (C) (2)_Electric Rev Req Model (2010 GRC) SF" xfId="1336"/>
    <cellStyle name="_4.13E Montana Energy Tax_04 07E Wild Horse Wind Expansion (C) (2)_Final Order Electric EXHIBIT A-1" xfId="1337"/>
    <cellStyle name="_4.13E Montana Energy Tax_04 07E Wild Horse Wind Expansion (C) (2)_Final Order Electric EXHIBIT A-1 2" xfId="1338"/>
    <cellStyle name="_4.13E Montana Energy Tax_04 07E Wild Horse Wind Expansion (C) (2)_TENASKA REGULATORY ASSET" xfId="1339"/>
    <cellStyle name="_4.13E Montana Energy Tax_04 07E Wild Horse Wind Expansion (C) (2)_TENASKA REGULATORY ASSET 2" xfId="1340"/>
    <cellStyle name="_4.13E Montana Energy Tax_16.37E Wild Horse Expansion DeferralRevwrkingfile SF" xfId="1341"/>
    <cellStyle name="_4.13E Montana Energy Tax_16.37E Wild Horse Expansion DeferralRevwrkingfile SF 2" xfId="1342"/>
    <cellStyle name="_4.13E Montana Energy Tax_16.37E Wild Horse Expansion DeferralRevwrkingfile SF 2 2" xfId="1343"/>
    <cellStyle name="_4.13E Montana Energy Tax_16.37E Wild Horse Expansion DeferralRevwrkingfile SF 3" xfId="1344"/>
    <cellStyle name="_4.13E Montana Energy Tax_16.37E Wild Horse Expansion DeferralRevwrkingfile SF_DEM-WP(C) ENERG10C--ctn Mid-C_042010 2010GRC" xfId="1345"/>
    <cellStyle name="_4.13E Montana Energy Tax_2009 Compliance Filing PCA Exhibits for GRC" xfId="1346"/>
    <cellStyle name="_4.13E Montana Energy Tax_2009 Compliance Filing PCA Exhibits for GRC 2" xfId="1347"/>
    <cellStyle name="_4.13E Montana Energy Tax_2009 GRC Compl Filing - Exhibit D" xfId="1348"/>
    <cellStyle name="_4.13E Montana Energy Tax_2009 GRC Compl Filing - Exhibit D 2" xfId="1349"/>
    <cellStyle name="_4.13E Montana Energy Tax_2009 GRC Compl Filing - Exhibit D 2 2" xfId="1350"/>
    <cellStyle name="_4.13E Montana Energy Tax_2009 GRC Compl Filing - Exhibit D 3" xfId="1351"/>
    <cellStyle name="_4.13E Montana Energy Tax_2009 GRC Compl Filing - Exhibit D_DEM-WP(C) ENERG10C--ctn Mid-C_042010 2010GRC" xfId="1352"/>
    <cellStyle name="_4.13E Montana Energy Tax_3.01 Income Statement" xfId="1353"/>
    <cellStyle name="_4.13E Montana Energy Tax_4 31 Regulatory Assets and Liabilities  7 06- Exhibit D" xfId="1354"/>
    <cellStyle name="_4.13E Montana Energy Tax_4 31 Regulatory Assets and Liabilities  7 06- Exhibit D 2" xfId="1355"/>
    <cellStyle name="_4.13E Montana Energy Tax_4 31 Regulatory Assets and Liabilities  7 06- Exhibit D 2 2" xfId="1356"/>
    <cellStyle name="_4.13E Montana Energy Tax_4 31 Regulatory Assets and Liabilities  7 06- Exhibit D 3" xfId="1357"/>
    <cellStyle name="_4.13E Montana Energy Tax_4 31 Regulatory Assets and Liabilities  7 06- Exhibit D_DEM-WP(C) ENERG10C--ctn Mid-C_042010 2010GRC" xfId="1358"/>
    <cellStyle name="_4.13E Montana Energy Tax_4 31 Regulatory Assets and Liabilities  7 06- Exhibit D_NIM Summary" xfId="1359"/>
    <cellStyle name="_4.13E Montana Energy Tax_4 31 Regulatory Assets and Liabilities  7 06- Exhibit D_NIM Summary 2" xfId="1360"/>
    <cellStyle name="_4.13E Montana Energy Tax_4 31 Regulatory Assets and Liabilities  7 06- Exhibit D_NIM Summary 2 2" xfId="1361"/>
    <cellStyle name="_4.13E Montana Energy Tax_4 31 Regulatory Assets and Liabilities  7 06- Exhibit D_NIM Summary 3" xfId="1362"/>
    <cellStyle name="_4.13E Montana Energy Tax_4 31 Regulatory Assets and Liabilities  7 06- Exhibit D_NIM Summary_DEM-WP(C) ENERG10C--ctn Mid-C_042010 2010GRC" xfId="1363"/>
    <cellStyle name="_4.13E Montana Energy Tax_4 31E Reg Asset  Liab and EXH D" xfId="1364"/>
    <cellStyle name="_4.13E Montana Energy Tax_4 31E Reg Asset  Liab and EXH D _ Aug 10 Filing (2)" xfId="1365"/>
    <cellStyle name="_4.13E Montana Energy Tax_4 31E Reg Asset  Liab and EXH D _ Aug 10 Filing (2) 2" xfId="1366"/>
    <cellStyle name="_4.13E Montana Energy Tax_4 31E Reg Asset  Liab and EXH D 2" xfId="1367"/>
    <cellStyle name="_4.13E Montana Energy Tax_4 31E Reg Asset  Liab and EXH D 3" xfId="1368"/>
    <cellStyle name="_4.13E Montana Energy Tax_4 32 Regulatory Assets and Liabilities  7 06- Exhibit D" xfId="1369"/>
    <cellStyle name="_4.13E Montana Energy Tax_4 32 Regulatory Assets and Liabilities  7 06- Exhibit D 2" xfId="1370"/>
    <cellStyle name="_4.13E Montana Energy Tax_4 32 Regulatory Assets and Liabilities  7 06- Exhibit D 2 2" xfId="1371"/>
    <cellStyle name="_4.13E Montana Energy Tax_4 32 Regulatory Assets and Liabilities  7 06- Exhibit D 3" xfId="1372"/>
    <cellStyle name="_4.13E Montana Energy Tax_4 32 Regulatory Assets and Liabilities  7 06- Exhibit D_DEM-WP(C) ENERG10C--ctn Mid-C_042010 2010GRC" xfId="1373"/>
    <cellStyle name="_4.13E Montana Energy Tax_4 32 Regulatory Assets and Liabilities  7 06- Exhibit D_NIM Summary" xfId="1374"/>
    <cellStyle name="_4.13E Montana Energy Tax_4 32 Regulatory Assets and Liabilities  7 06- Exhibit D_NIM Summary 2" xfId="1375"/>
    <cellStyle name="_4.13E Montana Energy Tax_4 32 Regulatory Assets and Liabilities  7 06- Exhibit D_NIM Summary 2 2" xfId="1376"/>
    <cellStyle name="_4.13E Montana Energy Tax_4 32 Regulatory Assets and Liabilities  7 06- Exhibit D_NIM Summary 3" xfId="1377"/>
    <cellStyle name="_4.13E Montana Energy Tax_4 32 Regulatory Assets and Liabilities  7 06- Exhibit D_NIM Summary_DEM-WP(C) ENERG10C--ctn Mid-C_042010 2010GRC" xfId="1378"/>
    <cellStyle name="_4.13E Montana Energy Tax_AURORA Total New" xfId="1379"/>
    <cellStyle name="_4.13E Montana Energy Tax_AURORA Total New 2" xfId="1380"/>
    <cellStyle name="_4.13E Montana Energy Tax_AURORA Total New 2 2" xfId="1381"/>
    <cellStyle name="_4.13E Montana Energy Tax_AURORA Total New 3" xfId="1382"/>
    <cellStyle name="_4.13E Montana Energy Tax_Book2" xfId="1383"/>
    <cellStyle name="_4.13E Montana Energy Tax_Book2 2" xfId="1384"/>
    <cellStyle name="_4.13E Montana Energy Tax_Book2 2 2" xfId="1385"/>
    <cellStyle name="_4.13E Montana Energy Tax_Book2 3" xfId="1386"/>
    <cellStyle name="_4.13E Montana Energy Tax_Book2_Adj Bench DR 3 for Initial Briefs (Electric)" xfId="1387"/>
    <cellStyle name="_4.13E Montana Energy Tax_Book2_Adj Bench DR 3 for Initial Briefs (Electric) 2" xfId="1388"/>
    <cellStyle name="_4.13E Montana Energy Tax_Book2_Adj Bench DR 3 for Initial Briefs (Electric) 2 2" xfId="1389"/>
    <cellStyle name="_4.13E Montana Energy Tax_Book2_Adj Bench DR 3 for Initial Briefs (Electric) 3" xfId="1390"/>
    <cellStyle name="_4.13E Montana Energy Tax_Book2_Adj Bench DR 3 for Initial Briefs (Electric)_DEM-WP(C) ENERG10C--ctn Mid-C_042010 2010GRC" xfId="1391"/>
    <cellStyle name="_4.13E Montana Energy Tax_Book2_DEM-WP(C) ENERG10C--ctn Mid-C_042010 2010GRC" xfId="1392"/>
    <cellStyle name="_4.13E Montana Energy Tax_Book2_Electric Rev Req Model (2009 GRC) Rebuttal" xfId="1393"/>
    <cellStyle name="_4.13E Montana Energy Tax_Book2_Electric Rev Req Model (2009 GRC) Rebuttal 2" xfId="1394"/>
    <cellStyle name="_4.13E Montana Energy Tax_Book2_Electric Rev Req Model (2009 GRC) Rebuttal REmoval of New  WH Solar AdjustMI" xfId="1395"/>
    <cellStyle name="_4.13E Montana Energy Tax_Book2_Electric Rev Req Model (2009 GRC) Rebuttal REmoval of New  WH Solar AdjustMI 2" xfId="1396"/>
    <cellStyle name="_4.13E Montana Energy Tax_Book2_Electric Rev Req Model (2009 GRC) Rebuttal REmoval of New  WH Solar AdjustMI 2 2" xfId="1397"/>
    <cellStyle name="_4.13E Montana Energy Tax_Book2_Electric Rev Req Model (2009 GRC) Rebuttal REmoval of New  WH Solar AdjustMI 3" xfId="1398"/>
    <cellStyle name="_4.13E Montana Energy Tax_Book2_Electric Rev Req Model (2009 GRC) Rebuttal REmoval of New  WH Solar AdjustMI_DEM-WP(C) ENERG10C--ctn Mid-C_042010 2010GRC" xfId="1399"/>
    <cellStyle name="_4.13E Montana Energy Tax_Book2_Electric Rev Req Model (2009 GRC) Revised 01-18-2010" xfId="1400"/>
    <cellStyle name="_4.13E Montana Energy Tax_Book2_Electric Rev Req Model (2009 GRC) Revised 01-18-2010 2" xfId="1401"/>
    <cellStyle name="_4.13E Montana Energy Tax_Book2_Electric Rev Req Model (2009 GRC) Revised 01-18-2010 2 2" xfId="1402"/>
    <cellStyle name="_4.13E Montana Energy Tax_Book2_Electric Rev Req Model (2009 GRC) Revised 01-18-2010 3" xfId="1403"/>
    <cellStyle name="_4.13E Montana Energy Tax_Book2_Electric Rev Req Model (2009 GRC) Revised 01-18-2010_DEM-WP(C) ENERG10C--ctn Mid-C_042010 2010GRC" xfId="1404"/>
    <cellStyle name="_4.13E Montana Energy Tax_Book2_Final Order Electric EXHIBIT A-1" xfId="1405"/>
    <cellStyle name="_4.13E Montana Energy Tax_Book2_Final Order Electric EXHIBIT A-1 2" xfId="1406"/>
    <cellStyle name="_4.13E Montana Energy Tax_Book4" xfId="1407"/>
    <cellStyle name="_4.13E Montana Energy Tax_Book4 2" xfId="1408"/>
    <cellStyle name="_4.13E Montana Energy Tax_Book4 2 2" xfId="1409"/>
    <cellStyle name="_4.13E Montana Energy Tax_Book4 3" xfId="1410"/>
    <cellStyle name="_4.13E Montana Energy Tax_Book4_DEM-WP(C) ENERG10C--ctn Mid-C_042010 2010GRC" xfId="1411"/>
    <cellStyle name="_4.13E Montana Energy Tax_Book9" xfId="1412"/>
    <cellStyle name="_4.13E Montana Energy Tax_Book9 2" xfId="1413"/>
    <cellStyle name="_4.13E Montana Energy Tax_Book9 2 2" xfId="1414"/>
    <cellStyle name="_4.13E Montana Energy Tax_Book9 3" xfId="1415"/>
    <cellStyle name="_4.13E Montana Energy Tax_Book9_DEM-WP(C) ENERG10C--ctn Mid-C_042010 2010GRC" xfId="1416"/>
    <cellStyle name="_4.13E Montana Energy Tax_Chelan PUD Power Costs (8-10)" xfId="1417"/>
    <cellStyle name="_4.13E Montana Energy Tax_Chelan PUD Power Costs (8-10) 2" xfId="1418"/>
    <cellStyle name="_4.13E Montana Energy Tax_DEM-WP(C) Chelan Power Costs" xfId="1419"/>
    <cellStyle name="_4.13E Montana Energy Tax_DEM-WP(C) Chelan Power Costs 2" xfId="1420"/>
    <cellStyle name="_4.13E Montana Energy Tax_DEM-WP(C) ENERG10C--ctn Mid-C_042010 2010GRC" xfId="1421"/>
    <cellStyle name="_4.13E Montana Energy Tax_DEM-WP(C) Gas Transport 2010GRC" xfId="1422"/>
    <cellStyle name="_4.13E Montana Energy Tax_DEM-WP(C) Gas Transport 2010GRC 2" xfId="1423"/>
    <cellStyle name="_4.13E Montana Energy Tax_Exh A-1 resulting from UE-112050 effective Jan 1 2012" xfId="1424"/>
    <cellStyle name="_4.13E Montana Energy Tax_Exh G - Klamath Peaker PPA fr C Locke 2-12" xfId="1425"/>
    <cellStyle name="_4.13E Montana Energy Tax_Exhibit A-1 effective 4-1-11 fr S Free 12-11" xfId="1426"/>
    <cellStyle name="_4.13E Montana Energy Tax_Mint Farm Generation BPA" xfId="1427"/>
    <cellStyle name="_4.13E Montana Energy Tax_NIM Summary" xfId="1428"/>
    <cellStyle name="_4.13E Montana Energy Tax_NIM Summary 09GRC" xfId="1429"/>
    <cellStyle name="_4.13E Montana Energy Tax_NIM Summary 09GRC 2" xfId="1430"/>
    <cellStyle name="_4.13E Montana Energy Tax_NIM Summary 09GRC 2 2" xfId="1431"/>
    <cellStyle name="_4.13E Montana Energy Tax_NIM Summary 09GRC 3" xfId="1432"/>
    <cellStyle name="_4.13E Montana Energy Tax_NIM Summary 09GRC_DEM-WP(C) ENERG10C--ctn Mid-C_042010 2010GRC" xfId="1433"/>
    <cellStyle name="_4.13E Montana Energy Tax_NIM Summary 10" xfId="1434"/>
    <cellStyle name="_4.13E Montana Energy Tax_NIM Summary 11" xfId="1435"/>
    <cellStyle name="_4.13E Montana Energy Tax_NIM Summary 12" xfId="1436"/>
    <cellStyle name="_4.13E Montana Energy Tax_NIM Summary 13" xfId="1437"/>
    <cellStyle name="_4.13E Montana Energy Tax_NIM Summary 14" xfId="1438"/>
    <cellStyle name="_4.13E Montana Energy Tax_NIM Summary 15" xfId="1439"/>
    <cellStyle name="_4.13E Montana Energy Tax_NIM Summary 16" xfId="1440"/>
    <cellStyle name="_4.13E Montana Energy Tax_NIM Summary 17" xfId="1441"/>
    <cellStyle name="_4.13E Montana Energy Tax_NIM Summary 18" xfId="1442"/>
    <cellStyle name="_4.13E Montana Energy Tax_NIM Summary 19" xfId="1443"/>
    <cellStyle name="_4.13E Montana Energy Tax_NIM Summary 2" xfId="1444"/>
    <cellStyle name="_4.13E Montana Energy Tax_NIM Summary 2 2" xfId="1445"/>
    <cellStyle name="_4.13E Montana Energy Tax_NIM Summary 20" xfId="1446"/>
    <cellStyle name="_4.13E Montana Energy Tax_NIM Summary 21" xfId="1447"/>
    <cellStyle name="_4.13E Montana Energy Tax_NIM Summary 22" xfId="1448"/>
    <cellStyle name="_4.13E Montana Energy Tax_NIM Summary 23" xfId="1449"/>
    <cellStyle name="_4.13E Montana Energy Tax_NIM Summary 24" xfId="1450"/>
    <cellStyle name="_4.13E Montana Energy Tax_NIM Summary 25" xfId="1451"/>
    <cellStyle name="_4.13E Montana Energy Tax_NIM Summary 26" xfId="1452"/>
    <cellStyle name="_4.13E Montana Energy Tax_NIM Summary 27" xfId="1453"/>
    <cellStyle name="_4.13E Montana Energy Tax_NIM Summary 28" xfId="1454"/>
    <cellStyle name="_4.13E Montana Energy Tax_NIM Summary 29" xfId="1455"/>
    <cellStyle name="_4.13E Montana Energy Tax_NIM Summary 3" xfId="1456"/>
    <cellStyle name="_4.13E Montana Energy Tax_NIM Summary 30" xfId="1457"/>
    <cellStyle name="_4.13E Montana Energy Tax_NIM Summary 31" xfId="1458"/>
    <cellStyle name="_4.13E Montana Energy Tax_NIM Summary 32" xfId="1459"/>
    <cellStyle name="_4.13E Montana Energy Tax_NIM Summary 33" xfId="1460"/>
    <cellStyle name="_4.13E Montana Energy Tax_NIM Summary 34" xfId="1461"/>
    <cellStyle name="_4.13E Montana Energy Tax_NIM Summary 35" xfId="1462"/>
    <cellStyle name="_4.13E Montana Energy Tax_NIM Summary 36" xfId="1463"/>
    <cellStyle name="_4.13E Montana Energy Tax_NIM Summary 37" xfId="1464"/>
    <cellStyle name="_4.13E Montana Energy Tax_NIM Summary 38" xfId="1465"/>
    <cellStyle name="_4.13E Montana Energy Tax_NIM Summary 39" xfId="1466"/>
    <cellStyle name="_4.13E Montana Energy Tax_NIM Summary 4" xfId="1467"/>
    <cellStyle name="_4.13E Montana Energy Tax_NIM Summary 40" xfId="1468"/>
    <cellStyle name="_4.13E Montana Energy Tax_NIM Summary 41" xfId="1469"/>
    <cellStyle name="_4.13E Montana Energy Tax_NIM Summary 42" xfId="1470"/>
    <cellStyle name="_4.13E Montana Energy Tax_NIM Summary 43" xfId="1471"/>
    <cellStyle name="_4.13E Montana Energy Tax_NIM Summary 44" xfId="1472"/>
    <cellStyle name="_4.13E Montana Energy Tax_NIM Summary 45" xfId="1473"/>
    <cellStyle name="_4.13E Montana Energy Tax_NIM Summary 46" xfId="1474"/>
    <cellStyle name="_4.13E Montana Energy Tax_NIM Summary 47" xfId="1475"/>
    <cellStyle name="_4.13E Montana Energy Tax_NIM Summary 48" xfId="1476"/>
    <cellStyle name="_4.13E Montana Energy Tax_NIM Summary 49" xfId="1477"/>
    <cellStyle name="_4.13E Montana Energy Tax_NIM Summary 5" xfId="1478"/>
    <cellStyle name="_4.13E Montana Energy Tax_NIM Summary 50" xfId="1479"/>
    <cellStyle name="_4.13E Montana Energy Tax_NIM Summary 51" xfId="1480"/>
    <cellStyle name="_4.13E Montana Energy Tax_NIM Summary 52" xfId="1481"/>
    <cellStyle name="_4.13E Montana Energy Tax_NIM Summary 6" xfId="1482"/>
    <cellStyle name="_4.13E Montana Energy Tax_NIM Summary 7" xfId="1483"/>
    <cellStyle name="_4.13E Montana Energy Tax_NIM Summary 8" xfId="1484"/>
    <cellStyle name="_4.13E Montana Energy Tax_NIM Summary 9" xfId="1485"/>
    <cellStyle name="_4.13E Montana Energy Tax_NIM Summary_DEM-WP(C) ENERG10C--ctn Mid-C_042010 2010GRC" xfId="1486"/>
    <cellStyle name="_4.13E Montana Energy Tax_PCA 10 -  Exhibit D Dec 2011" xfId="1487"/>
    <cellStyle name="_4.13E Montana Energy Tax_PCA 10 -  Exhibit D from A Kellogg Jan 2011" xfId="1488"/>
    <cellStyle name="_4.13E Montana Energy Tax_PCA 10 -  Exhibit D from A Kellogg July 2011" xfId="1489"/>
    <cellStyle name="_4.13E Montana Energy Tax_PCA 10 -  Exhibit D from S Free Rcv'd 12-11" xfId="1490"/>
    <cellStyle name="_4.13E Montana Energy Tax_PCA 11 -  Exhibit D Jan 2012 fr A Kellogg" xfId="1491"/>
    <cellStyle name="_4.13E Montana Energy Tax_PCA 11 -  Exhibit D Jan 2012 WF" xfId="1492"/>
    <cellStyle name="_4.13E Montana Energy Tax_PCA 9 -  Exhibit D April 2010" xfId="1493"/>
    <cellStyle name="_4.13E Montana Energy Tax_PCA 9 -  Exhibit D April 2010 (3)" xfId="1494"/>
    <cellStyle name="_4.13E Montana Energy Tax_PCA 9 -  Exhibit D April 2010 (3) 2" xfId="1495"/>
    <cellStyle name="_4.13E Montana Energy Tax_PCA 9 -  Exhibit D April 2010 (3) 2 2" xfId="1496"/>
    <cellStyle name="_4.13E Montana Energy Tax_PCA 9 -  Exhibit D April 2010 (3) 3" xfId="1497"/>
    <cellStyle name="_4.13E Montana Energy Tax_PCA 9 -  Exhibit D April 2010 (3)_DEM-WP(C) ENERG10C--ctn Mid-C_042010 2010GRC" xfId="1498"/>
    <cellStyle name="_4.13E Montana Energy Tax_PCA 9 -  Exhibit D April 2010 2" xfId="1499"/>
    <cellStyle name="_4.13E Montana Energy Tax_PCA 9 -  Exhibit D April 2010 3" xfId="1500"/>
    <cellStyle name="_4.13E Montana Energy Tax_PCA 9 -  Exhibit D April 2010 4" xfId="1501"/>
    <cellStyle name="_4.13E Montana Energy Tax_PCA 9 -  Exhibit D April 2010 5" xfId="1502"/>
    <cellStyle name="_4.13E Montana Energy Tax_PCA 9 -  Exhibit D April 2010 6" xfId="1503"/>
    <cellStyle name="_4.13E Montana Energy Tax_PCA 9 -  Exhibit D Nov 2010" xfId="1504"/>
    <cellStyle name="_4.13E Montana Energy Tax_PCA 9 -  Exhibit D Nov 2010 2" xfId="1505"/>
    <cellStyle name="_4.13E Montana Energy Tax_PCA 9 - Exhibit D at August 2010" xfId="1506"/>
    <cellStyle name="_4.13E Montana Energy Tax_PCA 9 - Exhibit D at August 2010 2" xfId="1507"/>
    <cellStyle name="_4.13E Montana Energy Tax_PCA 9 - Exhibit D June 2010 GRC" xfId="1508"/>
    <cellStyle name="_4.13E Montana Energy Tax_PCA 9 - Exhibit D June 2010 GRC 2" xfId="1509"/>
    <cellStyle name="_4.13E Montana Energy Tax_Power Costs - Comparison bx Rbtl-Staff-Jt-PC" xfId="1510"/>
    <cellStyle name="_4.13E Montana Energy Tax_Power Costs - Comparison bx Rbtl-Staff-Jt-PC 2" xfId="1511"/>
    <cellStyle name="_4.13E Montana Energy Tax_Power Costs - Comparison bx Rbtl-Staff-Jt-PC 2 2" xfId="1512"/>
    <cellStyle name="_4.13E Montana Energy Tax_Power Costs - Comparison bx Rbtl-Staff-Jt-PC 3" xfId="1513"/>
    <cellStyle name="_4.13E Montana Energy Tax_Power Costs - Comparison bx Rbtl-Staff-Jt-PC_Adj Bench DR 3 for Initial Briefs (Electric)" xfId="1514"/>
    <cellStyle name="_4.13E Montana Energy Tax_Power Costs - Comparison bx Rbtl-Staff-Jt-PC_Adj Bench DR 3 for Initial Briefs (Electric) 2" xfId="1515"/>
    <cellStyle name="_4.13E Montana Energy Tax_Power Costs - Comparison bx Rbtl-Staff-Jt-PC_Adj Bench DR 3 for Initial Briefs (Electric) 2 2" xfId="1516"/>
    <cellStyle name="_4.13E Montana Energy Tax_Power Costs - Comparison bx Rbtl-Staff-Jt-PC_Adj Bench DR 3 for Initial Briefs (Electric) 3" xfId="1517"/>
    <cellStyle name="_4.13E Montana Energy Tax_Power Costs - Comparison bx Rbtl-Staff-Jt-PC_Adj Bench DR 3 for Initial Briefs (Electric)_DEM-WP(C) ENERG10C--ctn Mid-C_042010 2010GRC" xfId="1518"/>
    <cellStyle name="_4.13E Montana Energy Tax_Power Costs - Comparison bx Rbtl-Staff-Jt-PC_DEM-WP(C) ENERG10C--ctn Mid-C_042010 2010GRC" xfId="1519"/>
    <cellStyle name="_4.13E Montana Energy Tax_Power Costs - Comparison bx Rbtl-Staff-Jt-PC_Electric Rev Req Model (2009 GRC) Rebuttal" xfId="1520"/>
    <cellStyle name="_4.13E Montana Energy Tax_Power Costs - Comparison bx Rbtl-Staff-Jt-PC_Electric Rev Req Model (2009 GRC) Rebuttal 2" xfId="1521"/>
    <cellStyle name="_4.13E Montana Energy Tax_Power Costs - Comparison bx Rbtl-Staff-Jt-PC_Electric Rev Req Model (2009 GRC) Rebuttal REmoval of New  WH Solar AdjustMI" xfId="1522"/>
    <cellStyle name="_4.13E Montana Energy Tax_Power Costs - Comparison bx Rbtl-Staff-Jt-PC_Electric Rev Req Model (2009 GRC) Rebuttal REmoval of New  WH Solar AdjustMI 2" xfId="1523"/>
    <cellStyle name="_4.13E Montana Energy Tax_Power Costs - Comparison bx Rbtl-Staff-Jt-PC_Electric Rev Req Model (2009 GRC) Rebuttal REmoval of New  WH Solar AdjustMI 2 2" xfId="1524"/>
    <cellStyle name="_4.13E Montana Energy Tax_Power Costs - Comparison bx Rbtl-Staff-Jt-PC_Electric Rev Req Model (2009 GRC) Rebuttal REmoval of New  WH Solar AdjustMI 3" xfId="1525"/>
    <cellStyle name="_4.13E Montana Energy Tax_Power Costs - Comparison bx Rbtl-Staff-Jt-PC_Electric Rev Req Model (2009 GRC) Rebuttal REmoval of New  WH Solar AdjustMI_DEM-WP(C) ENERG10C--ctn Mid-C_042010 2010GRC" xfId="1526"/>
    <cellStyle name="_4.13E Montana Energy Tax_Power Costs - Comparison bx Rbtl-Staff-Jt-PC_Electric Rev Req Model (2009 GRC) Revised 01-18-2010" xfId="1527"/>
    <cellStyle name="_4.13E Montana Energy Tax_Power Costs - Comparison bx Rbtl-Staff-Jt-PC_Electric Rev Req Model (2009 GRC) Revised 01-18-2010 2" xfId="1528"/>
    <cellStyle name="_4.13E Montana Energy Tax_Power Costs - Comparison bx Rbtl-Staff-Jt-PC_Electric Rev Req Model (2009 GRC) Revised 01-18-2010 2 2" xfId="1529"/>
    <cellStyle name="_4.13E Montana Energy Tax_Power Costs - Comparison bx Rbtl-Staff-Jt-PC_Electric Rev Req Model (2009 GRC) Revised 01-18-2010 3" xfId="1530"/>
    <cellStyle name="_4.13E Montana Energy Tax_Power Costs - Comparison bx Rbtl-Staff-Jt-PC_Electric Rev Req Model (2009 GRC) Revised 01-18-2010_DEM-WP(C) ENERG10C--ctn Mid-C_042010 2010GRC" xfId="1531"/>
    <cellStyle name="_4.13E Montana Energy Tax_Power Costs - Comparison bx Rbtl-Staff-Jt-PC_Final Order Electric EXHIBIT A-1" xfId="1532"/>
    <cellStyle name="_4.13E Montana Energy Tax_Power Costs - Comparison bx Rbtl-Staff-Jt-PC_Final Order Electric EXHIBIT A-1 2" xfId="1533"/>
    <cellStyle name="_4.13E Montana Energy Tax_Production Adj 4.37" xfId="21237"/>
    <cellStyle name="_4.13E Montana Energy Tax_Purchased Power Adj 4.03" xfId="21238"/>
    <cellStyle name="_4.13E Montana Energy Tax_Rebuttal Power Costs" xfId="1534"/>
    <cellStyle name="_4.13E Montana Energy Tax_Rebuttal Power Costs 2" xfId="1535"/>
    <cellStyle name="_4.13E Montana Energy Tax_Rebuttal Power Costs 2 2" xfId="1536"/>
    <cellStyle name="_4.13E Montana Energy Tax_Rebuttal Power Costs 3" xfId="1537"/>
    <cellStyle name="_4.13E Montana Energy Tax_Rebuttal Power Costs_Adj Bench DR 3 for Initial Briefs (Electric)" xfId="1538"/>
    <cellStyle name="_4.13E Montana Energy Tax_Rebuttal Power Costs_Adj Bench DR 3 for Initial Briefs (Electric) 2" xfId="1539"/>
    <cellStyle name="_4.13E Montana Energy Tax_Rebuttal Power Costs_Adj Bench DR 3 for Initial Briefs (Electric) 2 2" xfId="1540"/>
    <cellStyle name="_4.13E Montana Energy Tax_Rebuttal Power Costs_Adj Bench DR 3 for Initial Briefs (Electric) 3" xfId="1541"/>
    <cellStyle name="_4.13E Montana Energy Tax_Rebuttal Power Costs_Adj Bench DR 3 for Initial Briefs (Electric)_DEM-WP(C) ENERG10C--ctn Mid-C_042010 2010GRC" xfId="1542"/>
    <cellStyle name="_4.13E Montana Energy Tax_Rebuttal Power Costs_DEM-WP(C) ENERG10C--ctn Mid-C_042010 2010GRC" xfId="1543"/>
    <cellStyle name="_4.13E Montana Energy Tax_Rebuttal Power Costs_Electric Rev Req Model (2009 GRC) Rebuttal" xfId="1544"/>
    <cellStyle name="_4.13E Montana Energy Tax_Rebuttal Power Costs_Electric Rev Req Model (2009 GRC) Rebuttal 2" xfId="1545"/>
    <cellStyle name="_4.13E Montana Energy Tax_Rebuttal Power Costs_Electric Rev Req Model (2009 GRC) Rebuttal REmoval of New  WH Solar AdjustMI" xfId="1546"/>
    <cellStyle name="_4.13E Montana Energy Tax_Rebuttal Power Costs_Electric Rev Req Model (2009 GRC) Rebuttal REmoval of New  WH Solar AdjustMI 2" xfId="1547"/>
    <cellStyle name="_4.13E Montana Energy Tax_Rebuttal Power Costs_Electric Rev Req Model (2009 GRC) Rebuttal REmoval of New  WH Solar AdjustMI 2 2" xfId="1548"/>
    <cellStyle name="_4.13E Montana Energy Tax_Rebuttal Power Costs_Electric Rev Req Model (2009 GRC) Rebuttal REmoval of New  WH Solar AdjustMI 3" xfId="1549"/>
    <cellStyle name="_4.13E Montana Energy Tax_Rebuttal Power Costs_Electric Rev Req Model (2009 GRC) Rebuttal REmoval of New  WH Solar AdjustMI_DEM-WP(C) ENERG10C--ctn Mid-C_042010 2010GRC" xfId="1550"/>
    <cellStyle name="_4.13E Montana Energy Tax_Rebuttal Power Costs_Electric Rev Req Model (2009 GRC) Revised 01-18-2010" xfId="1551"/>
    <cellStyle name="_4.13E Montana Energy Tax_Rebuttal Power Costs_Electric Rev Req Model (2009 GRC) Revised 01-18-2010 2" xfId="1552"/>
    <cellStyle name="_4.13E Montana Energy Tax_Rebuttal Power Costs_Electric Rev Req Model (2009 GRC) Revised 01-18-2010 2 2" xfId="1553"/>
    <cellStyle name="_4.13E Montana Energy Tax_Rebuttal Power Costs_Electric Rev Req Model (2009 GRC) Revised 01-18-2010 3" xfId="1554"/>
    <cellStyle name="_4.13E Montana Energy Tax_Rebuttal Power Costs_Electric Rev Req Model (2009 GRC) Revised 01-18-2010_DEM-WP(C) ENERG10C--ctn Mid-C_042010 2010GRC" xfId="1555"/>
    <cellStyle name="_4.13E Montana Energy Tax_Rebuttal Power Costs_Final Order Electric EXHIBIT A-1" xfId="1556"/>
    <cellStyle name="_4.13E Montana Energy Tax_Rebuttal Power Costs_Final Order Electric EXHIBIT A-1 2" xfId="1557"/>
    <cellStyle name="_4.13E Montana Energy Tax_ROR 5.02" xfId="21239"/>
    <cellStyle name="_4.13E Montana Energy Tax_Wind Integration 10GRC" xfId="1558"/>
    <cellStyle name="_4.13E Montana Energy Tax_Wind Integration 10GRC 2" xfId="1559"/>
    <cellStyle name="_4.13E Montana Energy Tax_Wind Integration 10GRC 2 2" xfId="1560"/>
    <cellStyle name="_4.13E Montana Energy Tax_Wind Integration 10GRC 3" xfId="1561"/>
    <cellStyle name="_4.13E Montana Energy Tax_Wind Integration 10GRC_DEM-WP(C) ENERG10C--ctn Mid-C_042010 2010GRC" xfId="1562"/>
    <cellStyle name="_5 year summary (9-25-09)" xfId="1563"/>
    <cellStyle name="_5 year summary (9-25-09) 2" xfId="1564"/>
    <cellStyle name="_x0013__Adj Bench DR 3 for Initial Briefs (Electric)" xfId="1565"/>
    <cellStyle name="_x0013__Adj Bench DR 3 for Initial Briefs (Electric) 2" xfId="1566"/>
    <cellStyle name="_x0013__Adj Bench DR 3 for Initial Briefs (Electric) 2 2" xfId="1567"/>
    <cellStyle name="_x0013__Adj Bench DR 3 for Initial Briefs (Electric) 3" xfId="1568"/>
    <cellStyle name="_x0013__Adj Bench DR 3 for Initial Briefs (Electric)_DEM-WP(C) ENERG10C--ctn Mid-C_042010 2010GRC" xfId="1569"/>
    <cellStyle name="_AURORA WIP" xfId="1570"/>
    <cellStyle name="_AURORA WIP 2" xfId="1571"/>
    <cellStyle name="_AURORA WIP 2 2" xfId="1572"/>
    <cellStyle name="_AURORA WIP 2 2 2" xfId="1573"/>
    <cellStyle name="_AURORA WIP 3" xfId="1574"/>
    <cellStyle name="_AURORA WIP 4" xfId="1575"/>
    <cellStyle name="_AURORA WIP 4 2" xfId="1576"/>
    <cellStyle name="_AURORA WIP 5" xfId="1577"/>
    <cellStyle name="_AURORA WIP 5 2" xfId="1578"/>
    <cellStyle name="_AURORA WIP_4 31E Reg Asset  Liab and EXH D" xfId="1579"/>
    <cellStyle name="_AURORA WIP_4 31E Reg Asset  Liab and EXH D _ Aug 10 Filing (2)" xfId="1580"/>
    <cellStyle name="_AURORA WIP_4 31E Reg Asset  Liab and EXH D _ Aug 10 Filing (2) 2" xfId="1581"/>
    <cellStyle name="_AURORA WIP_4 31E Reg Asset  Liab and EXH D 2" xfId="1582"/>
    <cellStyle name="_AURORA WIP_4 31E Reg Asset  Liab and EXH D 3" xfId="1583"/>
    <cellStyle name="_AURORA WIP_Chelan PUD Power Costs (8-10)" xfId="1584"/>
    <cellStyle name="_AURORA WIP_Chelan PUD Power Costs (8-10) 2" xfId="1585"/>
    <cellStyle name="_AURORA WIP_compare wind integration" xfId="1586"/>
    <cellStyle name="_AURORA WIP_DEM-WP(C) Chelan Power Costs" xfId="1587"/>
    <cellStyle name="_AURORA WIP_DEM-WP(C) Chelan Power Costs 2" xfId="1588"/>
    <cellStyle name="_AURORA WIP_DEM-WP(C) Costs Not In AURORA 2010GRC As Filed" xfId="1589"/>
    <cellStyle name="_AURORA WIP_DEM-WP(C) Costs Not In AURORA 2010GRC As Filed 2" xfId="1590"/>
    <cellStyle name="_AURORA WIP_DEM-WP(C) Costs Not In AURORA 2010GRC As Filed 2 2" xfId="1591"/>
    <cellStyle name="_AURORA WIP_DEM-WP(C) Costs Not In AURORA 2010GRC As Filed 2 3" xfId="1592"/>
    <cellStyle name="_AURORA WIP_DEM-WP(C) Costs Not In AURORA 2010GRC As Filed 3" xfId="1593"/>
    <cellStyle name="_AURORA WIP_DEM-WP(C) Costs Not In AURORA 2010GRC As Filed 3 2" xfId="1594"/>
    <cellStyle name="_AURORA WIP_DEM-WP(C) Costs Not In AURORA 2010GRC As Filed 4" xfId="1595"/>
    <cellStyle name="_AURORA WIP_DEM-WP(C) Costs Not In AURORA 2010GRC As Filed 4 2" xfId="1596"/>
    <cellStyle name="_AURORA WIP_DEM-WP(C) Costs Not In AURORA 2010GRC As Filed 5" xfId="1597"/>
    <cellStyle name="_AURORA WIP_DEM-WP(C) Costs Not In AURORA 2010GRC As Filed 5 2" xfId="1598"/>
    <cellStyle name="_AURORA WIP_DEM-WP(C) Costs Not In AURORA 2010GRC As Filed 6" xfId="1599"/>
    <cellStyle name="_AURORA WIP_DEM-WP(C) Costs Not In AURORA 2010GRC As Filed 6 2" xfId="1600"/>
    <cellStyle name="_AURORA WIP_DEM-WP(C) Costs Not In AURORA 2010GRC As Filed_DEM-WP(C) ENERG10C--ctn Mid-C_042010 2010GRC" xfId="1601"/>
    <cellStyle name="_AURORA WIP_DEM-WP(C) ENERG10C--ctn Mid-C_042010 2010GRC" xfId="1602"/>
    <cellStyle name="_AURORA WIP_DEM-WP(C) Gas Transport 2010GRC" xfId="1603"/>
    <cellStyle name="_AURORA WIP_DEM-WP(C) Gas Transport 2010GRC 2" xfId="1604"/>
    <cellStyle name="_AURORA WIP_NIM Summary" xfId="1605"/>
    <cellStyle name="_AURORA WIP_NIM Summary 09GRC" xfId="1606"/>
    <cellStyle name="_AURORA WIP_NIM Summary 09GRC 2" xfId="1607"/>
    <cellStyle name="_AURORA WIP_NIM Summary 09GRC 2 2" xfId="1608"/>
    <cellStyle name="_AURORA WIP_NIM Summary 09GRC 3" xfId="1609"/>
    <cellStyle name="_AURORA WIP_NIM Summary 09GRC_DEM-WP(C) ENERG10C--ctn Mid-C_042010 2010GRC" xfId="1610"/>
    <cellStyle name="_AURORA WIP_NIM Summary 10" xfId="1611"/>
    <cellStyle name="_AURORA WIP_NIM Summary 11" xfId="1612"/>
    <cellStyle name="_AURORA WIP_NIM Summary 12" xfId="1613"/>
    <cellStyle name="_AURORA WIP_NIM Summary 13" xfId="1614"/>
    <cellStyle name="_AURORA WIP_NIM Summary 14" xfId="1615"/>
    <cellStyle name="_AURORA WIP_NIM Summary 15" xfId="1616"/>
    <cellStyle name="_AURORA WIP_NIM Summary 16" xfId="1617"/>
    <cellStyle name="_AURORA WIP_NIM Summary 17" xfId="1618"/>
    <cellStyle name="_AURORA WIP_NIM Summary 18" xfId="1619"/>
    <cellStyle name="_AURORA WIP_NIM Summary 19" xfId="1620"/>
    <cellStyle name="_AURORA WIP_NIM Summary 2" xfId="1621"/>
    <cellStyle name="_AURORA WIP_NIM Summary 2 2" xfId="1622"/>
    <cellStyle name="_AURORA WIP_NIM Summary 20" xfId="1623"/>
    <cellStyle name="_AURORA WIP_NIM Summary 21" xfId="1624"/>
    <cellStyle name="_AURORA WIP_NIM Summary 22" xfId="1625"/>
    <cellStyle name="_AURORA WIP_NIM Summary 23" xfId="1626"/>
    <cellStyle name="_AURORA WIP_NIM Summary 24" xfId="1627"/>
    <cellStyle name="_AURORA WIP_NIM Summary 25" xfId="1628"/>
    <cellStyle name="_AURORA WIP_NIM Summary 26" xfId="1629"/>
    <cellStyle name="_AURORA WIP_NIM Summary 27" xfId="1630"/>
    <cellStyle name="_AURORA WIP_NIM Summary 28" xfId="1631"/>
    <cellStyle name="_AURORA WIP_NIM Summary 29" xfId="1632"/>
    <cellStyle name="_AURORA WIP_NIM Summary 3" xfId="1633"/>
    <cellStyle name="_AURORA WIP_NIM Summary 30" xfId="1634"/>
    <cellStyle name="_AURORA WIP_NIM Summary 31" xfId="1635"/>
    <cellStyle name="_AURORA WIP_NIM Summary 32" xfId="1636"/>
    <cellStyle name="_AURORA WIP_NIM Summary 33" xfId="1637"/>
    <cellStyle name="_AURORA WIP_NIM Summary 34" xfId="1638"/>
    <cellStyle name="_AURORA WIP_NIM Summary 35" xfId="1639"/>
    <cellStyle name="_AURORA WIP_NIM Summary 36" xfId="1640"/>
    <cellStyle name="_AURORA WIP_NIM Summary 37" xfId="1641"/>
    <cellStyle name="_AURORA WIP_NIM Summary 38" xfId="1642"/>
    <cellStyle name="_AURORA WIP_NIM Summary 39" xfId="1643"/>
    <cellStyle name="_AURORA WIP_NIM Summary 4" xfId="1644"/>
    <cellStyle name="_AURORA WIP_NIM Summary 40" xfId="1645"/>
    <cellStyle name="_AURORA WIP_NIM Summary 41" xfId="1646"/>
    <cellStyle name="_AURORA WIP_NIM Summary 42" xfId="1647"/>
    <cellStyle name="_AURORA WIP_NIM Summary 43" xfId="1648"/>
    <cellStyle name="_AURORA WIP_NIM Summary 44" xfId="1649"/>
    <cellStyle name="_AURORA WIP_NIM Summary 45" xfId="1650"/>
    <cellStyle name="_AURORA WIP_NIM Summary 46" xfId="1651"/>
    <cellStyle name="_AURORA WIP_NIM Summary 47" xfId="1652"/>
    <cellStyle name="_AURORA WIP_NIM Summary 48" xfId="1653"/>
    <cellStyle name="_AURORA WIP_NIM Summary 49" xfId="1654"/>
    <cellStyle name="_AURORA WIP_NIM Summary 5" xfId="1655"/>
    <cellStyle name="_AURORA WIP_NIM Summary 50" xfId="1656"/>
    <cellStyle name="_AURORA WIP_NIM Summary 51" xfId="1657"/>
    <cellStyle name="_AURORA WIP_NIM Summary 52" xfId="1658"/>
    <cellStyle name="_AURORA WIP_NIM Summary 6" xfId="1659"/>
    <cellStyle name="_AURORA WIP_NIM Summary 7" xfId="1660"/>
    <cellStyle name="_AURORA WIP_NIM Summary 8" xfId="1661"/>
    <cellStyle name="_AURORA WIP_NIM Summary 9" xfId="1662"/>
    <cellStyle name="_AURORA WIP_NIM Summary_DEM-WP(C) ENERG10C--ctn Mid-C_042010 2010GRC" xfId="1663"/>
    <cellStyle name="_AURORA WIP_NIM+O&amp;M" xfId="1664"/>
    <cellStyle name="_AURORA WIP_NIM+O&amp;M 2" xfId="1665"/>
    <cellStyle name="_AURORA WIP_NIM+O&amp;M Monthly" xfId="1666"/>
    <cellStyle name="_AURORA WIP_NIM+O&amp;M Monthly 2" xfId="1667"/>
    <cellStyle name="_AURORA WIP_PCA 9 -  Exhibit D April 2010 (3)" xfId="1668"/>
    <cellStyle name="_AURORA WIP_PCA 9 -  Exhibit D April 2010 (3) 2" xfId="1669"/>
    <cellStyle name="_AURORA WIP_PCA 9 -  Exhibit D April 2010 (3) 2 2" xfId="1670"/>
    <cellStyle name="_AURORA WIP_PCA 9 -  Exhibit D April 2010 (3) 3" xfId="1671"/>
    <cellStyle name="_AURORA WIP_PCA 9 -  Exhibit D April 2010 (3)_DEM-WP(C) ENERG10C--ctn Mid-C_042010 2010GRC" xfId="1672"/>
    <cellStyle name="_AURORA WIP_Reconciliation" xfId="1673"/>
    <cellStyle name="_AURORA WIP_Reconciliation 2" xfId="1674"/>
    <cellStyle name="_AURORA WIP_Reconciliation 2 2" xfId="1675"/>
    <cellStyle name="_AURORA WIP_Reconciliation 2 3" xfId="1676"/>
    <cellStyle name="_AURORA WIP_Reconciliation 3" xfId="1677"/>
    <cellStyle name="_AURORA WIP_Reconciliation 3 2" xfId="1678"/>
    <cellStyle name="_AURORA WIP_Reconciliation 4" xfId="1679"/>
    <cellStyle name="_AURORA WIP_Reconciliation 4 2" xfId="1680"/>
    <cellStyle name="_AURORA WIP_Reconciliation 5" xfId="1681"/>
    <cellStyle name="_AURORA WIP_Reconciliation 5 2" xfId="1682"/>
    <cellStyle name="_AURORA WIP_Reconciliation 6" xfId="1683"/>
    <cellStyle name="_AURORA WIP_Reconciliation 6 2" xfId="1684"/>
    <cellStyle name="_AURORA WIP_Reconciliation_DEM-WP(C) ENERG10C--ctn Mid-C_042010 2010GRC" xfId="1685"/>
    <cellStyle name="_AURORA WIP_Wind Integration 10GRC" xfId="1686"/>
    <cellStyle name="_AURORA WIP_Wind Integration 10GRC 2" xfId="1687"/>
    <cellStyle name="_AURORA WIP_Wind Integration 10GRC 2 2" xfId="1688"/>
    <cellStyle name="_AURORA WIP_Wind Integration 10GRC 3" xfId="1689"/>
    <cellStyle name="_AURORA WIP_Wind Integration 10GRC_DEM-WP(C) ENERG10C--ctn Mid-C_042010 2010GRC" xfId="1690"/>
    <cellStyle name="_Book1" xfId="1691"/>
    <cellStyle name="_x0013__Book1" xfId="1692"/>
    <cellStyle name="_Book1 (2)" xfId="1693"/>
    <cellStyle name="_Book1 (2) 2" xfId="1694"/>
    <cellStyle name="_Book1 (2) 2 2" xfId="1695"/>
    <cellStyle name="_Book1 (2) 2 2 2" xfId="1696"/>
    <cellStyle name="_Book1 (2) 2 3" xfId="1697"/>
    <cellStyle name="_Book1 (2) 3" xfId="1698"/>
    <cellStyle name="_Book1 (2) 3 2" xfId="1699"/>
    <cellStyle name="_Book1 (2) 4" xfId="1700"/>
    <cellStyle name="_Book1 (2) 4 2" xfId="1701"/>
    <cellStyle name="_Book1 (2) 4 3" xfId="1702"/>
    <cellStyle name="_Book1 (2) 5" xfId="1703"/>
    <cellStyle name="_Book1 (2) 5 2" xfId="1704"/>
    <cellStyle name="_Book1 (2) 6" xfId="1705"/>
    <cellStyle name="_Book1 (2) 6 2" xfId="1706"/>
    <cellStyle name="_Book1 (2) 7" xfId="1707"/>
    <cellStyle name="_Book1 (2) 7 2" xfId="1708"/>
    <cellStyle name="_Book1 (2)_04 07E Wild Horse Wind Expansion (C) (2)" xfId="1709"/>
    <cellStyle name="_Book1 (2)_04 07E Wild Horse Wind Expansion (C) (2) 2" xfId="1710"/>
    <cellStyle name="_Book1 (2)_04 07E Wild Horse Wind Expansion (C) (2) 2 2" xfId="1711"/>
    <cellStyle name="_Book1 (2)_04 07E Wild Horse Wind Expansion (C) (2) 3" xfId="1712"/>
    <cellStyle name="_Book1 (2)_04 07E Wild Horse Wind Expansion (C) (2)_Adj Bench DR 3 for Initial Briefs (Electric)" xfId="1713"/>
    <cellStyle name="_Book1 (2)_04 07E Wild Horse Wind Expansion (C) (2)_Adj Bench DR 3 for Initial Briefs (Electric) 2" xfId="1714"/>
    <cellStyle name="_Book1 (2)_04 07E Wild Horse Wind Expansion (C) (2)_Adj Bench DR 3 for Initial Briefs (Electric) 2 2" xfId="1715"/>
    <cellStyle name="_Book1 (2)_04 07E Wild Horse Wind Expansion (C) (2)_Adj Bench DR 3 for Initial Briefs (Electric) 3" xfId="1716"/>
    <cellStyle name="_Book1 (2)_04 07E Wild Horse Wind Expansion (C) (2)_Adj Bench DR 3 for Initial Briefs (Electric)_DEM-WP(C) ENERG10C--ctn Mid-C_042010 2010GRC" xfId="1717"/>
    <cellStyle name="_Book1 (2)_04 07E Wild Horse Wind Expansion (C) (2)_Book1" xfId="1718"/>
    <cellStyle name="_Book1 (2)_04 07E Wild Horse Wind Expansion (C) (2)_DEM-WP(C) ENERG10C--ctn Mid-C_042010 2010GRC" xfId="1719"/>
    <cellStyle name="_Book1 (2)_04 07E Wild Horse Wind Expansion (C) (2)_Electric Rev Req Model (2009 GRC) " xfId="1720"/>
    <cellStyle name="_Book1 (2)_04 07E Wild Horse Wind Expansion (C) (2)_Electric Rev Req Model (2009 GRC)  2" xfId="1721"/>
    <cellStyle name="_Book1 (2)_04 07E Wild Horse Wind Expansion (C) (2)_Electric Rev Req Model (2009 GRC)  2 2" xfId="1722"/>
    <cellStyle name="_Book1 (2)_04 07E Wild Horse Wind Expansion (C) (2)_Electric Rev Req Model (2009 GRC)  3" xfId="1723"/>
    <cellStyle name="_Book1 (2)_04 07E Wild Horse Wind Expansion (C) (2)_Electric Rev Req Model (2009 GRC) _DEM-WP(C) ENERG10C--ctn Mid-C_042010 2010GRC" xfId="1724"/>
    <cellStyle name="_Book1 (2)_04 07E Wild Horse Wind Expansion (C) (2)_Electric Rev Req Model (2009 GRC) Rebuttal" xfId="1725"/>
    <cellStyle name="_Book1 (2)_04 07E Wild Horse Wind Expansion (C) (2)_Electric Rev Req Model (2009 GRC) Rebuttal 2" xfId="1726"/>
    <cellStyle name="_Book1 (2)_04 07E Wild Horse Wind Expansion (C) (2)_Electric Rev Req Model (2009 GRC) Rebuttal REmoval of New  WH Solar AdjustMI" xfId="1727"/>
    <cellStyle name="_Book1 (2)_04 07E Wild Horse Wind Expansion (C) (2)_Electric Rev Req Model (2009 GRC) Rebuttal REmoval of New  WH Solar AdjustMI 2" xfId="1728"/>
    <cellStyle name="_Book1 (2)_04 07E Wild Horse Wind Expansion (C) (2)_Electric Rev Req Model (2009 GRC) Rebuttal REmoval of New  WH Solar AdjustMI 2 2" xfId="1729"/>
    <cellStyle name="_Book1 (2)_04 07E Wild Horse Wind Expansion (C) (2)_Electric Rev Req Model (2009 GRC) Rebuttal REmoval of New  WH Solar AdjustMI 3" xfId="1730"/>
    <cellStyle name="_Book1 (2)_04 07E Wild Horse Wind Expansion (C) (2)_Electric Rev Req Model (2009 GRC) Rebuttal REmoval of New  WH Solar AdjustMI_DEM-WP(C) ENERG10C--ctn Mid-C_042010 2010GRC" xfId="1731"/>
    <cellStyle name="_Book1 (2)_04 07E Wild Horse Wind Expansion (C) (2)_Electric Rev Req Model (2009 GRC) Revised 01-18-2010" xfId="1732"/>
    <cellStyle name="_Book1 (2)_04 07E Wild Horse Wind Expansion (C) (2)_Electric Rev Req Model (2009 GRC) Revised 01-18-2010 2" xfId="1733"/>
    <cellStyle name="_Book1 (2)_04 07E Wild Horse Wind Expansion (C) (2)_Electric Rev Req Model (2009 GRC) Revised 01-18-2010 2 2" xfId="1734"/>
    <cellStyle name="_Book1 (2)_04 07E Wild Horse Wind Expansion (C) (2)_Electric Rev Req Model (2009 GRC) Revised 01-18-2010 3" xfId="1735"/>
    <cellStyle name="_Book1 (2)_04 07E Wild Horse Wind Expansion (C) (2)_Electric Rev Req Model (2009 GRC) Revised 01-18-2010_DEM-WP(C) ENERG10C--ctn Mid-C_042010 2010GRC" xfId="1736"/>
    <cellStyle name="_Book1 (2)_04 07E Wild Horse Wind Expansion (C) (2)_Electric Rev Req Model (2010 GRC)" xfId="1737"/>
    <cellStyle name="_Book1 (2)_04 07E Wild Horse Wind Expansion (C) (2)_Electric Rev Req Model (2010 GRC) SF" xfId="1738"/>
    <cellStyle name="_Book1 (2)_04 07E Wild Horse Wind Expansion (C) (2)_Final Order Electric EXHIBIT A-1" xfId="1739"/>
    <cellStyle name="_Book1 (2)_04 07E Wild Horse Wind Expansion (C) (2)_Final Order Electric EXHIBIT A-1 2" xfId="1740"/>
    <cellStyle name="_Book1 (2)_04 07E Wild Horse Wind Expansion (C) (2)_TENASKA REGULATORY ASSET" xfId="1741"/>
    <cellStyle name="_Book1 (2)_04 07E Wild Horse Wind Expansion (C) (2)_TENASKA REGULATORY ASSET 2" xfId="1742"/>
    <cellStyle name="_Book1 (2)_16.37E Wild Horse Expansion DeferralRevwrkingfile SF" xfId="1743"/>
    <cellStyle name="_Book1 (2)_16.37E Wild Horse Expansion DeferralRevwrkingfile SF 2" xfId="1744"/>
    <cellStyle name="_Book1 (2)_16.37E Wild Horse Expansion DeferralRevwrkingfile SF 2 2" xfId="1745"/>
    <cellStyle name="_Book1 (2)_16.37E Wild Horse Expansion DeferralRevwrkingfile SF 3" xfId="1746"/>
    <cellStyle name="_Book1 (2)_16.37E Wild Horse Expansion DeferralRevwrkingfile SF_DEM-WP(C) ENERG10C--ctn Mid-C_042010 2010GRC" xfId="1747"/>
    <cellStyle name="_Book1 (2)_2009 Compliance Filing PCA Exhibits for GRC" xfId="1748"/>
    <cellStyle name="_Book1 (2)_2009 Compliance Filing PCA Exhibits for GRC 2" xfId="1749"/>
    <cellStyle name="_Book1 (2)_2009 GRC Compl Filing - Exhibit D" xfId="1750"/>
    <cellStyle name="_Book1 (2)_2009 GRC Compl Filing - Exhibit D 2" xfId="1751"/>
    <cellStyle name="_Book1 (2)_2009 GRC Compl Filing - Exhibit D 2 2" xfId="1752"/>
    <cellStyle name="_Book1 (2)_2009 GRC Compl Filing - Exhibit D 3" xfId="1753"/>
    <cellStyle name="_Book1 (2)_2009 GRC Compl Filing - Exhibit D_DEM-WP(C) ENERG10C--ctn Mid-C_042010 2010GRC" xfId="1754"/>
    <cellStyle name="_Book1 (2)_3.01 Income Statement" xfId="1755"/>
    <cellStyle name="_Book1 (2)_4 31 Regulatory Assets and Liabilities  7 06- Exhibit D" xfId="1756"/>
    <cellStyle name="_Book1 (2)_4 31 Regulatory Assets and Liabilities  7 06- Exhibit D 2" xfId="1757"/>
    <cellStyle name="_Book1 (2)_4 31 Regulatory Assets and Liabilities  7 06- Exhibit D 2 2" xfId="1758"/>
    <cellStyle name="_Book1 (2)_4 31 Regulatory Assets and Liabilities  7 06- Exhibit D 3" xfId="1759"/>
    <cellStyle name="_Book1 (2)_4 31 Regulatory Assets and Liabilities  7 06- Exhibit D_DEM-WP(C) ENERG10C--ctn Mid-C_042010 2010GRC" xfId="1760"/>
    <cellStyle name="_Book1 (2)_4 31 Regulatory Assets and Liabilities  7 06- Exhibit D_NIM Summary" xfId="1761"/>
    <cellStyle name="_Book1 (2)_4 31 Regulatory Assets and Liabilities  7 06- Exhibit D_NIM Summary 2" xfId="1762"/>
    <cellStyle name="_Book1 (2)_4 31 Regulatory Assets and Liabilities  7 06- Exhibit D_NIM Summary 2 2" xfId="1763"/>
    <cellStyle name="_Book1 (2)_4 31 Regulatory Assets and Liabilities  7 06- Exhibit D_NIM Summary 3" xfId="1764"/>
    <cellStyle name="_Book1 (2)_4 31 Regulatory Assets and Liabilities  7 06- Exhibit D_NIM Summary_DEM-WP(C) ENERG10C--ctn Mid-C_042010 2010GRC" xfId="1765"/>
    <cellStyle name="_Book1 (2)_4 31E Reg Asset  Liab and EXH D" xfId="1766"/>
    <cellStyle name="_Book1 (2)_4 31E Reg Asset  Liab and EXH D _ Aug 10 Filing (2)" xfId="1767"/>
    <cellStyle name="_Book1 (2)_4 31E Reg Asset  Liab and EXH D _ Aug 10 Filing (2) 2" xfId="1768"/>
    <cellStyle name="_Book1 (2)_4 31E Reg Asset  Liab and EXH D 2" xfId="1769"/>
    <cellStyle name="_Book1 (2)_4 31E Reg Asset  Liab and EXH D 3" xfId="1770"/>
    <cellStyle name="_Book1 (2)_4 32 Regulatory Assets and Liabilities  7 06- Exhibit D" xfId="1771"/>
    <cellStyle name="_Book1 (2)_4 32 Regulatory Assets and Liabilities  7 06- Exhibit D 2" xfId="1772"/>
    <cellStyle name="_Book1 (2)_4 32 Regulatory Assets and Liabilities  7 06- Exhibit D 2 2" xfId="1773"/>
    <cellStyle name="_Book1 (2)_4 32 Regulatory Assets and Liabilities  7 06- Exhibit D 3" xfId="1774"/>
    <cellStyle name="_Book1 (2)_4 32 Regulatory Assets and Liabilities  7 06- Exhibit D_DEM-WP(C) ENERG10C--ctn Mid-C_042010 2010GRC" xfId="1775"/>
    <cellStyle name="_Book1 (2)_4 32 Regulatory Assets and Liabilities  7 06- Exhibit D_NIM Summary" xfId="1776"/>
    <cellStyle name="_Book1 (2)_4 32 Regulatory Assets and Liabilities  7 06- Exhibit D_NIM Summary 2" xfId="1777"/>
    <cellStyle name="_Book1 (2)_4 32 Regulatory Assets and Liabilities  7 06- Exhibit D_NIM Summary 2 2" xfId="1778"/>
    <cellStyle name="_Book1 (2)_4 32 Regulatory Assets and Liabilities  7 06- Exhibit D_NIM Summary 3" xfId="1779"/>
    <cellStyle name="_Book1 (2)_4 32 Regulatory Assets and Liabilities  7 06- Exhibit D_NIM Summary_DEM-WP(C) ENERG10C--ctn Mid-C_042010 2010GRC" xfId="1780"/>
    <cellStyle name="_Book1 (2)_AURORA Total New" xfId="1781"/>
    <cellStyle name="_Book1 (2)_AURORA Total New 2" xfId="1782"/>
    <cellStyle name="_Book1 (2)_AURORA Total New 2 2" xfId="1783"/>
    <cellStyle name="_Book1 (2)_AURORA Total New 3" xfId="1784"/>
    <cellStyle name="_Book1 (2)_Book2" xfId="1785"/>
    <cellStyle name="_Book1 (2)_Book2 2" xfId="1786"/>
    <cellStyle name="_Book1 (2)_Book2 2 2" xfId="1787"/>
    <cellStyle name="_Book1 (2)_Book2 3" xfId="1788"/>
    <cellStyle name="_Book1 (2)_Book2_Adj Bench DR 3 for Initial Briefs (Electric)" xfId="1789"/>
    <cellStyle name="_Book1 (2)_Book2_Adj Bench DR 3 for Initial Briefs (Electric) 2" xfId="1790"/>
    <cellStyle name="_Book1 (2)_Book2_Adj Bench DR 3 for Initial Briefs (Electric) 2 2" xfId="1791"/>
    <cellStyle name="_Book1 (2)_Book2_Adj Bench DR 3 for Initial Briefs (Electric) 3" xfId="1792"/>
    <cellStyle name="_Book1 (2)_Book2_Adj Bench DR 3 for Initial Briefs (Electric)_DEM-WP(C) ENERG10C--ctn Mid-C_042010 2010GRC" xfId="1793"/>
    <cellStyle name="_Book1 (2)_Book2_DEM-WP(C) ENERG10C--ctn Mid-C_042010 2010GRC" xfId="1794"/>
    <cellStyle name="_Book1 (2)_Book2_Electric Rev Req Model (2009 GRC) Rebuttal" xfId="1795"/>
    <cellStyle name="_Book1 (2)_Book2_Electric Rev Req Model (2009 GRC) Rebuttal 2" xfId="1796"/>
    <cellStyle name="_Book1 (2)_Book2_Electric Rev Req Model (2009 GRC) Rebuttal REmoval of New  WH Solar AdjustMI" xfId="1797"/>
    <cellStyle name="_Book1 (2)_Book2_Electric Rev Req Model (2009 GRC) Rebuttal REmoval of New  WH Solar AdjustMI 2" xfId="1798"/>
    <cellStyle name="_Book1 (2)_Book2_Electric Rev Req Model (2009 GRC) Rebuttal REmoval of New  WH Solar AdjustMI 2 2" xfId="1799"/>
    <cellStyle name="_Book1 (2)_Book2_Electric Rev Req Model (2009 GRC) Rebuttal REmoval of New  WH Solar AdjustMI 3" xfId="1800"/>
    <cellStyle name="_Book1 (2)_Book2_Electric Rev Req Model (2009 GRC) Rebuttal REmoval of New  WH Solar AdjustMI_DEM-WP(C) ENERG10C--ctn Mid-C_042010 2010GRC" xfId="1801"/>
    <cellStyle name="_Book1 (2)_Book2_Electric Rev Req Model (2009 GRC) Revised 01-18-2010" xfId="1802"/>
    <cellStyle name="_Book1 (2)_Book2_Electric Rev Req Model (2009 GRC) Revised 01-18-2010 2" xfId="1803"/>
    <cellStyle name="_Book1 (2)_Book2_Electric Rev Req Model (2009 GRC) Revised 01-18-2010 2 2" xfId="1804"/>
    <cellStyle name="_Book1 (2)_Book2_Electric Rev Req Model (2009 GRC) Revised 01-18-2010 3" xfId="1805"/>
    <cellStyle name="_Book1 (2)_Book2_Electric Rev Req Model (2009 GRC) Revised 01-18-2010_DEM-WP(C) ENERG10C--ctn Mid-C_042010 2010GRC" xfId="1806"/>
    <cellStyle name="_Book1 (2)_Book2_Final Order Electric EXHIBIT A-1" xfId="1807"/>
    <cellStyle name="_Book1 (2)_Book2_Final Order Electric EXHIBIT A-1 2" xfId="1808"/>
    <cellStyle name="_Book1 (2)_Book4" xfId="1809"/>
    <cellStyle name="_Book1 (2)_Book4 2" xfId="1810"/>
    <cellStyle name="_Book1 (2)_Book4 2 2" xfId="1811"/>
    <cellStyle name="_Book1 (2)_Book4 3" xfId="1812"/>
    <cellStyle name="_Book1 (2)_Book4_DEM-WP(C) ENERG10C--ctn Mid-C_042010 2010GRC" xfId="1813"/>
    <cellStyle name="_Book1 (2)_Book9" xfId="1814"/>
    <cellStyle name="_Book1 (2)_Book9 2" xfId="1815"/>
    <cellStyle name="_Book1 (2)_Book9 2 2" xfId="1816"/>
    <cellStyle name="_Book1 (2)_Book9 3" xfId="1817"/>
    <cellStyle name="_Book1 (2)_Book9_DEM-WP(C) ENERG10C--ctn Mid-C_042010 2010GRC" xfId="1818"/>
    <cellStyle name="_Book1 (2)_Chelan PUD Power Costs (8-10)" xfId="1819"/>
    <cellStyle name="_Book1 (2)_Chelan PUD Power Costs (8-10) 2" xfId="1820"/>
    <cellStyle name="_Book1 (2)_DEM-WP(C) Chelan Power Costs" xfId="1821"/>
    <cellStyle name="_Book1 (2)_DEM-WP(C) Chelan Power Costs 2" xfId="1822"/>
    <cellStyle name="_Book1 (2)_DEM-WP(C) ENERG10C--ctn Mid-C_042010 2010GRC" xfId="1823"/>
    <cellStyle name="_Book1 (2)_DEM-WP(C) Gas Transport 2010GRC" xfId="1824"/>
    <cellStyle name="_Book1 (2)_DEM-WP(C) Gas Transport 2010GRC 2" xfId="1825"/>
    <cellStyle name="_Book1 (2)_Exh A-1 resulting from UE-112050 effective Jan 1 2012" xfId="1826"/>
    <cellStyle name="_Book1 (2)_Exh G - Klamath Peaker PPA fr C Locke 2-12" xfId="1827"/>
    <cellStyle name="_Book1 (2)_Exhibit A-1 effective 4-1-11 fr S Free 12-11" xfId="1828"/>
    <cellStyle name="_Book1 (2)_Mint Farm Generation BPA" xfId="1829"/>
    <cellStyle name="_Book1 (2)_NIM Summary" xfId="1830"/>
    <cellStyle name="_Book1 (2)_NIM Summary 09GRC" xfId="1831"/>
    <cellStyle name="_Book1 (2)_NIM Summary 09GRC 2" xfId="1832"/>
    <cellStyle name="_Book1 (2)_NIM Summary 09GRC 2 2" xfId="1833"/>
    <cellStyle name="_Book1 (2)_NIM Summary 09GRC 3" xfId="1834"/>
    <cellStyle name="_Book1 (2)_NIM Summary 09GRC_DEM-WP(C) ENERG10C--ctn Mid-C_042010 2010GRC" xfId="1835"/>
    <cellStyle name="_Book1 (2)_NIM Summary 10" xfId="1836"/>
    <cellStyle name="_Book1 (2)_NIM Summary 11" xfId="1837"/>
    <cellStyle name="_Book1 (2)_NIM Summary 12" xfId="1838"/>
    <cellStyle name="_Book1 (2)_NIM Summary 13" xfId="1839"/>
    <cellStyle name="_Book1 (2)_NIM Summary 14" xfId="1840"/>
    <cellStyle name="_Book1 (2)_NIM Summary 15" xfId="1841"/>
    <cellStyle name="_Book1 (2)_NIM Summary 16" xfId="1842"/>
    <cellStyle name="_Book1 (2)_NIM Summary 17" xfId="1843"/>
    <cellStyle name="_Book1 (2)_NIM Summary 18" xfId="1844"/>
    <cellStyle name="_Book1 (2)_NIM Summary 19" xfId="1845"/>
    <cellStyle name="_Book1 (2)_NIM Summary 2" xfId="1846"/>
    <cellStyle name="_Book1 (2)_NIM Summary 2 2" xfId="1847"/>
    <cellStyle name="_Book1 (2)_NIM Summary 20" xfId="1848"/>
    <cellStyle name="_Book1 (2)_NIM Summary 21" xfId="1849"/>
    <cellStyle name="_Book1 (2)_NIM Summary 22" xfId="1850"/>
    <cellStyle name="_Book1 (2)_NIM Summary 23" xfId="1851"/>
    <cellStyle name="_Book1 (2)_NIM Summary 24" xfId="1852"/>
    <cellStyle name="_Book1 (2)_NIM Summary 25" xfId="1853"/>
    <cellStyle name="_Book1 (2)_NIM Summary 26" xfId="1854"/>
    <cellStyle name="_Book1 (2)_NIM Summary 27" xfId="1855"/>
    <cellStyle name="_Book1 (2)_NIM Summary 28" xfId="1856"/>
    <cellStyle name="_Book1 (2)_NIM Summary 29" xfId="1857"/>
    <cellStyle name="_Book1 (2)_NIM Summary 3" xfId="1858"/>
    <cellStyle name="_Book1 (2)_NIM Summary 30" xfId="1859"/>
    <cellStyle name="_Book1 (2)_NIM Summary 31" xfId="1860"/>
    <cellStyle name="_Book1 (2)_NIM Summary 32" xfId="1861"/>
    <cellStyle name="_Book1 (2)_NIM Summary 33" xfId="1862"/>
    <cellStyle name="_Book1 (2)_NIM Summary 34" xfId="1863"/>
    <cellStyle name="_Book1 (2)_NIM Summary 35" xfId="1864"/>
    <cellStyle name="_Book1 (2)_NIM Summary 36" xfId="1865"/>
    <cellStyle name="_Book1 (2)_NIM Summary 37" xfId="1866"/>
    <cellStyle name="_Book1 (2)_NIM Summary 38" xfId="1867"/>
    <cellStyle name="_Book1 (2)_NIM Summary 39" xfId="1868"/>
    <cellStyle name="_Book1 (2)_NIM Summary 4" xfId="1869"/>
    <cellStyle name="_Book1 (2)_NIM Summary 40" xfId="1870"/>
    <cellStyle name="_Book1 (2)_NIM Summary 41" xfId="1871"/>
    <cellStyle name="_Book1 (2)_NIM Summary 42" xfId="1872"/>
    <cellStyle name="_Book1 (2)_NIM Summary 43" xfId="1873"/>
    <cellStyle name="_Book1 (2)_NIM Summary 44" xfId="1874"/>
    <cellStyle name="_Book1 (2)_NIM Summary 45" xfId="1875"/>
    <cellStyle name="_Book1 (2)_NIM Summary 46" xfId="1876"/>
    <cellStyle name="_Book1 (2)_NIM Summary 47" xfId="1877"/>
    <cellStyle name="_Book1 (2)_NIM Summary 48" xfId="1878"/>
    <cellStyle name="_Book1 (2)_NIM Summary 49" xfId="1879"/>
    <cellStyle name="_Book1 (2)_NIM Summary 5" xfId="1880"/>
    <cellStyle name="_Book1 (2)_NIM Summary 50" xfId="1881"/>
    <cellStyle name="_Book1 (2)_NIM Summary 51" xfId="1882"/>
    <cellStyle name="_Book1 (2)_NIM Summary 52" xfId="1883"/>
    <cellStyle name="_Book1 (2)_NIM Summary 6" xfId="1884"/>
    <cellStyle name="_Book1 (2)_NIM Summary 7" xfId="1885"/>
    <cellStyle name="_Book1 (2)_NIM Summary 8" xfId="1886"/>
    <cellStyle name="_Book1 (2)_NIM Summary 9" xfId="1887"/>
    <cellStyle name="_Book1 (2)_NIM Summary_DEM-WP(C) ENERG10C--ctn Mid-C_042010 2010GRC" xfId="1888"/>
    <cellStyle name="_Book1 (2)_PCA 10 -  Exhibit D Dec 2011" xfId="1889"/>
    <cellStyle name="_Book1 (2)_PCA 10 -  Exhibit D from A Kellogg Jan 2011" xfId="1890"/>
    <cellStyle name="_Book1 (2)_PCA 10 -  Exhibit D from A Kellogg July 2011" xfId="1891"/>
    <cellStyle name="_Book1 (2)_PCA 10 -  Exhibit D from S Free Rcv'd 12-11" xfId="1892"/>
    <cellStyle name="_Book1 (2)_PCA 11 -  Exhibit D Jan 2012 fr A Kellogg" xfId="1893"/>
    <cellStyle name="_Book1 (2)_PCA 11 -  Exhibit D Jan 2012 WF" xfId="1894"/>
    <cellStyle name="_Book1 (2)_PCA 9 -  Exhibit D April 2010" xfId="1895"/>
    <cellStyle name="_Book1 (2)_PCA 9 -  Exhibit D April 2010 (3)" xfId="1896"/>
    <cellStyle name="_Book1 (2)_PCA 9 -  Exhibit D April 2010 (3) 2" xfId="1897"/>
    <cellStyle name="_Book1 (2)_PCA 9 -  Exhibit D April 2010 (3) 2 2" xfId="1898"/>
    <cellStyle name="_Book1 (2)_PCA 9 -  Exhibit D April 2010 (3) 3" xfId="1899"/>
    <cellStyle name="_Book1 (2)_PCA 9 -  Exhibit D April 2010 (3)_DEM-WP(C) ENERG10C--ctn Mid-C_042010 2010GRC" xfId="1900"/>
    <cellStyle name="_Book1 (2)_PCA 9 -  Exhibit D April 2010 2" xfId="1901"/>
    <cellStyle name="_Book1 (2)_PCA 9 -  Exhibit D April 2010 3" xfId="1902"/>
    <cellStyle name="_Book1 (2)_PCA 9 -  Exhibit D April 2010 4" xfId="1903"/>
    <cellStyle name="_Book1 (2)_PCA 9 -  Exhibit D April 2010 5" xfId="1904"/>
    <cellStyle name="_Book1 (2)_PCA 9 -  Exhibit D April 2010 6" xfId="1905"/>
    <cellStyle name="_Book1 (2)_PCA 9 -  Exhibit D Nov 2010" xfId="1906"/>
    <cellStyle name="_Book1 (2)_PCA 9 -  Exhibit D Nov 2010 2" xfId="1907"/>
    <cellStyle name="_Book1 (2)_PCA 9 - Exhibit D at August 2010" xfId="1908"/>
    <cellStyle name="_Book1 (2)_PCA 9 - Exhibit D at August 2010 2" xfId="1909"/>
    <cellStyle name="_Book1 (2)_PCA 9 - Exhibit D June 2010 GRC" xfId="1910"/>
    <cellStyle name="_Book1 (2)_PCA 9 - Exhibit D June 2010 GRC 2" xfId="1911"/>
    <cellStyle name="_Book1 (2)_Power Costs - Comparison bx Rbtl-Staff-Jt-PC" xfId="1912"/>
    <cellStyle name="_Book1 (2)_Power Costs - Comparison bx Rbtl-Staff-Jt-PC 2" xfId="1913"/>
    <cellStyle name="_Book1 (2)_Power Costs - Comparison bx Rbtl-Staff-Jt-PC 2 2" xfId="1914"/>
    <cellStyle name="_Book1 (2)_Power Costs - Comparison bx Rbtl-Staff-Jt-PC 3" xfId="1915"/>
    <cellStyle name="_Book1 (2)_Power Costs - Comparison bx Rbtl-Staff-Jt-PC_Adj Bench DR 3 for Initial Briefs (Electric)" xfId="1916"/>
    <cellStyle name="_Book1 (2)_Power Costs - Comparison bx Rbtl-Staff-Jt-PC_Adj Bench DR 3 for Initial Briefs (Electric) 2" xfId="1917"/>
    <cellStyle name="_Book1 (2)_Power Costs - Comparison bx Rbtl-Staff-Jt-PC_Adj Bench DR 3 for Initial Briefs (Electric) 2 2" xfId="1918"/>
    <cellStyle name="_Book1 (2)_Power Costs - Comparison bx Rbtl-Staff-Jt-PC_Adj Bench DR 3 for Initial Briefs (Electric) 3" xfId="1919"/>
    <cellStyle name="_Book1 (2)_Power Costs - Comparison bx Rbtl-Staff-Jt-PC_Adj Bench DR 3 for Initial Briefs (Electric)_DEM-WP(C) ENERG10C--ctn Mid-C_042010 2010GRC" xfId="1920"/>
    <cellStyle name="_Book1 (2)_Power Costs - Comparison bx Rbtl-Staff-Jt-PC_DEM-WP(C) ENERG10C--ctn Mid-C_042010 2010GRC" xfId="1921"/>
    <cellStyle name="_Book1 (2)_Power Costs - Comparison bx Rbtl-Staff-Jt-PC_Electric Rev Req Model (2009 GRC) Rebuttal" xfId="1922"/>
    <cellStyle name="_Book1 (2)_Power Costs - Comparison bx Rbtl-Staff-Jt-PC_Electric Rev Req Model (2009 GRC) Rebuttal 2" xfId="1923"/>
    <cellStyle name="_Book1 (2)_Power Costs - Comparison bx Rbtl-Staff-Jt-PC_Electric Rev Req Model (2009 GRC) Rebuttal REmoval of New  WH Solar AdjustMI" xfId="1924"/>
    <cellStyle name="_Book1 (2)_Power Costs - Comparison bx Rbtl-Staff-Jt-PC_Electric Rev Req Model (2009 GRC) Rebuttal REmoval of New  WH Solar AdjustMI 2" xfId="1925"/>
    <cellStyle name="_Book1 (2)_Power Costs - Comparison bx Rbtl-Staff-Jt-PC_Electric Rev Req Model (2009 GRC) Rebuttal REmoval of New  WH Solar AdjustMI 2 2" xfId="1926"/>
    <cellStyle name="_Book1 (2)_Power Costs - Comparison bx Rbtl-Staff-Jt-PC_Electric Rev Req Model (2009 GRC) Rebuttal REmoval of New  WH Solar AdjustMI 3" xfId="1927"/>
    <cellStyle name="_Book1 (2)_Power Costs - Comparison bx Rbtl-Staff-Jt-PC_Electric Rev Req Model (2009 GRC) Rebuttal REmoval of New  WH Solar AdjustMI_DEM-WP(C) ENERG10C--ctn Mid-C_042010 2010GRC" xfId="1928"/>
    <cellStyle name="_Book1 (2)_Power Costs - Comparison bx Rbtl-Staff-Jt-PC_Electric Rev Req Model (2009 GRC) Revised 01-18-2010" xfId="1929"/>
    <cellStyle name="_Book1 (2)_Power Costs - Comparison bx Rbtl-Staff-Jt-PC_Electric Rev Req Model (2009 GRC) Revised 01-18-2010 2" xfId="1930"/>
    <cellStyle name="_Book1 (2)_Power Costs - Comparison bx Rbtl-Staff-Jt-PC_Electric Rev Req Model (2009 GRC) Revised 01-18-2010 2 2" xfId="1931"/>
    <cellStyle name="_Book1 (2)_Power Costs - Comparison bx Rbtl-Staff-Jt-PC_Electric Rev Req Model (2009 GRC) Revised 01-18-2010 3" xfId="1932"/>
    <cellStyle name="_Book1 (2)_Power Costs - Comparison bx Rbtl-Staff-Jt-PC_Electric Rev Req Model (2009 GRC) Revised 01-18-2010_DEM-WP(C) ENERG10C--ctn Mid-C_042010 2010GRC" xfId="1933"/>
    <cellStyle name="_Book1 (2)_Power Costs - Comparison bx Rbtl-Staff-Jt-PC_Final Order Electric EXHIBIT A-1" xfId="1934"/>
    <cellStyle name="_Book1 (2)_Power Costs - Comparison bx Rbtl-Staff-Jt-PC_Final Order Electric EXHIBIT A-1 2" xfId="1935"/>
    <cellStyle name="_Book1 (2)_Production Adj 4.37" xfId="21240"/>
    <cellStyle name="_Book1 (2)_Purchased Power Adj 4.03" xfId="21241"/>
    <cellStyle name="_Book1 (2)_Rebuttal Power Costs" xfId="1936"/>
    <cellStyle name="_Book1 (2)_Rebuttal Power Costs 2" xfId="1937"/>
    <cellStyle name="_Book1 (2)_Rebuttal Power Costs 2 2" xfId="1938"/>
    <cellStyle name="_Book1 (2)_Rebuttal Power Costs 3" xfId="1939"/>
    <cellStyle name="_Book1 (2)_Rebuttal Power Costs_Adj Bench DR 3 for Initial Briefs (Electric)" xfId="1940"/>
    <cellStyle name="_Book1 (2)_Rebuttal Power Costs_Adj Bench DR 3 for Initial Briefs (Electric) 2" xfId="1941"/>
    <cellStyle name="_Book1 (2)_Rebuttal Power Costs_Adj Bench DR 3 for Initial Briefs (Electric) 2 2" xfId="1942"/>
    <cellStyle name="_Book1 (2)_Rebuttal Power Costs_Adj Bench DR 3 for Initial Briefs (Electric) 3" xfId="1943"/>
    <cellStyle name="_Book1 (2)_Rebuttal Power Costs_Adj Bench DR 3 for Initial Briefs (Electric)_DEM-WP(C) ENERG10C--ctn Mid-C_042010 2010GRC" xfId="1944"/>
    <cellStyle name="_Book1 (2)_Rebuttal Power Costs_DEM-WP(C) ENERG10C--ctn Mid-C_042010 2010GRC" xfId="1945"/>
    <cellStyle name="_Book1 (2)_Rebuttal Power Costs_Electric Rev Req Model (2009 GRC) Rebuttal" xfId="1946"/>
    <cellStyle name="_Book1 (2)_Rebuttal Power Costs_Electric Rev Req Model (2009 GRC) Rebuttal 2" xfId="1947"/>
    <cellStyle name="_Book1 (2)_Rebuttal Power Costs_Electric Rev Req Model (2009 GRC) Rebuttal REmoval of New  WH Solar AdjustMI" xfId="1948"/>
    <cellStyle name="_Book1 (2)_Rebuttal Power Costs_Electric Rev Req Model (2009 GRC) Rebuttal REmoval of New  WH Solar AdjustMI 2" xfId="1949"/>
    <cellStyle name="_Book1 (2)_Rebuttal Power Costs_Electric Rev Req Model (2009 GRC) Rebuttal REmoval of New  WH Solar AdjustMI 2 2" xfId="1950"/>
    <cellStyle name="_Book1 (2)_Rebuttal Power Costs_Electric Rev Req Model (2009 GRC) Rebuttal REmoval of New  WH Solar AdjustMI 3" xfId="1951"/>
    <cellStyle name="_Book1 (2)_Rebuttal Power Costs_Electric Rev Req Model (2009 GRC) Rebuttal REmoval of New  WH Solar AdjustMI_DEM-WP(C) ENERG10C--ctn Mid-C_042010 2010GRC" xfId="1952"/>
    <cellStyle name="_Book1 (2)_Rebuttal Power Costs_Electric Rev Req Model (2009 GRC) Revised 01-18-2010" xfId="1953"/>
    <cellStyle name="_Book1 (2)_Rebuttal Power Costs_Electric Rev Req Model (2009 GRC) Revised 01-18-2010 2" xfId="1954"/>
    <cellStyle name="_Book1 (2)_Rebuttal Power Costs_Electric Rev Req Model (2009 GRC) Revised 01-18-2010 2 2" xfId="1955"/>
    <cellStyle name="_Book1 (2)_Rebuttal Power Costs_Electric Rev Req Model (2009 GRC) Revised 01-18-2010 3" xfId="1956"/>
    <cellStyle name="_Book1 (2)_Rebuttal Power Costs_Electric Rev Req Model (2009 GRC) Revised 01-18-2010_DEM-WP(C) ENERG10C--ctn Mid-C_042010 2010GRC" xfId="1957"/>
    <cellStyle name="_Book1 (2)_Rebuttal Power Costs_Final Order Electric EXHIBIT A-1" xfId="1958"/>
    <cellStyle name="_Book1 (2)_Rebuttal Power Costs_Final Order Electric EXHIBIT A-1 2" xfId="1959"/>
    <cellStyle name="_Book1 (2)_ROR 5.02" xfId="21242"/>
    <cellStyle name="_Book1 (2)_Wind Integration 10GRC" xfId="1960"/>
    <cellStyle name="_Book1 (2)_Wind Integration 10GRC 2" xfId="1961"/>
    <cellStyle name="_Book1 (2)_Wind Integration 10GRC 2 2" xfId="1962"/>
    <cellStyle name="_Book1 (2)_Wind Integration 10GRC 3" xfId="1963"/>
    <cellStyle name="_Book1 (2)_Wind Integration 10GRC_DEM-WP(C) ENERG10C--ctn Mid-C_042010 2010GRC" xfId="1964"/>
    <cellStyle name="_Book1 10" xfId="1965"/>
    <cellStyle name="_Book1 10 2" xfId="1966"/>
    <cellStyle name="_Book1 11" xfId="1967"/>
    <cellStyle name="_Book1 11 2" xfId="1968"/>
    <cellStyle name="_Book1 12" xfId="1969"/>
    <cellStyle name="_Book1 12 2" xfId="1970"/>
    <cellStyle name="_Book1 12 3" xfId="1971"/>
    <cellStyle name="_Book1 13" xfId="1972"/>
    <cellStyle name="_Book1 13 2" xfId="1973"/>
    <cellStyle name="_Book1 13 3" xfId="1974"/>
    <cellStyle name="_Book1 14" xfId="1975"/>
    <cellStyle name="_Book1 14 2" xfId="1976"/>
    <cellStyle name="_Book1 14 3" xfId="1977"/>
    <cellStyle name="_Book1 15" xfId="1978"/>
    <cellStyle name="_Book1 15 2" xfId="1979"/>
    <cellStyle name="_Book1 16" xfId="1980"/>
    <cellStyle name="_Book1 17" xfId="1981"/>
    <cellStyle name="_Book1 17 2" xfId="1982"/>
    <cellStyle name="_Book1 18" xfId="1983"/>
    <cellStyle name="_Book1 18 2" xfId="1984"/>
    <cellStyle name="_Book1 19" xfId="1985"/>
    <cellStyle name="_Book1 19 2" xfId="1986"/>
    <cellStyle name="_Book1 2" xfId="1987"/>
    <cellStyle name="_Book1 2 2" xfId="1988"/>
    <cellStyle name="_Book1 2 2 2" xfId="1989"/>
    <cellStyle name="_Book1 2 3" xfId="1990"/>
    <cellStyle name="_Book1 20" xfId="1991"/>
    <cellStyle name="_Book1 20 2" xfId="1992"/>
    <cellStyle name="_Book1 21" xfId="1993"/>
    <cellStyle name="_Book1 21 2" xfId="1994"/>
    <cellStyle name="_Book1 22" xfId="1995"/>
    <cellStyle name="_Book1 3" xfId="1996"/>
    <cellStyle name="_Book1 3 2" xfId="1997"/>
    <cellStyle name="_Book1 3 2 2" xfId="1998"/>
    <cellStyle name="_Book1 3 3" xfId="1999"/>
    <cellStyle name="_Book1 4" xfId="2000"/>
    <cellStyle name="_Book1 4 2" xfId="2001"/>
    <cellStyle name="_Book1 4 2 2" xfId="2002"/>
    <cellStyle name="_Book1 4 3" xfId="2003"/>
    <cellStyle name="_Book1 5" xfId="2004"/>
    <cellStyle name="_Book1 5 2" xfId="2005"/>
    <cellStyle name="_Book1 5 2 2" xfId="2006"/>
    <cellStyle name="_Book1 5 3" xfId="2007"/>
    <cellStyle name="_Book1 6" xfId="2008"/>
    <cellStyle name="_Book1 6 2" xfId="2009"/>
    <cellStyle name="_Book1 7" xfId="2010"/>
    <cellStyle name="_Book1 7 2" xfId="2011"/>
    <cellStyle name="_Book1 8" xfId="2012"/>
    <cellStyle name="_Book1 8 2" xfId="2013"/>
    <cellStyle name="_Book1 8 3" xfId="2014"/>
    <cellStyle name="_Book1 9" xfId="2015"/>
    <cellStyle name="_Book1 9 2" xfId="2016"/>
    <cellStyle name="_Book1_(C) WHE Proforma with ITC cash grant 10 Yr Amort_for deferral_102809" xfId="2017"/>
    <cellStyle name="_Book1_(C) WHE Proforma with ITC cash grant 10 Yr Amort_for deferral_102809 2" xfId="2018"/>
    <cellStyle name="_Book1_(C) WHE Proforma with ITC cash grant 10 Yr Amort_for deferral_102809 2 2" xfId="2019"/>
    <cellStyle name="_Book1_(C) WHE Proforma with ITC cash grant 10 Yr Amort_for deferral_102809 3" xfId="2020"/>
    <cellStyle name="_Book1_(C) WHE Proforma with ITC cash grant 10 Yr Amort_for deferral_102809_16.07E Wild Horse Wind Expansionwrkingfile" xfId="2021"/>
    <cellStyle name="_Book1_(C) WHE Proforma with ITC cash grant 10 Yr Amort_for deferral_102809_16.07E Wild Horse Wind Expansionwrkingfile 2" xfId="2022"/>
    <cellStyle name="_Book1_(C) WHE Proforma with ITC cash grant 10 Yr Amort_for deferral_102809_16.07E Wild Horse Wind Expansionwrkingfile 2 2" xfId="2023"/>
    <cellStyle name="_Book1_(C) WHE Proforma with ITC cash grant 10 Yr Amort_for deferral_102809_16.07E Wild Horse Wind Expansionwrkingfile 3" xfId="2024"/>
    <cellStyle name="_Book1_(C) WHE Proforma with ITC cash grant 10 Yr Amort_for deferral_102809_16.07E Wild Horse Wind Expansionwrkingfile SF" xfId="2025"/>
    <cellStyle name="_Book1_(C) WHE Proforma with ITC cash grant 10 Yr Amort_for deferral_102809_16.07E Wild Horse Wind Expansionwrkingfile SF 2" xfId="2026"/>
    <cellStyle name="_Book1_(C) WHE Proforma with ITC cash grant 10 Yr Amort_for deferral_102809_16.07E Wild Horse Wind Expansionwrkingfile SF 2 2" xfId="2027"/>
    <cellStyle name="_Book1_(C) WHE Proforma with ITC cash grant 10 Yr Amort_for deferral_102809_16.07E Wild Horse Wind Expansionwrkingfile SF 3" xfId="2028"/>
    <cellStyle name="_Book1_(C) WHE Proforma with ITC cash grant 10 Yr Amort_for deferral_102809_16.07E Wild Horse Wind Expansionwrkingfile SF_DEM-WP(C) ENERG10C--ctn Mid-C_042010 2010GRC" xfId="2029"/>
    <cellStyle name="_Book1_(C) WHE Proforma with ITC cash grant 10 Yr Amort_for deferral_102809_16.07E Wild Horse Wind Expansionwrkingfile_DEM-WP(C) ENERG10C--ctn Mid-C_042010 2010GRC" xfId="2030"/>
    <cellStyle name="_Book1_(C) WHE Proforma with ITC cash grant 10 Yr Amort_for deferral_102809_16.37E Wild Horse Expansion DeferralRevwrkingfile SF" xfId="2031"/>
    <cellStyle name="_Book1_(C) WHE Proforma with ITC cash grant 10 Yr Amort_for deferral_102809_16.37E Wild Horse Expansion DeferralRevwrkingfile SF 2" xfId="2032"/>
    <cellStyle name="_Book1_(C) WHE Proforma with ITC cash grant 10 Yr Amort_for deferral_102809_16.37E Wild Horse Expansion DeferralRevwrkingfile SF 2 2" xfId="2033"/>
    <cellStyle name="_Book1_(C) WHE Proforma with ITC cash grant 10 Yr Amort_for deferral_102809_16.37E Wild Horse Expansion DeferralRevwrkingfile SF 3" xfId="2034"/>
    <cellStyle name="_Book1_(C) WHE Proforma with ITC cash grant 10 Yr Amort_for deferral_102809_16.37E Wild Horse Expansion DeferralRevwrkingfile SF_DEM-WP(C) ENERG10C--ctn Mid-C_042010 2010GRC" xfId="2035"/>
    <cellStyle name="_Book1_(C) WHE Proforma with ITC cash grant 10 Yr Amort_for deferral_102809_DEM-WP(C) ENERG10C--ctn Mid-C_042010 2010GRC" xfId="2036"/>
    <cellStyle name="_Book1_(C) WHE Proforma with ITC cash grant 10 Yr Amort_for rebuttal_120709" xfId="2037"/>
    <cellStyle name="_Book1_(C) WHE Proforma with ITC cash grant 10 Yr Amort_for rebuttal_120709 2" xfId="2038"/>
    <cellStyle name="_Book1_(C) WHE Proforma with ITC cash grant 10 Yr Amort_for rebuttal_120709 2 2" xfId="2039"/>
    <cellStyle name="_Book1_(C) WHE Proforma with ITC cash grant 10 Yr Amort_for rebuttal_120709 3" xfId="2040"/>
    <cellStyle name="_Book1_(C) WHE Proforma with ITC cash grant 10 Yr Amort_for rebuttal_120709_DEM-WP(C) ENERG10C--ctn Mid-C_042010 2010GRC" xfId="2041"/>
    <cellStyle name="_Book1_04.07E Wild Horse Wind Expansion" xfId="2042"/>
    <cellStyle name="_Book1_04.07E Wild Horse Wind Expansion 2" xfId="2043"/>
    <cellStyle name="_Book1_04.07E Wild Horse Wind Expansion 2 2" xfId="2044"/>
    <cellStyle name="_Book1_04.07E Wild Horse Wind Expansion 3" xfId="2045"/>
    <cellStyle name="_Book1_04.07E Wild Horse Wind Expansion_16.07E Wild Horse Wind Expansionwrkingfile" xfId="2046"/>
    <cellStyle name="_Book1_04.07E Wild Horse Wind Expansion_16.07E Wild Horse Wind Expansionwrkingfile 2" xfId="2047"/>
    <cellStyle name="_Book1_04.07E Wild Horse Wind Expansion_16.07E Wild Horse Wind Expansionwrkingfile 2 2" xfId="2048"/>
    <cellStyle name="_Book1_04.07E Wild Horse Wind Expansion_16.07E Wild Horse Wind Expansionwrkingfile 3" xfId="2049"/>
    <cellStyle name="_Book1_04.07E Wild Horse Wind Expansion_16.07E Wild Horse Wind Expansionwrkingfile SF" xfId="2050"/>
    <cellStyle name="_Book1_04.07E Wild Horse Wind Expansion_16.07E Wild Horse Wind Expansionwrkingfile SF 2" xfId="2051"/>
    <cellStyle name="_Book1_04.07E Wild Horse Wind Expansion_16.07E Wild Horse Wind Expansionwrkingfile SF 2 2" xfId="2052"/>
    <cellStyle name="_Book1_04.07E Wild Horse Wind Expansion_16.07E Wild Horse Wind Expansionwrkingfile SF 3" xfId="2053"/>
    <cellStyle name="_Book1_04.07E Wild Horse Wind Expansion_16.07E Wild Horse Wind Expansionwrkingfile SF_DEM-WP(C) ENERG10C--ctn Mid-C_042010 2010GRC" xfId="2054"/>
    <cellStyle name="_Book1_04.07E Wild Horse Wind Expansion_16.07E Wild Horse Wind Expansionwrkingfile_DEM-WP(C) ENERG10C--ctn Mid-C_042010 2010GRC" xfId="2055"/>
    <cellStyle name="_Book1_04.07E Wild Horse Wind Expansion_16.37E Wild Horse Expansion DeferralRevwrkingfile SF" xfId="2056"/>
    <cellStyle name="_Book1_04.07E Wild Horse Wind Expansion_16.37E Wild Horse Expansion DeferralRevwrkingfile SF 2" xfId="2057"/>
    <cellStyle name="_Book1_04.07E Wild Horse Wind Expansion_16.37E Wild Horse Expansion DeferralRevwrkingfile SF 2 2" xfId="2058"/>
    <cellStyle name="_Book1_04.07E Wild Horse Wind Expansion_16.37E Wild Horse Expansion DeferralRevwrkingfile SF 3" xfId="2059"/>
    <cellStyle name="_Book1_04.07E Wild Horse Wind Expansion_16.37E Wild Horse Expansion DeferralRevwrkingfile SF_DEM-WP(C) ENERG10C--ctn Mid-C_042010 2010GRC" xfId="2060"/>
    <cellStyle name="_Book1_04.07E Wild Horse Wind Expansion_DEM-WP(C) ENERG10C--ctn Mid-C_042010 2010GRC" xfId="2061"/>
    <cellStyle name="_Book1_16.07E Wild Horse Wind Expansionwrkingfile" xfId="2062"/>
    <cellStyle name="_Book1_16.07E Wild Horse Wind Expansionwrkingfile 2" xfId="2063"/>
    <cellStyle name="_Book1_16.07E Wild Horse Wind Expansionwrkingfile 2 2" xfId="2064"/>
    <cellStyle name="_Book1_16.07E Wild Horse Wind Expansionwrkingfile 3" xfId="2065"/>
    <cellStyle name="_Book1_16.07E Wild Horse Wind Expansionwrkingfile SF" xfId="2066"/>
    <cellStyle name="_Book1_16.07E Wild Horse Wind Expansionwrkingfile SF 2" xfId="2067"/>
    <cellStyle name="_Book1_16.07E Wild Horse Wind Expansionwrkingfile SF 2 2" xfId="2068"/>
    <cellStyle name="_Book1_16.07E Wild Horse Wind Expansionwrkingfile SF 3" xfId="2069"/>
    <cellStyle name="_Book1_16.07E Wild Horse Wind Expansionwrkingfile SF_DEM-WP(C) ENERG10C--ctn Mid-C_042010 2010GRC" xfId="2070"/>
    <cellStyle name="_Book1_16.07E Wild Horse Wind Expansionwrkingfile_DEM-WP(C) ENERG10C--ctn Mid-C_042010 2010GRC" xfId="2071"/>
    <cellStyle name="_Book1_16.37E Wild Horse Expansion DeferralRevwrkingfile SF" xfId="2072"/>
    <cellStyle name="_Book1_16.37E Wild Horse Expansion DeferralRevwrkingfile SF 2" xfId="2073"/>
    <cellStyle name="_Book1_16.37E Wild Horse Expansion DeferralRevwrkingfile SF 2 2" xfId="2074"/>
    <cellStyle name="_Book1_16.37E Wild Horse Expansion DeferralRevwrkingfile SF 3" xfId="2075"/>
    <cellStyle name="_Book1_16.37E Wild Horse Expansion DeferralRevwrkingfile SF_DEM-WP(C) ENERG10C--ctn Mid-C_042010 2010GRC" xfId="2076"/>
    <cellStyle name="_Book1_2009 Compliance Filing PCA Exhibits for GRC" xfId="2077"/>
    <cellStyle name="_Book1_2009 Compliance Filing PCA Exhibits for GRC 2" xfId="2078"/>
    <cellStyle name="_Book1_2009 GRC Compl Filing - Exhibit D" xfId="2079"/>
    <cellStyle name="_Book1_2009 GRC Compl Filing - Exhibit D 2" xfId="2080"/>
    <cellStyle name="_Book1_2009 GRC Compl Filing - Exhibit D 2 2" xfId="2081"/>
    <cellStyle name="_Book1_2009 GRC Compl Filing - Exhibit D 3" xfId="2082"/>
    <cellStyle name="_Book1_2009 GRC Compl Filing - Exhibit D_DEM-WP(C) ENERG10C--ctn Mid-C_042010 2010GRC" xfId="2083"/>
    <cellStyle name="_Book1_3.01 Income Statement" xfId="2084"/>
    <cellStyle name="_Book1_4 31 Regulatory Assets and Liabilities  7 06- Exhibit D" xfId="2085"/>
    <cellStyle name="_Book1_4 31 Regulatory Assets and Liabilities  7 06- Exhibit D 2" xfId="2086"/>
    <cellStyle name="_Book1_4 31 Regulatory Assets and Liabilities  7 06- Exhibit D 2 2" xfId="2087"/>
    <cellStyle name="_Book1_4 31 Regulatory Assets and Liabilities  7 06- Exhibit D 2 2 2" xfId="2088"/>
    <cellStyle name="_Book1_4 31 Regulatory Assets and Liabilities  7 06- Exhibit D 3" xfId="2089"/>
    <cellStyle name="_Book1_4 31 Regulatory Assets and Liabilities  7 06- Exhibit D_DEM-WP(C) ENERG10C--ctn Mid-C_042010 2010GRC" xfId="2090"/>
    <cellStyle name="_Book1_4 31 Regulatory Assets and Liabilities  7 06- Exhibit D_NIM Summary" xfId="2091"/>
    <cellStyle name="_Book1_4 31 Regulatory Assets and Liabilities  7 06- Exhibit D_NIM Summary 2" xfId="2092"/>
    <cellStyle name="_Book1_4 31 Regulatory Assets and Liabilities  7 06- Exhibit D_NIM Summary 2 2" xfId="2093"/>
    <cellStyle name="_Book1_4 31 Regulatory Assets and Liabilities  7 06- Exhibit D_NIM Summary 3" xfId="2094"/>
    <cellStyle name="_Book1_4 31 Regulatory Assets and Liabilities  7 06- Exhibit D_NIM Summary_DEM-WP(C) ENERG10C--ctn Mid-C_042010 2010GRC" xfId="2095"/>
    <cellStyle name="_Book1_4 31 Regulatory Assets and Liabilities  7 06- Exhibit D_NIM+O&amp;M" xfId="2096"/>
    <cellStyle name="_Book1_4 31 Regulatory Assets and Liabilities  7 06- Exhibit D_NIM+O&amp;M Monthly" xfId="2097"/>
    <cellStyle name="_Book1_4 31E Reg Asset  Liab and EXH D" xfId="2098"/>
    <cellStyle name="_Book1_4 31E Reg Asset  Liab and EXH D _ Aug 10 Filing (2)" xfId="2099"/>
    <cellStyle name="_Book1_4 31E Reg Asset  Liab and EXH D _ Aug 10 Filing (2) 2" xfId="2100"/>
    <cellStyle name="_Book1_4 31E Reg Asset  Liab and EXH D 2" xfId="2101"/>
    <cellStyle name="_Book1_4 31E Reg Asset  Liab and EXH D 3" xfId="2102"/>
    <cellStyle name="_Book1_4 32 Regulatory Assets and Liabilities  7 06- Exhibit D" xfId="2103"/>
    <cellStyle name="_Book1_4 32 Regulatory Assets and Liabilities  7 06- Exhibit D 2" xfId="2104"/>
    <cellStyle name="_Book1_4 32 Regulatory Assets and Liabilities  7 06- Exhibit D 2 2" xfId="2105"/>
    <cellStyle name="_Book1_4 32 Regulatory Assets and Liabilities  7 06- Exhibit D 2 2 2" xfId="2106"/>
    <cellStyle name="_Book1_4 32 Regulatory Assets and Liabilities  7 06- Exhibit D 3" xfId="2107"/>
    <cellStyle name="_Book1_4 32 Regulatory Assets and Liabilities  7 06- Exhibit D_DEM-WP(C) ENERG10C--ctn Mid-C_042010 2010GRC" xfId="2108"/>
    <cellStyle name="_Book1_4 32 Regulatory Assets and Liabilities  7 06- Exhibit D_NIM Summary" xfId="2109"/>
    <cellStyle name="_Book1_4 32 Regulatory Assets and Liabilities  7 06- Exhibit D_NIM Summary 2" xfId="2110"/>
    <cellStyle name="_Book1_4 32 Regulatory Assets and Liabilities  7 06- Exhibit D_NIM Summary 2 2" xfId="2111"/>
    <cellStyle name="_Book1_4 32 Regulatory Assets and Liabilities  7 06- Exhibit D_NIM Summary 3" xfId="2112"/>
    <cellStyle name="_Book1_4 32 Regulatory Assets and Liabilities  7 06- Exhibit D_NIM Summary_DEM-WP(C) ENERG10C--ctn Mid-C_042010 2010GRC" xfId="2113"/>
    <cellStyle name="_Book1_4 32 Regulatory Assets and Liabilities  7 06- Exhibit D_NIM+O&amp;M" xfId="2114"/>
    <cellStyle name="_Book1_4 32 Regulatory Assets and Liabilities  7 06- Exhibit D_NIM+O&amp;M Monthly" xfId="2115"/>
    <cellStyle name="_Book1_AURORA Total New" xfId="2116"/>
    <cellStyle name="_Book1_AURORA Total New 2" xfId="2117"/>
    <cellStyle name="_Book1_AURORA Total New 2 2" xfId="2118"/>
    <cellStyle name="_Book1_AURORA Total New 3" xfId="2119"/>
    <cellStyle name="_Book1_Book2" xfId="2120"/>
    <cellStyle name="_Book1_Book2 2" xfId="2121"/>
    <cellStyle name="_Book1_Book2 2 2" xfId="2122"/>
    <cellStyle name="_Book1_Book2 3" xfId="2123"/>
    <cellStyle name="_Book1_Book2_Adj Bench DR 3 for Initial Briefs (Electric)" xfId="2124"/>
    <cellStyle name="_Book1_Book2_Adj Bench DR 3 for Initial Briefs (Electric) 2" xfId="2125"/>
    <cellStyle name="_Book1_Book2_Adj Bench DR 3 for Initial Briefs (Electric) 2 2" xfId="2126"/>
    <cellStyle name="_Book1_Book2_Adj Bench DR 3 for Initial Briefs (Electric) 3" xfId="2127"/>
    <cellStyle name="_Book1_Book2_Adj Bench DR 3 for Initial Briefs (Electric)_DEM-WP(C) ENERG10C--ctn Mid-C_042010 2010GRC" xfId="2128"/>
    <cellStyle name="_Book1_Book2_DEM-WP(C) ENERG10C--ctn Mid-C_042010 2010GRC" xfId="2129"/>
    <cellStyle name="_Book1_Book2_Electric Rev Req Model (2009 GRC) Rebuttal" xfId="2130"/>
    <cellStyle name="_Book1_Book2_Electric Rev Req Model (2009 GRC) Rebuttal 2" xfId="2131"/>
    <cellStyle name="_Book1_Book2_Electric Rev Req Model (2009 GRC) Rebuttal REmoval of New  WH Solar AdjustMI" xfId="2132"/>
    <cellStyle name="_Book1_Book2_Electric Rev Req Model (2009 GRC) Rebuttal REmoval of New  WH Solar AdjustMI 2" xfId="2133"/>
    <cellStyle name="_Book1_Book2_Electric Rev Req Model (2009 GRC) Rebuttal REmoval of New  WH Solar AdjustMI 2 2" xfId="2134"/>
    <cellStyle name="_Book1_Book2_Electric Rev Req Model (2009 GRC) Rebuttal REmoval of New  WH Solar AdjustMI 3" xfId="2135"/>
    <cellStyle name="_Book1_Book2_Electric Rev Req Model (2009 GRC) Rebuttal REmoval of New  WH Solar AdjustMI_DEM-WP(C) ENERG10C--ctn Mid-C_042010 2010GRC" xfId="2136"/>
    <cellStyle name="_Book1_Book2_Electric Rev Req Model (2009 GRC) Revised 01-18-2010" xfId="2137"/>
    <cellStyle name="_Book1_Book2_Electric Rev Req Model (2009 GRC) Revised 01-18-2010 2" xfId="2138"/>
    <cellStyle name="_Book1_Book2_Electric Rev Req Model (2009 GRC) Revised 01-18-2010 2 2" xfId="2139"/>
    <cellStyle name="_Book1_Book2_Electric Rev Req Model (2009 GRC) Revised 01-18-2010 3" xfId="2140"/>
    <cellStyle name="_Book1_Book2_Electric Rev Req Model (2009 GRC) Revised 01-18-2010_DEM-WP(C) ENERG10C--ctn Mid-C_042010 2010GRC" xfId="2141"/>
    <cellStyle name="_Book1_Book2_Final Order Electric EXHIBIT A-1" xfId="2142"/>
    <cellStyle name="_Book1_Book2_Final Order Electric EXHIBIT A-1 2" xfId="2143"/>
    <cellStyle name="_Book1_Book4" xfId="2144"/>
    <cellStyle name="_Book1_Book4 2" xfId="2145"/>
    <cellStyle name="_Book1_Book4 2 2" xfId="2146"/>
    <cellStyle name="_Book1_Book4 3" xfId="2147"/>
    <cellStyle name="_Book1_Book4_DEM-WP(C) ENERG10C--ctn Mid-C_042010 2010GRC" xfId="2148"/>
    <cellStyle name="_Book1_Book9" xfId="2149"/>
    <cellStyle name="_Book1_Book9 2" xfId="2150"/>
    <cellStyle name="_Book1_Book9 2 2" xfId="2151"/>
    <cellStyle name="_Book1_Book9 3" xfId="2152"/>
    <cellStyle name="_Book1_Book9_DEM-WP(C) ENERG10C--ctn Mid-C_042010 2010GRC" xfId="2153"/>
    <cellStyle name="_Book1_Chelan PUD Power Costs (8-10)" xfId="2154"/>
    <cellStyle name="_Book1_Chelan PUD Power Costs (8-10) 2" xfId="2155"/>
    <cellStyle name="_Book1_DEM-WP(C) Chelan Power Costs" xfId="2156"/>
    <cellStyle name="_Book1_DEM-WP(C) Chelan Power Costs 2" xfId="2157"/>
    <cellStyle name="_Book1_DEM-WP(C) ENERG10C--ctn Mid-C_042010 2010GRC" xfId="2158"/>
    <cellStyle name="_Book1_DEM-WP(C) Gas Transport 2010GRC" xfId="2159"/>
    <cellStyle name="_Book1_DEM-WP(C) Gas Transport 2010GRC 2" xfId="2160"/>
    <cellStyle name="_Book1_Exh A-1 resulting from UE-112050 effective Jan 1 2012" xfId="2161"/>
    <cellStyle name="_Book1_Exh G - Klamath Peaker PPA fr C Locke 2-12" xfId="2162"/>
    <cellStyle name="_Book1_Exhibit A-1 effective 4-1-11 fr S Free 12-11" xfId="2163"/>
    <cellStyle name="_Book1_LSRWEP LGIA like Acctg Petition Aug 2010" xfId="2164"/>
    <cellStyle name="_Book1_Mint Farm Generation BPA" xfId="2165"/>
    <cellStyle name="_Book1_NIM Summary" xfId="2166"/>
    <cellStyle name="_Book1_NIM Summary 09GRC" xfId="2167"/>
    <cellStyle name="_Book1_NIM Summary 09GRC 2" xfId="2168"/>
    <cellStyle name="_Book1_NIM Summary 09GRC 2 2" xfId="2169"/>
    <cellStyle name="_Book1_NIM Summary 09GRC 3" xfId="2170"/>
    <cellStyle name="_Book1_NIM Summary 09GRC_DEM-WP(C) ENERG10C--ctn Mid-C_042010 2010GRC" xfId="2171"/>
    <cellStyle name="_Book1_NIM Summary 10" xfId="2172"/>
    <cellStyle name="_Book1_NIM Summary 11" xfId="2173"/>
    <cellStyle name="_Book1_NIM Summary 12" xfId="2174"/>
    <cellStyle name="_Book1_NIM Summary 13" xfId="2175"/>
    <cellStyle name="_Book1_NIM Summary 14" xfId="2176"/>
    <cellStyle name="_Book1_NIM Summary 15" xfId="2177"/>
    <cellStyle name="_Book1_NIM Summary 16" xfId="2178"/>
    <cellStyle name="_Book1_NIM Summary 17" xfId="2179"/>
    <cellStyle name="_Book1_NIM Summary 18" xfId="2180"/>
    <cellStyle name="_Book1_NIM Summary 19" xfId="2181"/>
    <cellStyle name="_Book1_NIM Summary 2" xfId="2182"/>
    <cellStyle name="_Book1_NIM Summary 2 2" xfId="2183"/>
    <cellStyle name="_Book1_NIM Summary 20" xfId="2184"/>
    <cellStyle name="_Book1_NIM Summary 21" xfId="2185"/>
    <cellStyle name="_Book1_NIM Summary 22" xfId="2186"/>
    <cellStyle name="_Book1_NIM Summary 23" xfId="2187"/>
    <cellStyle name="_Book1_NIM Summary 24" xfId="2188"/>
    <cellStyle name="_Book1_NIM Summary 25" xfId="2189"/>
    <cellStyle name="_Book1_NIM Summary 26" xfId="2190"/>
    <cellStyle name="_Book1_NIM Summary 27" xfId="2191"/>
    <cellStyle name="_Book1_NIM Summary 28" xfId="2192"/>
    <cellStyle name="_Book1_NIM Summary 29" xfId="2193"/>
    <cellStyle name="_Book1_NIM Summary 3" xfId="2194"/>
    <cellStyle name="_Book1_NIM Summary 30" xfId="2195"/>
    <cellStyle name="_Book1_NIM Summary 31" xfId="2196"/>
    <cellStyle name="_Book1_NIM Summary 32" xfId="2197"/>
    <cellStyle name="_Book1_NIM Summary 33" xfId="2198"/>
    <cellStyle name="_Book1_NIM Summary 34" xfId="2199"/>
    <cellStyle name="_Book1_NIM Summary 35" xfId="2200"/>
    <cellStyle name="_Book1_NIM Summary 36" xfId="2201"/>
    <cellStyle name="_Book1_NIM Summary 37" xfId="2202"/>
    <cellStyle name="_Book1_NIM Summary 38" xfId="2203"/>
    <cellStyle name="_Book1_NIM Summary 39" xfId="2204"/>
    <cellStyle name="_Book1_NIM Summary 4" xfId="2205"/>
    <cellStyle name="_Book1_NIM Summary 40" xfId="2206"/>
    <cellStyle name="_Book1_NIM Summary 41" xfId="2207"/>
    <cellStyle name="_Book1_NIM Summary 42" xfId="2208"/>
    <cellStyle name="_Book1_NIM Summary 43" xfId="2209"/>
    <cellStyle name="_Book1_NIM Summary 44" xfId="2210"/>
    <cellStyle name="_Book1_NIM Summary 45" xfId="2211"/>
    <cellStyle name="_Book1_NIM Summary 46" xfId="2212"/>
    <cellStyle name="_Book1_NIM Summary 47" xfId="2213"/>
    <cellStyle name="_Book1_NIM Summary 48" xfId="2214"/>
    <cellStyle name="_Book1_NIM Summary 49" xfId="2215"/>
    <cellStyle name="_Book1_NIM Summary 5" xfId="2216"/>
    <cellStyle name="_Book1_NIM Summary 50" xfId="2217"/>
    <cellStyle name="_Book1_NIM Summary 51" xfId="2218"/>
    <cellStyle name="_Book1_NIM Summary 52" xfId="2219"/>
    <cellStyle name="_Book1_NIM Summary 6" xfId="2220"/>
    <cellStyle name="_Book1_NIM Summary 7" xfId="2221"/>
    <cellStyle name="_Book1_NIM Summary 8" xfId="2222"/>
    <cellStyle name="_Book1_NIM Summary 9" xfId="2223"/>
    <cellStyle name="_Book1_NIM Summary_DEM-WP(C) ENERG10C--ctn Mid-C_042010 2010GRC" xfId="2224"/>
    <cellStyle name="_Book1_NIM+O&amp;M" xfId="2225"/>
    <cellStyle name="_Book1_NIM+O&amp;M 2" xfId="2226"/>
    <cellStyle name="_Book1_NIM+O&amp;M Monthly" xfId="2227"/>
    <cellStyle name="_Book1_NIM+O&amp;M Monthly 2" xfId="2228"/>
    <cellStyle name="_Book1_PCA 10 -  Exhibit D Dec 2011" xfId="2229"/>
    <cellStyle name="_Book1_PCA 10 -  Exhibit D from A Kellogg Jan 2011" xfId="2230"/>
    <cellStyle name="_Book1_PCA 10 -  Exhibit D from A Kellogg July 2011" xfId="2231"/>
    <cellStyle name="_Book1_PCA 10 -  Exhibit D from S Free Rcv'd 12-11" xfId="2232"/>
    <cellStyle name="_Book1_PCA 11 -  Exhibit D Jan 2012 fr A Kellogg" xfId="2233"/>
    <cellStyle name="_Book1_PCA 11 -  Exhibit D Jan 2012 WF" xfId="2234"/>
    <cellStyle name="_Book1_PCA 9 -  Exhibit D April 2010" xfId="2235"/>
    <cellStyle name="_Book1_PCA 9 -  Exhibit D April 2010 (3)" xfId="2236"/>
    <cellStyle name="_Book1_PCA 9 -  Exhibit D April 2010 (3) 2" xfId="2237"/>
    <cellStyle name="_Book1_PCA 9 -  Exhibit D April 2010 (3) 2 2" xfId="2238"/>
    <cellStyle name="_Book1_PCA 9 -  Exhibit D April 2010 (3) 3" xfId="2239"/>
    <cellStyle name="_Book1_PCA 9 -  Exhibit D April 2010 (3)_DEM-WP(C) ENERG10C--ctn Mid-C_042010 2010GRC" xfId="2240"/>
    <cellStyle name="_Book1_PCA 9 -  Exhibit D April 2010 2" xfId="2241"/>
    <cellStyle name="_Book1_PCA 9 -  Exhibit D April 2010 3" xfId="2242"/>
    <cellStyle name="_Book1_PCA 9 -  Exhibit D April 2010 4" xfId="2243"/>
    <cellStyle name="_Book1_PCA 9 -  Exhibit D April 2010 5" xfId="2244"/>
    <cellStyle name="_Book1_PCA 9 -  Exhibit D April 2010 6" xfId="2245"/>
    <cellStyle name="_Book1_PCA 9 -  Exhibit D Nov 2010" xfId="2246"/>
    <cellStyle name="_Book1_PCA 9 -  Exhibit D Nov 2010 2" xfId="2247"/>
    <cellStyle name="_Book1_PCA 9 - Exhibit D at August 2010" xfId="2248"/>
    <cellStyle name="_Book1_PCA 9 - Exhibit D at August 2010 2" xfId="2249"/>
    <cellStyle name="_Book1_PCA 9 - Exhibit D June 2010 GRC" xfId="2250"/>
    <cellStyle name="_Book1_PCA 9 - Exhibit D June 2010 GRC 2" xfId="2251"/>
    <cellStyle name="_Book1_Power Costs - Comparison bx Rbtl-Staff-Jt-PC" xfId="2252"/>
    <cellStyle name="_Book1_Power Costs - Comparison bx Rbtl-Staff-Jt-PC 2" xfId="2253"/>
    <cellStyle name="_Book1_Power Costs - Comparison bx Rbtl-Staff-Jt-PC 2 2" xfId="2254"/>
    <cellStyle name="_Book1_Power Costs - Comparison bx Rbtl-Staff-Jt-PC 3" xfId="2255"/>
    <cellStyle name="_Book1_Power Costs - Comparison bx Rbtl-Staff-Jt-PC_Adj Bench DR 3 for Initial Briefs (Electric)" xfId="2256"/>
    <cellStyle name="_Book1_Power Costs - Comparison bx Rbtl-Staff-Jt-PC_Adj Bench DR 3 for Initial Briefs (Electric) 2" xfId="2257"/>
    <cellStyle name="_Book1_Power Costs - Comparison bx Rbtl-Staff-Jt-PC_Adj Bench DR 3 for Initial Briefs (Electric) 2 2" xfId="2258"/>
    <cellStyle name="_Book1_Power Costs - Comparison bx Rbtl-Staff-Jt-PC_Adj Bench DR 3 for Initial Briefs (Electric) 3" xfId="2259"/>
    <cellStyle name="_Book1_Power Costs - Comparison bx Rbtl-Staff-Jt-PC_Adj Bench DR 3 for Initial Briefs (Electric)_DEM-WP(C) ENERG10C--ctn Mid-C_042010 2010GRC" xfId="2260"/>
    <cellStyle name="_Book1_Power Costs - Comparison bx Rbtl-Staff-Jt-PC_DEM-WP(C) ENERG10C--ctn Mid-C_042010 2010GRC" xfId="2261"/>
    <cellStyle name="_Book1_Power Costs - Comparison bx Rbtl-Staff-Jt-PC_Electric Rev Req Model (2009 GRC) Rebuttal" xfId="2262"/>
    <cellStyle name="_Book1_Power Costs - Comparison bx Rbtl-Staff-Jt-PC_Electric Rev Req Model (2009 GRC) Rebuttal 2" xfId="2263"/>
    <cellStyle name="_Book1_Power Costs - Comparison bx Rbtl-Staff-Jt-PC_Electric Rev Req Model (2009 GRC) Rebuttal REmoval of New  WH Solar AdjustMI" xfId="2264"/>
    <cellStyle name="_Book1_Power Costs - Comparison bx Rbtl-Staff-Jt-PC_Electric Rev Req Model (2009 GRC) Rebuttal REmoval of New  WH Solar AdjustMI 2" xfId="2265"/>
    <cellStyle name="_Book1_Power Costs - Comparison bx Rbtl-Staff-Jt-PC_Electric Rev Req Model (2009 GRC) Rebuttal REmoval of New  WH Solar AdjustMI 2 2" xfId="2266"/>
    <cellStyle name="_Book1_Power Costs - Comparison bx Rbtl-Staff-Jt-PC_Electric Rev Req Model (2009 GRC) Rebuttal REmoval of New  WH Solar AdjustMI 3" xfId="2267"/>
    <cellStyle name="_Book1_Power Costs - Comparison bx Rbtl-Staff-Jt-PC_Electric Rev Req Model (2009 GRC) Rebuttal REmoval of New  WH Solar AdjustMI_DEM-WP(C) ENERG10C--ctn Mid-C_042010 2010GRC" xfId="2268"/>
    <cellStyle name="_Book1_Power Costs - Comparison bx Rbtl-Staff-Jt-PC_Electric Rev Req Model (2009 GRC) Revised 01-18-2010" xfId="2269"/>
    <cellStyle name="_Book1_Power Costs - Comparison bx Rbtl-Staff-Jt-PC_Electric Rev Req Model (2009 GRC) Revised 01-18-2010 2" xfId="2270"/>
    <cellStyle name="_Book1_Power Costs - Comparison bx Rbtl-Staff-Jt-PC_Electric Rev Req Model (2009 GRC) Revised 01-18-2010 2 2" xfId="2271"/>
    <cellStyle name="_Book1_Power Costs - Comparison bx Rbtl-Staff-Jt-PC_Electric Rev Req Model (2009 GRC) Revised 01-18-2010 3" xfId="2272"/>
    <cellStyle name="_Book1_Power Costs - Comparison bx Rbtl-Staff-Jt-PC_Electric Rev Req Model (2009 GRC) Revised 01-18-2010_DEM-WP(C) ENERG10C--ctn Mid-C_042010 2010GRC" xfId="2273"/>
    <cellStyle name="_Book1_Power Costs - Comparison bx Rbtl-Staff-Jt-PC_Final Order Electric EXHIBIT A-1" xfId="2274"/>
    <cellStyle name="_Book1_Power Costs - Comparison bx Rbtl-Staff-Jt-PC_Final Order Electric EXHIBIT A-1 2" xfId="2275"/>
    <cellStyle name="_Book1_Production Adj 4.37" xfId="21243"/>
    <cellStyle name="_Book1_Purchased Power Adj 4.03" xfId="21244"/>
    <cellStyle name="_Book1_Rebuttal Power Costs" xfId="2276"/>
    <cellStyle name="_Book1_Rebuttal Power Costs 2" xfId="2277"/>
    <cellStyle name="_Book1_Rebuttal Power Costs 2 2" xfId="2278"/>
    <cellStyle name="_Book1_Rebuttal Power Costs 3" xfId="2279"/>
    <cellStyle name="_Book1_Rebuttal Power Costs_Adj Bench DR 3 for Initial Briefs (Electric)" xfId="2280"/>
    <cellStyle name="_Book1_Rebuttal Power Costs_Adj Bench DR 3 for Initial Briefs (Electric) 2" xfId="2281"/>
    <cellStyle name="_Book1_Rebuttal Power Costs_Adj Bench DR 3 for Initial Briefs (Electric) 2 2" xfId="2282"/>
    <cellStyle name="_Book1_Rebuttal Power Costs_Adj Bench DR 3 for Initial Briefs (Electric) 3" xfId="2283"/>
    <cellStyle name="_Book1_Rebuttal Power Costs_Adj Bench DR 3 for Initial Briefs (Electric)_DEM-WP(C) ENERG10C--ctn Mid-C_042010 2010GRC" xfId="2284"/>
    <cellStyle name="_Book1_Rebuttal Power Costs_DEM-WP(C) ENERG10C--ctn Mid-C_042010 2010GRC" xfId="2285"/>
    <cellStyle name="_Book1_Rebuttal Power Costs_Electric Rev Req Model (2009 GRC) Rebuttal" xfId="2286"/>
    <cellStyle name="_Book1_Rebuttal Power Costs_Electric Rev Req Model (2009 GRC) Rebuttal 2" xfId="2287"/>
    <cellStyle name="_Book1_Rebuttal Power Costs_Electric Rev Req Model (2009 GRC) Rebuttal REmoval of New  WH Solar AdjustMI" xfId="2288"/>
    <cellStyle name="_Book1_Rebuttal Power Costs_Electric Rev Req Model (2009 GRC) Rebuttal REmoval of New  WH Solar AdjustMI 2" xfId="2289"/>
    <cellStyle name="_Book1_Rebuttal Power Costs_Electric Rev Req Model (2009 GRC) Rebuttal REmoval of New  WH Solar AdjustMI 2 2" xfId="2290"/>
    <cellStyle name="_Book1_Rebuttal Power Costs_Electric Rev Req Model (2009 GRC) Rebuttal REmoval of New  WH Solar AdjustMI 3" xfId="2291"/>
    <cellStyle name="_Book1_Rebuttal Power Costs_Electric Rev Req Model (2009 GRC) Rebuttal REmoval of New  WH Solar AdjustMI_DEM-WP(C) ENERG10C--ctn Mid-C_042010 2010GRC" xfId="2292"/>
    <cellStyle name="_Book1_Rebuttal Power Costs_Electric Rev Req Model (2009 GRC) Revised 01-18-2010" xfId="2293"/>
    <cellStyle name="_Book1_Rebuttal Power Costs_Electric Rev Req Model (2009 GRC) Revised 01-18-2010 2" xfId="2294"/>
    <cellStyle name="_Book1_Rebuttal Power Costs_Electric Rev Req Model (2009 GRC) Revised 01-18-2010 2 2" xfId="2295"/>
    <cellStyle name="_Book1_Rebuttal Power Costs_Electric Rev Req Model (2009 GRC) Revised 01-18-2010 3" xfId="2296"/>
    <cellStyle name="_Book1_Rebuttal Power Costs_Electric Rev Req Model (2009 GRC) Revised 01-18-2010_DEM-WP(C) ENERG10C--ctn Mid-C_042010 2010GRC" xfId="2297"/>
    <cellStyle name="_Book1_Rebuttal Power Costs_Final Order Electric EXHIBIT A-1" xfId="2298"/>
    <cellStyle name="_Book1_Rebuttal Power Costs_Final Order Electric EXHIBIT A-1 2" xfId="2299"/>
    <cellStyle name="_Book1_ROR 5.02" xfId="21245"/>
    <cellStyle name="_Book1_Transmission Workbook for May BOD" xfId="2300"/>
    <cellStyle name="_Book1_Transmission Workbook for May BOD 2" xfId="2301"/>
    <cellStyle name="_Book1_Transmission Workbook for May BOD 2 2" xfId="2302"/>
    <cellStyle name="_Book1_Transmission Workbook for May BOD 3" xfId="2303"/>
    <cellStyle name="_Book1_Transmission Workbook for May BOD_DEM-WP(C) ENERG10C--ctn Mid-C_042010 2010GRC" xfId="2304"/>
    <cellStyle name="_Book1_Wind Integration 10GRC" xfId="2305"/>
    <cellStyle name="_Book1_Wind Integration 10GRC 2" xfId="2306"/>
    <cellStyle name="_Book1_Wind Integration 10GRC 2 2" xfId="2307"/>
    <cellStyle name="_Book1_Wind Integration 10GRC 3" xfId="2308"/>
    <cellStyle name="_Book1_Wind Integration 10GRC_DEM-WP(C) ENERG10C--ctn Mid-C_042010 2010GRC" xfId="2309"/>
    <cellStyle name="_Book2" xfId="2310"/>
    <cellStyle name="_x0013__Book2" xfId="2311"/>
    <cellStyle name="_Book2 10" xfId="2312"/>
    <cellStyle name="_x0013__Book2 10" xfId="2313"/>
    <cellStyle name="_Book2 10 2" xfId="2314"/>
    <cellStyle name="_Book2 10 3" xfId="2315"/>
    <cellStyle name="_Book2 10 4" xfId="2316"/>
    <cellStyle name="_Book2 10 5" xfId="2317"/>
    <cellStyle name="_Book2 10 6" xfId="2318"/>
    <cellStyle name="_Book2 11" xfId="2319"/>
    <cellStyle name="_x0013__Book2 11" xfId="2320"/>
    <cellStyle name="_Book2 11 2" xfId="2321"/>
    <cellStyle name="_Book2 11 3" xfId="2322"/>
    <cellStyle name="_Book2 12" xfId="2323"/>
    <cellStyle name="_x0013__Book2 12" xfId="2324"/>
    <cellStyle name="_Book2 12 2" xfId="2325"/>
    <cellStyle name="_Book2 12 3" xfId="2326"/>
    <cellStyle name="_Book2 13" xfId="2327"/>
    <cellStyle name="_x0013__Book2 13" xfId="2328"/>
    <cellStyle name="_Book2 13 2" xfId="2329"/>
    <cellStyle name="_Book2 13 3" xfId="2330"/>
    <cellStyle name="_Book2 14" xfId="2331"/>
    <cellStyle name="_x0013__Book2 14" xfId="2332"/>
    <cellStyle name="_Book2 14 2" xfId="2333"/>
    <cellStyle name="_Book2 14 3" xfId="2334"/>
    <cellStyle name="_Book2 15" xfId="2335"/>
    <cellStyle name="_x0013__Book2 15" xfId="2336"/>
    <cellStyle name="_Book2 15 2" xfId="2337"/>
    <cellStyle name="_Book2 15 3" xfId="2338"/>
    <cellStyle name="_Book2 16" xfId="2339"/>
    <cellStyle name="_x0013__Book2 16" xfId="2340"/>
    <cellStyle name="_Book2 16 2" xfId="2341"/>
    <cellStyle name="_x0013__Book2 17" xfId="2342"/>
    <cellStyle name="_x0013__Book2 18" xfId="2343"/>
    <cellStyle name="_x0013__Book2 19" xfId="2344"/>
    <cellStyle name="_Book2 2" xfId="2345"/>
    <cellStyle name="_x0013__Book2 2" xfId="2346"/>
    <cellStyle name="_Book2 2 10" xfId="2347"/>
    <cellStyle name="_Book2 2 11" xfId="2348"/>
    <cellStyle name="_Book2 2 12" xfId="2349"/>
    <cellStyle name="_Book2 2 13" xfId="2350"/>
    <cellStyle name="_Book2 2 14" xfId="2351"/>
    <cellStyle name="_Book2 2 15" xfId="2352"/>
    <cellStyle name="_Book2 2 16" xfId="2353"/>
    <cellStyle name="_Book2 2 17" xfId="2354"/>
    <cellStyle name="_Book2 2 18" xfId="2355"/>
    <cellStyle name="_Book2 2 19" xfId="2356"/>
    <cellStyle name="_Book2 2 2" xfId="2357"/>
    <cellStyle name="_x0013__Book2 2 2" xfId="2358"/>
    <cellStyle name="_Book2 2 2 2" xfId="2359"/>
    <cellStyle name="_Book2 2 2 3" xfId="2360"/>
    <cellStyle name="_Book2 2 2 4" xfId="2361"/>
    <cellStyle name="_Book2 2 2 5" xfId="2362"/>
    <cellStyle name="_Book2 2 2 6" xfId="2363"/>
    <cellStyle name="_Book2 2 20" xfId="2364"/>
    <cellStyle name="_Book2 2 21" xfId="2365"/>
    <cellStyle name="_Book2 2 22" xfId="2366"/>
    <cellStyle name="_Book2 2 23" xfId="2367"/>
    <cellStyle name="_Book2 2 24" xfId="2368"/>
    <cellStyle name="_Book2 2 25" xfId="2369"/>
    <cellStyle name="_Book2 2 26" xfId="2370"/>
    <cellStyle name="_Book2 2 27" xfId="2371"/>
    <cellStyle name="_Book2 2 28" xfId="2372"/>
    <cellStyle name="_Book2 2 29" xfId="2373"/>
    <cellStyle name="_Book2 2 3" xfId="2374"/>
    <cellStyle name="_x0013__Book2 2 3" xfId="2375"/>
    <cellStyle name="_Book2 2 30" xfId="2376"/>
    <cellStyle name="_Book2 2 31" xfId="2377"/>
    <cellStyle name="_Book2 2 32" xfId="2378"/>
    <cellStyle name="_Book2 2 33" xfId="2379"/>
    <cellStyle name="_Book2 2 34" xfId="2380"/>
    <cellStyle name="_Book2 2 35" xfId="2381"/>
    <cellStyle name="_Book2 2 36" xfId="2382"/>
    <cellStyle name="_Book2 2 37" xfId="2383"/>
    <cellStyle name="_Book2 2 38" xfId="2384"/>
    <cellStyle name="_Book2 2 39" xfId="2385"/>
    <cellStyle name="_Book2 2 4" xfId="2386"/>
    <cellStyle name="_x0013__Book2 2 4" xfId="2387"/>
    <cellStyle name="_Book2 2 40" xfId="2388"/>
    <cellStyle name="_Book2 2 41" xfId="2389"/>
    <cellStyle name="_Book2 2 42" xfId="2390"/>
    <cellStyle name="_Book2 2 43" xfId="2391"/>
    <cellStyle name="_Book2 2 44" xfId="2392"/>
    <cellStyle name="_Book2 2 45" xfId="2393"/>
    <cellStyle name="_Book2 2 46" xfId="2394"/>
    <cellStyle name="_Book2 2 47" xfId="2395"/>
    <cellStyle name="_Book2 2 48" xfId="2396"/>
    <cellStyle name="_Book2 2 49" xfId="2397"/>
    <cellStyle name="_Book2 2 5" xfId="2398"/>
    <cellStyle name="_x0013__Book2 2 5" xfId="2399"/>
    <cellStyle name="_Book2 2 50" xfId="2400"/>
    <cellStyle name="_Book2 2 51" xfId="2401"/>
    <cellStyle name="_Book2 2 52" xfId="2402"/>
    <cellStyle name="_Book2 2 53" xfId="2403"/>
    <cellStyle name="_Book2 2 6" xfId="2404"/>
    <cellStyle name="_x0013__Book2 2 6" xfId="2405"/>
    <cellStyle name="_Book2 2 7" xfId="2406"/>
    <cellStyle name="_Book2 2 8" xfId="2407"/>
    <cellStyle name="_Book2 2 9" xfId="2408"/>
    <cellStyle name="_x0013__Book2 20" xfId="2409"/>
    <cellStyle name="_x0013__Book2 21" xfId="2410"/>
    <cellStyle name="_x0013__Book2 22" xfId="2411"/>
    <cellStyle name="_x0013__Book2 23" xfId="2412"/>
    <cellStyle name="_x0013__Book2 24" xfId="2413"/>
    <cellStyle name="_x0013__Book2 25" xfId="2414"/>
    <cellStyle name="_x0013__Book2 26" xfId="2415"/>
    <cellStyle name="_x0013__Book2 27" xfId="2416"/>
    <cellStyle name="_x0013__Book2 28" xfId="2417"/>
    <cellStyle name="_x0013__Book2 29" xfId="2418"/>
    <cellStyle name="_Book2 3" xfId="2419"/>
    <cellStyle name="_x0013__Book2 3" xfId="2420"/>
    <cellStyle name="_Book2 3 10" xfId="2421"/>
    <cellStyle name="_Book2 3 11" xfId="2422"/>
    <cellStyle name="_Book2 3 12" xfId="2423"/>
    <cellStyle name="_Book2 3 13" xfId="2424"/>
    <cellStyle name="_Book2 3 14" xfId="2425"/>
    <cellStyle name="_Book2 3 15" xfId="2426"/>
    <cellStyle name="_Book2 3 16" xfId="2427"/>
    <cellStyle name="_Book2 3 17" xfId="2428"/>
    <cellStyle name="_Book2 3 18" xfId="2429"/>
    <cellStyle name="_Book2 3 19" xfId="2430"/>
    <cellStyle name="_Book2 3 2" xfId="2431"/>
    <cellStyle name="_Book2 3 20" xfId="2432"/>
    <cellStyle name="_Book2 3 21" xfId="2433"/>
    <cellStyle name="_Book2 3 22" xfId="2434"/>
    <cellStyle name="_Book2 3 23" xfId="2435"/>
    <cellStyle name="_Book2 3 24" xfId="2436"/>
    <cellStyle name="_Book2 3 25" xfId="2437"/>
    <cellStyle name="_Book2 3 26" xfId="2438"/>
    <cellStyle name="_Book2 3 27" xfId="2439"/>
    <cellStyle name="_Book2 3 28" xfId="2440"/>
    <cellStyle name="_Book2 3 29" xfId="2441"/>
    <cellStyle name="_Book2 3 3" xfId="2442"/>
    <cellStyle name="_Book2 3 30" xfId="2443"/>
    <cellStyle name="_Book2 3 31" xfId="2444"/>
    <cellStyle name="_Book2 3 32" xfId="2445"/>
    <cellStyle name="_Book2 3 33" xfId="2446"/>
    <cellStyle name="_Book2 3 34" xfId="2447"/>
    <cellStyle name="_Book2 3 35" xfId="2448"/>
    <cellStyle name="_Book2 3 36" xfId="2449"/>
    <cellStyle name="_Book2 3 37" xfId="2450"/>
    <cellStyle name="_Book2 3 38" xfId="2451"/>
    <cellStyle name="_Book2 3 4" xfId="2452"/>
    <cellStyle name="_Book2 3 5" xfId="2453"/>
    <cellStyle name="_Book2 3 6" xfId="2454"/>
    <cellStyle name="_Book2 3 7" xfId="2455"/>
    <cellStyle name="_Book2 3 8" xfId="2456"/>
    <cellStyle name="_Book2 3 9" xfId="2457"/>
    <cellStyle name="_x0013__Book2 30" xfId="2458"/>
    <cellStyle name="_x0013__Book2 31" xfId="2459"/>
    <cellStyle name="_x0013__Book2 32" xfId="2460"/>
    <cellStyle name="_x0013__Book2 33" xfId="2461"/>
    <cellStyle name="_x0013__Book2 34" xfId="2462"/>
    <cellStyle name="_x0013__Book2 35" xfId="2463"/>
    <cellStyle name="_x0013__Book2 36" xfId="2464"/>
    <cellStyle name="_x0013__Book2 37" xfId="2465"/>
    <cellStyle name="_x0013__Book2 38" xfId="2466"/>
    <cellStyle name="_x0013__Book2 39" xfId="2467"/>
    <cellStyle name="_Book2 4" xfId="2468"/>
    <cellStyle name="_x0013__Book2 4" xfId="2469"/>
    <cellStyle name="_Book2 4 10" xfId="2470"/>
    <cellStyle name="_Book2 4 11" xfId="2471"/>
    <cellStyle name="_Book2 4 12" xfId="2472"/>
    <cellStyle name="_Book2 4 13" xfId="2473"/>
    <cellStyle name="_Book2 4 14" xfId="2474"/>
    <cellStyle name="_Book2 4 15" xfId="2475"/>
    <cellStyle name="_Book2 4 16" xfId="2476"/>
    <cellStyle name="_Book2 4 17" xfId="2477"/>
    <cellStyle name="_Book2 4 18" xfId="2478"/>
    <cellStyle name="_Book2 4 19" xfId="2479"/>
    <cellStyle name="_Book2 4 2" xfId="2480"/>
    <cellStyle name="_Book2 4 20" xfId="2481"/>
    <cellStyle name="_Book2 4 21" xfId="2482"/>
    <cellStyle name="_Book2 4 22" xfId="2483"/>
    <cellStyle name="_Book2 4 23" xfId="2484"/>
    <cellStyle name="_Book2 4 24" xfId="2485"/>
    <cellStyle name="_Book2 4 25" xfId="2486"/>
    <cellStyle name="_Book2 4 26" xfId="2487"/>
    <cellStyle name="_Book2 4 27" xfId="2488"/>
    <cellStyle name="_Book2 4 28" xfId="2489"/>
    <cellStyle name="_Book2 4 29" xfId="2490"/>
    <cellStyle name="_Book2 4 3" xfId="2491"/>
    <cellStyle name="_Book2 4 30" xfId="2492"/>
    <cellStyle name="_Book2 4 31" xfId="2493"/>
    <cellStyle name="_Book2 4 32" xfId="2494"/>
    <cellStyle name="_Book2 4 33" xfId="2495"/>
    <cellStyle name="_Book2 4 34" xfId="2496"/>
    <cellStyle name="_Book2 4 35" xfId="2497"/>
    <cellStyle name="_Book2 4 36" xfId="2498"/>
    <cellStyle name="_Book2 4 37" xfId="2499"/>
    <cellStyle name="_Book2 4 38" xfId="2500"/>
    <cellStyle name="_Book2 4 39" xfId="2501"/>
    <cellStyle name="_Book2 4 4" xfId="2502"/>
    <cellStyle name="_Book2 4 40" xfId="2503"/>
    <cellStyle name="_Book2 4 41" xfId="2504"/>
    <cellStyle name="_Book2 4 42" xfId="2505"/>
    <cellStyle name="_Book2 4 43" xfId="2506"/>
    <cellStyle name="_Book2 4 5" xfId="2507"/>
    <cellStyle name="_Book2 4 6" xfId="2508"/>
    <cellStyle name="_Book2 4 7" xfId="2509"/>
    <cellStyle name="_Book2 4 8" xfId="2510"/>
    <cellStyle name="_Book2 4 9" xfId="2511"/>
    <cellStyle name="_x0013__Book2 40" xfId="2512"/>
    <cellStyle name="_x0013__Book2 41" xfId="2513"/>
    <cellStyle name="_x0013__Book2 42" xfId="2514"/>
    <cellStyle name="_x0013__Book2 43" xfId="2515"/>
    <cellStyle name="_x0013__Book2 44" xfId="2516"/>
    <cellStyle name="_x0013__Book2 45" xfId="2517"/>
    <cellStyle name="_x0013__Book2 46" xfId="2518"/>
    <cellStyle name="_x0013__Book2 47" xfId="2519"/>
    <cellStyle name="_x0013__Book2 48" xfId="2520"/>
    <cellStyle name="_x0013__Book2 49" xfId="2521"/>
    <cellStyle name="_Book2 5" xfId="2522"/>
    <cellStyle name="_x0013__Book2 5" xfId="2523"/>
    <cellStyle name="_Book2 5 10" xfId="2524"/>
    <cellStyle name="_Book2 5 11" xfId="2525"/>
    <cellStyle name="_Book2 5 12" xfId="2526"/>
    <cellStyle name="_Book2 5 13" xfId="2527"/>
    <cellStyle name="_Book2 5 14" xfId="2528"/>
    <cellStyle name="_Book2 5 15" xfId="2529"/>
    <cellStyle name="_Book2 5 16" xfId="2530"/>
    <cellStyle name="_Book2 5 17" xfId="2531"/>
    <cellStyle name="_Book2 5 18" xfId="2532"/>
    <cellStyle name="_Book2 5 19" xfId="2533"/>
    <cellStyle name="_Book2 5 2" xfId="2534"/>
    <cellStyle name="_Book2 5 20" xfId="2535"/>
    <cellStyle name="_Book2 5 21" xfId="2536"/>
    <cellStyle name="_Book2 5 22" xfId="2537"/>
    <cellStyle name="_Book2 5 23" xfId="2538"/>
    <cellStyle name="_Book2 5 24" xfId="2539"/>
    <cellStyle name="_Book2 5 25" xfId="2540"/>
    <cellStyle name="_Book2 5 26" xfId="2541"/>
    <cellStyle name="_Book2 5 27" xfId="2542"/>
    <cellStyle name="_Book2 5 28" xfId="2543"/>
    <cellStyle name="_Book2 5 29" xfId="2544"/>
    <cellStyle name="_Book2 5 3" xfId="2545"/>
    <cellStyle name="_Book2 5 30" xfId="2546"/>
    <cellStyle name="_Book2 5 31" xfId="2547"/>
    <cellStyle name="_Book2 5 32" xfId="2548"/>
    <cellStyle name="_Book2 5 33" xfId="2549"/>
    <cellStyle name="_Book2 5 34" xfId="2550"/>
    <cellStyle name="_Book2 5 4" xfId="2551"/>
    <cellStyle name="_Book2 5 5" xfId="2552"/>
    <cellStyle name="_Book2 5 6" xfId="2553"/>
    <cellStyle name="_Book2 5 7" xfId="2554"/>
    <cellStyle name="_Book2 5 8" xfId="2555"/>
    <cellStyle name="_Book2 5 9" xfId="2556"/>
    <cellStyle name="_x0013__Book2 50" xfId="2557"/>
    <cellStyle name="_x0013__Book2 51" xfId="2558"/>
    <cellStyle name="_x0013__Book2 52" xfId="2559"/>
    <cellStyle name="_Book2 6" xfId="2560"/>
    <cellStyle name="_x0013__Book2 6" xfId="2561"/>
    <cellStyle name="_Book2 6 2" xfId="2562"/>
    <cellStyle name="_Book2 6 3" xfId="2563"/>
    <cellStyle name="_Book2 6 4" xfId="2564"/>
    <cellStyle name="_Book2 6 5" xfId="2565"/>
    <cellStyle name="_Book2 6 6" xfId="2566"/>
    <cellStyle name="_Book2 6 7" xfId="2567"/>
    <cellStyle name="_Book2 7" xfId="2568"/>
    <cellStyle name="_x0013__Book2 7" xfId="2569"/>
    <cellStyle name="_Book2 7 2" xfId="2570"/>
    <cellStyle name="_Book2 7 3" xfId="2571"/>
    <cellStyle name="_Book2 7 4" xfId="2572"/>
    <cellStyle name="_Book2 7 5" xfId="2573"/>
    <cellStyle name="_Book2 7 6" xfId="2574"/>
    <cellStyle name="_Book2 7 7" xfId="2575"/>
    <cellStyle name="_Book2 8" xfId="2576"/>
    <cellStyle name="_x0013__Book2 8" xfId="2577"/>
    <cellStyle name="_Book2 8 2" xfId="2578"/>
    <cellStyle name="_Book2 8 3" xfId="2579"/>
    <cellStyle name="_Book2 8 4" xfId="2580"/>
    <cellStyle name="_Book2 8 5" xfId="2581"/>
    <cellStyle name="_Book2 8 6" xfId="2582"/>
    <cellStyle name="_Book2 9" xfId="2583"/>
    <cellStyle name="_x0013__Book2 9" xfId="2584"/>
    <cellStyle name="_Book2 9 2" xfId="2585"/>
    <cellStyle name="_Book2 9 3" xfId="2586"/>
    <cellStyle name="_Book2 9 4" xfId="2587"/>
    <cellStyle name="_Book2 9 5" xfId="2588"/>
    <cellStyle name="_Book2 9 6" xfId="2589"/>
    <cellStyle name="_Book2_04 07E Wild Horse Wind Expansion (C) (2)" xfId="2590"/>
    <cellStyle name="_Book2_04 07E Wild Horse Wind Expansion (C) (2) 2" xfId="2591"/>
    <cellStyle name="_Book2_04 07E Wild Horse Wind Expansion (C) (2) 2 2" xfId="2592"/>
    <cellStyle name="_Book2_04 07E Wild Horse Wind Expansion (C) (2) 3" xfId="2593"/>
    <cellStyle name="_Book2_04 07E Wild Horse Wind Expansion (C) (2)_Adj Bench DR 3 for Initial Briefs (Electric)" xfId="2594"/>
    <cellStyle name="_Book2_04 07E Wild Horse Wind Expansion (C) (2)_Adj Bench DR 3 for Initial Briefs (Electric) 2" xfId="2595"/>
    <cellStyle name="_Book2_04 07E Wild Horse Wind Expansion (C) (2)_Adj Bench DR 3 for Initial Briefs (Electric) 2 2" xfId="2596"/>
    <cellStyle name="_Book2_04 07E Wild Horse Wind Expansion (C) (2)_Adj Bench DR 3 for Initial Briefs (Electric) 3" xfId="2597"/>
    <cellStyle name="_Book2_04 07E Wild Horse Wind Expansion (C) (2)_Adj Bench DR 3 for Initial Briefs (Electric)_DEM-WP(C) ENERG10C--ctn Mid-C_042010 2010GRC" xfId="2598"/>
    <cellStyle name="_Book2_04 07E Wild Horse Wind Expansion (C) (2)_Book1" xfId="2599"/>
    <cellStyle name="_Book2_04 07E Wild Horse Wind Expansion (C) (2)_DEM-WP(C) ENERG10C--ctn Mid-C_042010 2010GRC" xfId="2600"/>
    <cellStyle name="_Book2_04 07E Wild Horse Wind Expansion (C) (2)_Electric Rev Req Model (2009 GRC) " xfId="2601"/>
    <cellStyle name="_Book2_04 07E Wild Horse Wind Expansion (C) (2)_Electric Rev Req Model (2009 GRC)  2" xfId="2602"/>
    <cellStyle name="_Book2_04 07E Wild Horse Wind Expansion (C) (2)_Electric Rev Req Model (2009 GRC)  2 2" xfId="2603"/>
    <cellStyle name="_Book2_04 07E Wild Horse Wind Expansion (C) (2)_Electric Rev Req Model (2009 GRC)  3" xfId="2604"/>
    <cellStyle name="_Book2_04 07E Wild Horse Wind Expansion (C) (2)_Electric Rev Req Model (2009 GRC) _DEM-WP(C) ENERG10C--ctn Mid-C_042010 2010GRC" xfId="2605"/>
    <cellStyle name="_Book2_04 07E Wild Horse Wind Expansion (C) (2)_Electric Rev Req Model (2009 GRC) Rebuttal" xfId="2606"/>
    <cellStyle name="_Book2_04 07E Wild Horse Wind Expansion (C) (2)_Electric Rev Req Model (2009 GRC) Rebuttal 2" xfId="2607"/>
    <cellStyle name="_Book2_04 07E Wild Horse Wind Expansion (C) (2)_Electric Rev Req Model (2009 GRC) Rebuttal REmoval of New  WH Solar AdjustMI" xfId="2608"/>
    <cellStyle name="_Book2_04 07E Wild Horse Wind Expansion (C) (2)_Electric Rev Req Model (2009 GRC) Rebuttal REmoval of New  WH Solar AdjustMI 2" xfId="2609"/>
    <cellStyle name="_Book2_04 07E Wild Horse Wind Expansion (C) (2)_Electric Rev Req Model (2009 GRC) Rebuttal REmoval of New  WH Solar AdjustMI 2 2" xfId="2610"/>
    <cellStyle name="_Book2_04 07E Wild Horse Wind Expansion (C) (2)_Electric Rev Req Model (2009 GRC) Rebuttal REmoval of New  WH Solar AdjustMI 3" xfId="2611"/>
    <cellStyle name="_Book2_04 07E Wild Horse Wind Expansion (C) (2)_Electric Rev Req Model (2009 GRC) Rebuttal REmoval of New  WH Solar AdjustMI_DEM-WP(C) ENERG10C--ctn Mid-C_042010 2010GRC" xfId="2612"/>
    <cellStyle name="_Book2_04 07E Wild Horse Wind Expansion (C) (2)_Electric Rev Req Model (2009 GRC) Revised 01-18-2010" xfId="2613"/>
    <cellStyle name="_Book2_04 07E Wild Horse Wind Expansion (C) (2)_Electric Rev Req Model (2009 GRC) Revised 01-18-2010 2" xfId="2614"/>
    <cellStyle name="_Book2_04 07E Wild Horse Wind Expansion (C) (2)_Electric Rev Req Model (2009 GRC) Revised 01-18-2010 2 2" xfId="2615"/>
    <cellStyle name="_Book2_04 07E Wild Horse Wind Expansion (C) (2)_Electric Rev Req Model (2009 GRC) Revised 01-18-2010 3" xfId="2616"/>
    <cellStyle name="_Book2_04 07E Wild Horse Wind Expansion (C) (2)_Electric Rev Req Model (2009 GRC) Revised 01-18-2010_DEM-WP(C) ENERG10C--ctn Mid-C_042010 2010GRC" xfId="2617"/>
    <cellStyle name="_Book2_04 07E Wild Horse Wind Expansion (C) (2)_Electric Rev Req Model (2010 GRC)" xfId="2618"/>
    <cellStyle name="_Book2_04 07E Wild Horse Wind Expansion (C) (2)_Electric Rev Req Model (2010 GRC) SF" xfId="2619"/>
    <cellStyle name="_Book2_04 07E Wild Horse Wind Expansion (C) (2)_Final Order Electric EXHIBIT A-1" xfId="2620"/>
    <cellStyle name="_Book2_04 07E Wild Horse Wind Expansion (C) (2)_Final Order Electric EXHIBIT A-1 2" xfId="2621"/>
    <cellStyle name="_Book2_04 07E Wild Horse Wind Expansion (C) (2)_TENASKA REGULATORY ASSET" xfId="2622"/>
    <cellStyle name="_Book2_04 07E Wild Horse Wind Expansion (C) (2)_TENASKA REGULATORY ASSET 2" xfId="2623"/>
    <cellStyle name="_Book2_16.37E Wild Horse Expansion DeferralRevwrkingfile SF" xfId="2624"/>
    <cellStyle name="_Book2_16.37E Wild Horse Expansion DeferralRevwrkingfile SF 2" xfId="2625"/>
    <cellStyle name="_Book2_16.37E Wild Horse Expansion DeferralRevwrkingfile SF 2 2" xfId="2626"/>
    <cellStyle name="_Book2_16.37E Wild Horse Expansion DeferralRevwrkingfile SF 3" xfId="2627"/>
    <cellStyle name="_Book2_16.37E Wild Horse Expansion DeferralRevwrkingfile SF_DEM-WP(C) ENERG10C--ctn Mid-C_042010 2010GRC" xfId="2628"/>
    <cellStyle name="_Book2_2009 Compliance Filing PCA Exhibits for GRC" xfId="2629"/>
    <cellStyle name="_Book2_2009 Compliance Filing PCA Exhibits for GRC 2" xfId="2630"/>
    <cellStyle name="_Book2_2009 GRC Compl Filing - Exhibit D" xfId="2631"/>
    <cellStyle name="_Book2_2009 GRC Compl Filing - Exhibit D 2" xfId="2632"/>
    <cellStyle name="_Book2_2009 GRC Compl Filing - Exhibit D 2 2" xfId="2633"/>
    <cellStyle name="_Book2_2009 GRC Compl Filing - Exhibit D 3" xfId="2634"/>
    <cellStyle name="_Book2_2009 GRC Compl Filing - Exhibit D_DEM-WP(C) ENERG10C--ctn Mid-C_042010 2010GRC" xfId="2635"/>
    <cellStyle name="_Book2_3.01 Income Statement" xfId="2636"/>
    <cellStyle name="_Book2_4 31 Regulatory Assets and Liabilities  7 06- Exhibit D" xfId="2637"/>
    <cellStyle name="_Book2_4 31 Regulatory Assets and Liabilities  7 06- Exhibit D 2" xfId="2638"/>
    <cellStyle name="_Book2_4 31 Regulatory Assets and Liabilities  7 06- Exhibit D 2 2" xfId="2639"/>
    <cellStyle name="_Book2_4 31 Regulatory Assets and Liabilities  7 06- Exhibit D 3" xfId="2640"/>
    <cellStyle name="_Book2_4 31 Regulatory Assets and Liabilities  7 06- Exhibit D_DEM-WP(C) ENERG10C--ctn Mid-C_042010 2010GRC" xfId="2641"/>
    <cellStyle name="_Book2_4 31 Regulatory Assets and Liabilities  7 06- Exhibit D_NIM Summary" xfId="2642"/>
    <cellStyle name="_Book2_4 31 Regulatory Assets and Liabilities  7 06- Exhibit D_NIM Summary 2" xfId="2643"/>
    <cellStyle name="_Book2_4 31 Regulatory Assets and Liabilities  7 06- Exhibit D_NIM Summary 2 2" xfId="2644"/>
    <cellStyle name="_Book2_4 31 Regulatory Assets and Liabilities  7 06- Exhibit D_NIM Summary 3" xfId="2645"/>
    <cellStyle name="_Book2_4 31 Regulatory Assets and Liabilities  7 06- Exhibit D_NIM Summary_DEM-WP(C) ENERG10C--ctn Mid-C_042010 2010GRC" xfId="2646"/>
    <cellStyle name="_Book2_4 31E Reg Asset  Liab and EXH D" xfId="2647"/>
    <cellStyle name="_Book2_4 31E Reg Asset  Liab and EXH D _ Aug 10 Filing (2)" xfId="2648"/>
    <cellStyle name="_Book2_4 31E Reg Asset  Liab and EXH D _ Aug 10 Filing (2) 2" xfId="2649"/>
    <cellStyle name="_Book2_4 31E Reg Asset  Liab and EXH D 2" xfId="2650"/>
    <cellStyle name="_Book2_4 31E Reg Asset  Liab and EXH D 3" xfId="2651"/>
    <cellStyle name="_Book2_4 32 Regulatory Assets and Liabilities  7 06- Exhibit D" xfId="2652"/>
    <cellStyle name="_Book2_4 32 Regulatory Assets and Liabilities  7 06- Exhibit D 2" xfId="2653"/>
    <cellStyle name="_Book2_4 32 Regulatory Assets and Liabilities  7 06- Exhibit D 2 2" xfId="2654"/>
    <cellStyle name="_Book2_4 32 Regulatory Assets and Liabilities  7 06- Exhibit D 3" xfId="2655"/>
    <cellStyle name="_Book2_4 32 Regulatory Assets and Liabilities  7 06- Exhibit D_DEM-WP(C) ENERG10C--ctn Mid-C_042010 2010GRC" xfId="2656"/>
    <cellStyle name="_Book2_4 32 Regulatory Assets and Liabilities  7 06- Exhibit D_NIM Summary" xfId="2657"/>
    <cellStyle name="_Book2_4 32 Regulatory Assets and Liabilities  7 06- Exhibit D_NIM Summary 2" xfId="2658"/>
    <cellStyle name="_Book2_4 32 Regulatory Assets and Liabilities  7 06- Exhibit D_NIM Summary 2 2" xfId="2659"/>
    <cellStyle name="_Book2_4 32 Regulatory Assets and Liabilities  7 06- Exhibit D_NIM Summary 3" xfId="2660"/>
    <cellStyle name="_Book2_4 32 Regulatory Assets and Liabilities  7 06- Exhibit D_NIM Summary_DEM-WP(C) ENERG10C--ctn Mid-C_042010 2010GRC" xfId="2661"/>
    <cellStyle name="_x0013__Book2_Adj Bench DR 3 for Initial Briefs (Electric)" xfId="2662"/>
    <cellStyle name="_x0013__Book2_Adj Bench DR 3 for Initial Briefs (Electric) 2" xfId="2663"/>
    <cellStyle name="_x0013__Book2_Adj Bench DR 3 for Initial Briefs (Electric) 2 2" xfId="2664"/>
    <cellStyle name="_x0013__Book2_Adj Bench DR 3 for Initial Briefs (Electric) 3" xfId="2665"/>
    <cellStyle name="_x0013__Book2_Adj Bench DR 3 for Initial Briefs (Electric)_DEM-WP(C) ENERG10C--ctn Mid-C_042010 2010GRC" xfId="2666"/>
    <cellStyle name="_Book2_AURORA Total New" xfId="2667"/>
    <cellStyle name="_Book2_AURORA Total New 2" xfId="2668"/>
    <cellStyle name="_Book2_AURORA Total New 2 2" xfId="2669"/>
    <cellStyle name="_Book2_AURORA Total New 3" xfId="2670"/>
    <cellStyle name="_Book2_Book2" xfId="2671"/>
    <cellStyle name="_Book2_Book2 2" xfId="2672"/>
    <cellStyle name="_Book2_Book2 2 2" xfId="2673"/>
    <cellStyle name="_Book2_Book2 3" xfId="2674"/>
    <cellStyle name="_Book2_Book2_Adj Bench DR 3 for Initial Briefs (Electric)" xfId="2675"/>
    <cellStyle name="_Book2_Book2_Adj Bench DR 3 for Initial Briefs (Electric) 2" xfId="2676"/>
    <cellStyle name="_Book2_Book2_Adj Bench DR 3 for Initial Briefs (Electric) 2 2" xfId="2677"/>
    <cellStyle name="_Book2_Book2_Adj Bench DR 3 for Initial Briefs (Electric) 3" xfId="2678"/>
    <cellStyle name="_Book2_Book2_Adj Bench DR 3 for Initial Briefs (Electric)_DEM-WP(C) ENERG10C--ctn Mid-C_042010 2010GRC" xfId="2679"/>
    <cellStyle name="_Book2_Book2_DEM-WP(C) ENERG10C--ctn Mid-C_042010 2010GRC" xfId="2680"/>
    <cellStyle name="_Book2_Book2_Electric Rev Req Model (2009 GRC) Rebuttal" xfId="2681"/>
    <cellStyle name="_Book2_Book2_Electric Rev Req Model (2009 GRC) Rebuttal 2" xfId="2682"/>
    <cellStyle name="_Book2_Book2_Electric Rev Req Model (2009 GRC) Rebuttal REmoval of New  WH Solar AdjustMI" xfId="2683"/>
    <cellStyle name="_Book2_Book2_Electric Rev Req Model (2009 GRC) Rebuttal REmoval of New  WH Solar AdjustMI 2" xfId="2684"/>
    <cellStyle name="_Book2_Book2_Electric Rev Req Model (2009 GRC) Rebuttal REmoval of New  WH Solar AdjustMI 2 2" xfId="2685"/>
    <cellStyle name="_Book2_Book2_Electric Rev Req Model (2009 GRC) Rebuttal REmoval of New  WH Solar AdjustMI 3" xfId="2686"/>
    <cellStyle name="_Book2_Book2_Electric Rev Req Model (2009 GRC) Rebuttal REmoval of New  WH Solar AdjustMI_DEM-WP(C) ENERG10C--ctn Mid-C_042010 2010GRC" xfId="2687"/>
    <cellStyle name="_Book2_Book2_Electric Rev Req Model (2009 GRC) Revised 01-18-2010" xfId="2688"/>
    <cellStyle name="_Book2_Book2_Electric Rev Req Model (2009 GRC) Revised 01-18-2010 2" xfId="2689"/>
    <cellStyle name="_Book2_Book2_Electric Rev Req Model (2009 GRC) Revised 01-18-2010 2 2" xfId="2690"/>
    <cellStyle name="_Book2_Book2_Electric Rev Req Model (2009 GRC) Revised 01-18-2010 3" xfId="2691"/>
    <cellStyle name="_Book2_Book2_Electric Rev Req Model (2009 GRC) Revised 01-18-2010_DEM-WP(C) ENERG10C--ctn Mid-C_042010 2010GRC" xfId="2692"/>
    <cellStyle name="_Book2_Book2_Final Order Electric EXHIBIT A-1" xfId="2693"/>
    <cellStyle name="_Book2_Book2_Final Order Electric EXHIBIT A-1 2" xfId="2694"/>
    <cellStyle name="_Book2_Book4" xfId="2695"/>
    <cellStyle name="_Book2_Book4 2" xfId="2696"/>
    <cellStyle name="_Book2_Book4 2 2" xfId="2697"/>
    <cellStyle name="_Book2_Book4 3" xfId="2698"/>
    <cellStyle name="_Book2_Book4_DEM-WP(C) ENERG10C--ctn Mid-C_042010 2010GRC" xfId="2699"/>
    <cellStyle name="_Book2_Book9" xfId="2700"/>
    <cellStyle name="_Book2_Book9 2" xfId="2701"/>
    <cellStyle name="_Book2_Book9 2 2" xfId="2702"/>
    <cellStyle name="_Book2_Book9 3" xfId="2703"/>
    <cellStyle name="_Book2_Book9_DEM-WP(C) ENERG10C--ctn Mid-C_042010 2010GRC" xfId="2704"/>
    <cellStyle name="_Book2_Check the Interest Calculation" xfId="2705"/>
    <cellStyle name="_Book2_Check the Interest Calculation_Scenario 1 REC vs PTC Offset" xfId="2706"/>
    <cellStyle name="_Book2_Check the Interest Calculation_Scenario 3" xfId="2707"/>
    <cellStyle name="_Book2_Chelan PUD Power Costs (8-10)" xfId="2708"/>
    <cellStyle name="_Book2_Chelan PUD Power Costs (8-10) 2" xfId="2709"/>
    <cellStyle name="_Book2_DEM-WP(C) Chelan Power Costs" xfId="2710"/>
    <cellStyle name="_Book2_DEM-WP(C) Chelan Power Costs 2" xfId="2711"/>
    <cellStyle name="_Book2_DEM-WP(C) ENERG10C--ctn Mid-C_042010 2010GRC" xfId="2712"/>
    <cellStyle name="_x0013__Book2_DEM-WP(C) ENERG10C--ctn Mid-C_042010 2010GRC" xfId="2713"/>
    <cellStyle name="_Book2_DEM-WP(C) Gas Transport 2010GRC" xfId="2714"/>
    <cellStyle name="_Book2_DEM-WP(C) Gas Transport 2010GRC 2" xfId="2715"/>
    <cellStyle name="_x0013__Book2_Electric Rev Req Model (2009 GRC) Rebuttal" xfId="2716"/>
    <cellStyle name="_x0013__Book2_Electric Rev Req Model (2009 GRC) Rebuttal 2" xfId="2717"/>
    <cellStyle name="_x0013__Book2_Electric Rev Req Model (2009 GRC) Rebuttal REmoval of New  WH Solar AdjustMI" xfId="2718"/>
    <cellStyle name="_x0013__Book2_Electric Rev Req Model (2009 GRC) Rebuttal REmoval of New  WH Solar AdjustMI 2" xfId="2719"/>
    <cellStyle name="_x0013__Book2_Electric Rev Req Model (2009 GRC) Rebuttal REmoval of New  WH Solar AdjustMI 2 2" xfId="2720"/>
    <cellStyle name="_x0013__Book2_Electric Rev Req Model (2009 GRC) Rebuttal REmoval of New  WH Solar AdjustMI 3" xfId="2721"/>
    <cellStyle name="_x0013__Book2_Electric Rev Req Model (2009 GRC) Rebuttal REmoval of New  WH Solar AdjustMI_DEM-WP(C) ENERG10C--ctn Mid-C_042010 2010GRC" xfId="2722"/>
    <cellStyle name="_x0013__Book2_Electric Rev Req Model (2009 GRC) Revised 01-18-2010" xfId="2723"/>
    <cellStyle name="_x0013__Book2_Electric Rev Req Model (2009 GRC) Revised 01-18-2010 2" xfId="2724"/>
    <cellStyle name="_x0013__Book2_Electric Rev Req Model (2009 GRC) Revised 01-18-2010 2 2" xfId="2725"/>
    <cellStyle name="_x0013__Book2_Electric Rev Req Model (2009 GRC) Revised 01-18-2010 3" xfId="2726"/>
    <cellStyle name="_x0013__Book2_Electric Rev Req Model (2009 GRC) Revised 01-18-2010_DEM-WP(C) ENERG10C--ctn Mid-C_042010 2010GRC" xfId="2727"/>
    <cellStyle name="_Book2_Exh A-1 resulting from UE-112050 effective Jan 1 2012" xfId="2728"/>
    <cellStyle name="_Book2_Exh G - Klamath Peaker PPA fr C Locke 2-12" xfId="2729"/>
    <cellStyle name="_Book2_Exhibit A-1 effective 4-1-11 fr S Free 12-11" xfId="2730"/>
    <cellStyle name="_x0013__Book2_Final Order Electric EXHIBIT A-1" xfId="2731"/>
    <cellStyle name="_x0013__Book2_Final Order Electric EXHIBIT A-1 2" xfId="2732"/>
    <cellStyle name="_Book2_Mint Farm Generation BPA" xfId="2733"/>
    <cellStyle name="_Book2_NIM Summary" xfId="2734"/>
    <cellStyle name="_Book2_NIM Summary 09GRC" xfId="2735"/>
    <cellStyle name="_Book2_NIM Summary 09GRC 2" xfId="2736"/>
    <cellStyle name="_Book2_NIM Summary 09GRC 2 2" xfId="2737"/>
    <cellStyle name="_Book2_NIM Summary 09GRC 3" xfId="2738"/>
    <cellStyle name="_Book2_NIM Summary 09GRC_DEM-WP(C) ENERG10C--ctn Mid-C_042010 2010GRC" xfId="2739"/>
    <cellStyle name="_Book2_NIM Summary 10" xfId="2740"/>
    <cellStyle name="_Book2_NIM Summary 11" xfId="2741"/>
    <cellStyle name="_Book2_NIM Summary 12" xfId="2742"/>
    <cellStyle name="_Book2_NIM Summary 13" xfId="2743"/>
    <cellStyle name="_Book2_NIM Summary 14" xfId="2744"/>
    <cellStyle name="_Book2_NIM Summary 15" xfId="2745"/>
    <cellStyle name="_Book2_NIM Summary 16" xfId="2746"/>
    <cellStyle name="_Book2_NIM Summary 17" xfId="2747"/>
    <cellStyle name="_Book2_NIM Summary 18" xfId="2748"/>
    <cellStyle name="_Book2_NIM Summary 19" xfId="2749"/>
    <cellStyle name="_Book2_NIM Summary 2" xfId="2750"/>
    <cellStyle name="_Book2_NIM Summary 2 2" xfId="2751"/>
    <cellStyle name="_Book2_NIM Summary 20" xfId="2752"/>
    <cellStyle name="_Book2_NIM Summary 21" xfId="2753"/>
    <cellStyle name="_Book2_NIM Summary 22" xfId="2754"/>
    <cellStyle name="_Book2_NIM Summary 23" xfId="2755"/>
    <cellStyle name="_Book2_NIM Summary 24" xfId="2756"/>
    <cellStyle name="_Book2_NIM Summary 25" xfId="2757"/>
    <cellStyle name="_Book2_NIM Summary 26" xfId="2758"/>
    <cellStyle name="_Book2_NIM Summary 27" xfId="2759"/>
    <cellStyle name="_Book2_NIM Summary 28" xfId="2760"/>
    <cellStyle name="_Book2_NIM Summary 29" xfId="2761"/>
    <cellStyle name="_Book2_NIM Summary 3" xfId="2762"/>
    <cellStyle name="_Book2_NIM Summary 30" xfId="2763"/>
    <cellStyle name="_Book2_NIM Summary 31" xfId="2764"/>
    <cellStyle name="_Book2_NIM Summary 32" xfId="2765"/>
    <cellStyle name="_Book2_NIM Summary 33" xfId="2766"/>
    <cellStyle name="_Book2_NIM Summary 34" xfId="2767"/>
    <cellStyle name="_Book2_NIM Summary 35" xfId="2768"/>
    <cellStyle name="_Book2_NIM Summary 36" xfId="2769"/>
    <cellStyle name="_Book2_NIM Summary 37" xfId="2770"/>
    <cellStyle name="_Book2_NIM Summary 38" xfId="2771"/>
    <cellStyle name="_Book2_NIM Summary 39" xfId="2772"/>
    <cellStyle name="_Book2_NIM Summary 4" xfId="2773"/>
    <cellStyle name="_Book2_NIM Summary 40" xfId="2774"/>
    <cellStyle name="_Book2_NIM Summary 41" xfId="2775"/>
    <cellStyle name="_Book2_NIM Summary 42" xfId="2776"/>
    <cellStyle name="_Book2_NIM Summary 43" xfId="2777"/>
    <cellStyle name="_Book2_NIM Summary 44" xfId="2778"/>
    <cellStyle name="_Book2_NIM Summary 45" xfId="2779"/>
    <cellStyle name="_Book2_NIM Summary 46" xfId="2780"/>
    <cellStyle name="_Book2_NIM Summary 47" xfId="2781"/>
    <cellStyle name="_Book2_NIM Summary 48" xfId="2782"/>
    <cellStyle name="_Book2_NIM Summary 49" xfId="2783"/>
    <cellStyle name="_Book2_NIM Summary 5" xfId="2784"/>
    <cellStyle name="_Book2_NIM Summary 50" xfId="2785"/>
    <cellStyle name="_Book2_NIM Summary 51" xfId="2786"/>
    <cellStyle name="_Book2_NIM Summary 52" xfId="2787"/>
    <cellStyle name="_Book2_NIM Summary 6" xfId="2788"/>
    <cellStyle name="_Book2_NIM Summary 7" xfId="2789"/>
    <cellStyle name="_Book2_NIM Summary 8" xfId="2790"/>
    <cellStyle name="_Book2_NIM Summary 9" xfId="2791"/>
    <cellStyle name="_Book2_NIM Summary_DEM-WP(C) ENERG10C--ctn Mid-C_042010 2010GRC" xfId="2792"/>
    <cellStyle name="_Book2_PCA 10 -  Exhibit D Dec 2011" xfId="2793"/>
    <cellStyle name="_Book2_PCA 10 -  Exhibit D from A Kellogg Jan 2011" xfId="2794"/>
    <cellStyle name="_Book2_PCA 10 -  Exhibit D from A Kellogg July 2011" xfId="2795"/>
    <cellStyle name="_Book2_PCA 10 -  Exhibit D from S Free Rcv'd 12-11" xfId="2796"/>
    <cellStyle name="_Book2_PCA 11 -  Exhibit D Jan 2012 fr A Kellogg" xfId="2797"/>
    <cellStyle name="_Book2_PCA 11 -  Exhibit D Jan 2012 WF" xfId="2798"/>
    <cellStyle name="_Book2_PCA 9 -  Exhibit D April 2010" xfId="2799"/>
    <cellStyle name="_Book2_PCA 9 -  Exhibit D April 2010 (3)" xfId="2800"/>
    <cellStyle name="_Book2_PCA 9 -  Exhibit D April 2010 (3) 2" xfId="2801"/>
    <cellStyle name="_Book2_PCA 9 -  Exhibit D April 2010 (3) 2 2" xfId="2802"/>
    <cellStyle name="_Book2_PCA 9 -  Exhibit D April 2010 (3) 3" xfId="2803"/>
    <cellStyle name="_Book2_PCA 9 -  Exhibit D April 2010 (3)_DEM-WP(C) ENERG10C--ctn Mid-C_042010 2010GRC" xfId="2804"/>
    <cellStyle name="_Book2_PCA 9 -  Exhibit D April 2010 2" xfId="2805"/>
    <cellStyle name="_Book2_PCA 9 -  Exhibit D April 2010 3" xfId="2806"/>
    <cellStyle name="_Book2_PCA 9 -  Exhibit D April 2010 4" xfId="2807"/>
    <cellStyle name="_Book2_PCA 9 -  Exhibit D April 2010 5" xfId="2808"/>
    <cellStyle name="_Book2_PCA 9 -  Exhibit D April 2010 6" xfId="2809"/>
    <cellStyle name="_Book2_PCA 9 -  Exhibit D Nov 2010" xfId="2810"/>
    <cellStyle name="_Book2_PCA 9 -  Exhibit D Nov 2010 2" xfId="2811"/>
    <cellStyle name="_Book2_PCA 9 - Exhibit D at August 2010" xfId="2812"/>
    <cellStyle name="_Book2_PCA 9 - Exhibit D at August 2010 2" xfId="2813"/>
    <cellStyle name="_Book2_PCA 9 - Exhibit D June 2010 GRC" xfId="2814"/>
    <cellStyle name="_Book2_PCA 9 - Exhibit D June 2010 GRC 2" xfId="2815"/>
    <cellStyle name="_Book2_Power Costs - Comparison bx Rbtl-Staff-Jt-PC" xfId="2816"/>
    <cellStyle name="_Book2_Power Costs - Comparison bx Rbtl-Staff-Jt-PC 2" xfId="2817"/>
    <cellStyle name="_Book2_Power Costs - Comparison bx Rbtl-Staff-Jt-PC 2 2" xfId="2818"/>
    <cellStyle name="_Book2_Power Costs - Comparison bx Rbtl-Staff-Jt-PC 3" xfId="2819"/>
    <cellStyle name="_Book2_Power Costs - Comparison bx Rbtl-Staff-Jt-PC_Adj Bench DR 3 for Initial Briefs (Electric)" xfId="2820"/>
    <cellStyle name="_Book2_Power Costs - Comparison bx Rbtl-Staff-Jt-PC_Adj Bench DR 3 for Initial Briefs (Electric) 2" xfId="2821"/>
    <cellStyle name="_Book2_Power Costs - Comparison bx Rbtl-Staff-Jt-PC_Adj Bench DR 3 for Initial Briefs (Electric) 2 2" xfId="2822"/>
    <cellStyle name="_Book2_Power Costs - Comparison bx Rbtl-Staff-Jt-PC_Adj Bench DR 3 for Initial Briefs (Electric) 3" xfId="2823"/>
    <cellStyle name="_Book2_Power Costs - Comparison bx Rbtl-Staff-Jt-PC_Adj Bench DR 3 for Initial Briefs (Electric)_DEM-WP(C) ENERG10C--ctn Mid-C_042010 2010GRC" xfId="2824"/>
    <cellStyle name="_Book2_Power Costs - Comparison bx Rbtl-Staff-Jt-PC_DEM-WP(C) ENERG10C--ctn Mid-C_042010 2010GRC" xfId="2825"/>
    <cellStyle name="_Book2_Power Costs - Comparison bx Rbtl-Staff-Jt-PC_Electric Rev Req Model (2009 GRC) Rebuttal" xfId="2826"/>
    <cellStyle name="_Book2_Power Costs - Comparison bx Rbtl-Staff-Jt-PC_Electric Rev Req Model (2009 GRC) Rebuttal 2" xfId="2827"/>
    <cellStyle name="_Book2_Power Costs - Comparison bx Rbtl-Staff-Jt-PC_Electric Rev Req Model (2009 GRC) Rebuttal REmoval of New  WH Solar AdjustMI" xfId="2828"/>
    <cellStyle name="_Book2_Power Costs - Comparison bx Rbtl-Staff-Jt-PC_Electric Rev Req Model (2009 GRC) Rebuttal REmoval of New  WH Solar AdjustMI 2" xfId="2829"/>
    <cellStyle name="_Book2_Power Costs - Comparison bx Rbtl-Staff-Jt-PC_Electric Rev Req Model (2009 GRC) Rebuttal REmoval of New  WH Solar AdjustMI 2 2" xfId="2830"/>
    <cellStyle name="_Book2_Power Costs - Comparison bx Rbtl-Staff-Jt-PC_Electric Rev Req Model (2009 GRC) Rebuttal REmoval of New  WH Solar AdjustMI 3" xfId="2831"/>
    <cellStyle name="_Book2_Power Costs - Comparison bx Rbtl-Staff-Jt-PC_Electric Rev Req Model (2009 GRC) Rebuttal REmoval of New  WH Solar AdjustMI_DEM-WP(C) ENERG10C--ctn Mid-C_042010 2010GRC" xfId="2832"/>
    <cellStyle name="_Book2_Power Costs - Comparison bx Rbtl-Staff-Jt-PC_Electric Rev Req Model (2009 GRC) Revised 01-18-2010" xfId="2833"/>
    <cellStyle name="_Book2_Power Costs - Comparison bx Rbtl-Staff-Jt-PC_Electric Rev Req Model (2009 GRC) Revised 01-18-2010 2" xfId="2834"/>
    <cellStyle name="_Book2_Power Costs - Comparison bx Rbtl-Staff-Jt-PC_Electric Rev Req Model (2009 GRC) Revised 01-18-2010 2 2" xfId="2835"/>
    <cellStyle name="_Book2_Power Costs - Comparison bx Rbtl-Staff-Jt-PC_Electric Rev Req Model (2009 GRC) Revised 01-18-2010 3" xfId="2836"/>
    <cellStyle name="_Book2_Power Costs - Comparison bx Rbtl-Staff-Jt-PC_Electric Rev Req Model (2009 GRC) Revised 01-18-2010_DEM-WP(C) ENERG10C--ctn Mid-C_042010 2010GRC" xfId="2837"/>
    <cellStyle name="_Book2_Power Costs - Comparison bx Rbtl-Staff-Jt-PC_Final Order Electric EXHIBIT A-1" xfId="2838"/>
    <cellStyle name="_Book2_Power Costs - Comparison bx Rbtl-Staff-Jt-PC_Final Order Electric EXHIBIT A-1 2" xfId="2839"/>
    <cellStyle name="_Book2_Production Adj 4.37" xfId="21246"/>
    <cellStyle name="_Book2_Purchased Power Adj 4.03" xfId="21247"/>
    <cellStyle name="_Book2_Rebuttal Power Costs" xfId="2840"/>
    <cellStyle name="_Book2_Rebuttal Power Costs 2" xfId="2841"/>
    <cellStyle name="_Book2_Rebuttal Power Costs 2 2" xfId="2842"/>
    <cellStyle name="_Book2_Rebuttal Power Costs 3" xfId="2843"/>
    <cellStyle name="_Book2_Rebuttal Power Costs_Adj Bench DR 3 for Initial Briefs (Electric)" xfId="2844"/>
    <cellStyle name="_Book2_Rebuttal Power Costs_Adj Bench DR 3 for Initial Briefs (Electric) 2" xfId="2845"/>
    <cellStyle name="_Book2_Rebuttal Power Costs_Adj Bench DR 3 for Initial Briefs (Electric) 2 2" xfId="2846"/>
    <cellStyle name="_Book2_Rebuttal Power Costs_Adj Bench DR 3 for Initial Briefs (Electric) 3" xfId="2847"/>
    <cellStyle name="_Book2_Rebuttal Power Costs_Adj Bench DR 3 for Initial Briefs (Electric)_DEM-WP(C) ENERG10C--ctn Mid-C_042010 2010GRC" xfId="2848"/>
    <cellStyle name="_Book2_Rebuttal Power Costs_DEM-WP(C) ENERG10C--ctn Mid-C_042010 2010GRC" xfId="2849"/>
    <cellStyle name="_Book2_Rebuttal Power Costs_Electric Rev Req Model (2009 GRC) Rebuttal" xfId="2850"/>
    <cellStyle name="_Book2_Rebuttal Power Costs_Electric Rev Req Model (2009 GRC) Rebuttal 2" xfId="2851"/>
    <cellStyle name="_Book2_Rebuttal Power Costs_Electric Rev Req Model (2009 GRC) Rebuttal REmoval of New  WH Solar AdjustMI" xfId="2852"/>
    <cellStyle name="_Book2_Rebuttal Power Costs_Electric Rev Req Model (2009 GRC) Rebuttal REmoval of New  WH Solar AdjustMI 2" xfId="2853"/>
    <cellStyle name="_Book2_Rebuttal Power Costs_Electric Rev Req Model (2009 GRC) Rebuttal REmoval of New  WH Solar AdjustMI 2 2" xfId="2854"/>
    <cellStyle name="_Book2_Rebuttal Power Costs_Electric Rev Req Model (2009 GRC) Rebuttal REmoval of New  WH Solar AdjustMI 3" xfId="2855"/>
    <cellStyle name="_Book2_Rebuttal Power Costs_Electric Rev Req Model (2009 GRC) Rebuttal REmoval of New  WH Solar AdjustMI_DEM-WP(C) ENERG10C--ctn Mid-C_042010 2010GRC" xfId="2856"/>
    <cellStyle name="_Book2_Rebuttal Power Costs_Electric Rev Req Model (2009 GRC) Revised 01-18-2010" xfId="2857"/>
    <cellStyle name="_Book2_Rebuttal Power Costs_Electric Rev Req Model (2009 GRC) Revised 01-18-2010 2" xfId="2858"/>
    <cellStyle name="_Book2_Rebuttal Power Costs_Electric Rev Req Model (2009 GRC) Revised 01-18-2010 2 2" xfId="2859"/>
    <cellStyle name="_Book2_Rebuttal Power Costs_Electric Rev Req Model (2009 GRC) Revised 01-18-2010 3" xfId="2860"/>
    <cellStyle name="_Book2_Rebuttal Power Costs_Electric Rev Req Model (2009 GRC) Revised 01-18-2010_DEM-WP(C) ENERG10C--ctn Mid-C_042010 2010GRC" xfId="2861"/>
    <cellStyle name="_Book2_Rebuttal Power Costs_Final Order Electric EXHIBIT A-1" xfId="2862"/>
    <cellStyle name="_Book2_Rebuttal Power Costs_Final Order Electric EXHIBIT A-1 2" xfId="2863"/>
    <cellStyle name="_Book2_ROR 5.02" xfId="21248"/>
    <cellStyle name="_Book2_Wind Integration 10GRC" xfId="2864"/>
    <cellStyle name="_Book2_Wind Integration 10GRC 2" xfId="2865"/>
    <cellStyle name="_Book2_Wind Integration 10GRC 2 2" xfId="2866"/>
    <cellStyle name="_Book2_Wind Integration 10GRC 3" xfId="2867"/>
    <cellStyle name="_Book2_Wind Integration 10GRC_DEM-WP(C) ENERG10C--ctn Mid-C_042010 2010GRC" xfId="2868"/>
    <cellStyle name="_Book3" xfId="2869"/>
    <cellStyle name="_Book5" xfId="2870"/>
    <cellStyle name="_Book5 2" xfId="2871"/>
    <cellStyle name="_Book5 2 2" xfId="2872"/>
    <cellStyle name="_Book5 3" xfId="2873"/>
    <cellStyle name="_Book5 3 2" xfId="2874"/>
    <cellStyle name="_Book5 4" xfId="2875"/>
    <cellStyle name="_Book5 4 2" xfId="2876"/>
    <cellStyle name="_Book5 5" xfId="2877"/>
    <cellStyle name="_Book5_4 31E Reg Asset  Liab and EXH D" xfId="2878"/>
    <cellStyle name="_Book5_4 31E Reg Asset  Liab and EXH D _ Aug 10 Filing (2)" xfId="2879"/>
    <cellStyle name="_Book5_Chelan PUD Power Costs (8-10)" xfId="2880"/>
    <cellStyle name="_Book5_Chelan PUD Power Costs (8-10) 2" xfId="2881"/>
    <cellStyle name="_Book5_compare wind integration" xfId="2882"/>
    <cellStyle name="_Book5_DEM-WP(C) Chelan Power Costs" xfId="2883"/>
    <cellStyle name="_Book5_DEM-WP(C) Chelan Power Costs 2" xfId="2884"/>
    <cellStyle name="_Book5_DEM-WP(C) Costs Not In AURORA 2010GRC As Filed" xfId="2885"/>
    <cellStyle name="_Book5_DEM-WP(C) Costs Not In AURORA 2010GRC As Filed 2" xfId="2886"/>
    <cellStyle name="_Book5_DEM-WP(C) Costs Not In AURORA 2010GRC As Filed 2 2" xfId="2887"/>
    <cellStyle name="_Book5_DEM-WP(C) Costs Not In AURORA 2010GRC As Filed 2 3" xfId="2888"/>
    <cellStyle name="_Book5_DEM-WP(C) Costs Not In AURORA 2010GRC As Filed 3" xfId="2889"/>
    <cellStyle name="_Book5_DEM-WP(C) Costs Not In AURORA 2010GRC As Filed 3 2" xfId="2890"/>
    <cellStyle name="_Book5_DEM-WP(C) Costs Not In AURORA 2010GRC As Filed 4" xfId="2891"/>
    <cellStyle name="_Book5_DEM-WP(C) Costs Not In AURORA 2010GRC As Filed 4 2" xfId="2892"/>
    <cellStyle name="_Book5_DEM-WP(C) Costs Not In AURORA 2010GRC As Filed 5" xfId="2893"/>
    <cellStyle name="_Book5_DEM-WP(C) Costs Not In AURORA 2010GRC As Filed 5 2" xfId="2894"/>
    <cellStyle name="_Book5_DEM-WP(C) Costs Not In AURORA 2010GRC As Filed 6" xfId="2895"/>
    <cellStyle name="_Book5_DEM-WP(C) Costs Not In AURORA 2010GRC As Filed 6 2" xfId="2896"/>
    <cellStyle name="_Book5_DEM-WP(C) Costs Not In AURORA 2010GRC As Filed_DEM-WP(C) ENERG10C--ctn Mid-C_042010 2010GRC" xfId="2897"/>
    <cellStyle name="_Book5_DEM-WP(C) Gas Transport 2010GRC" xfId="2898"/>
    <cellStyle name="_Book5_DEM-WP(C) Gas Transport 2010GRC 2" xfId="2899"/>
    <cellStyle name="_Book5_NIM Summary" xfId="2900"/>
    <cellStyle name="_Book5_NIM Summary 09GRC" xfId="2901"/>
    <cellStyle name="_Book5_NIM Summary 10" xfId="2902"/>
    <cellStyle name="_Book5_NIM Summary 11" xfId="2903"/>
    <cellStyle name="_Book5_NIM Summary 12" xfId="2904"/>
    <cellStyle name="_Book5_NIM Summary 13" xfId="2905"/>
    <cellStyle name="_Book5_NIM Summary 14" xfId="2906"/>
    <cellStyle name="_Book5_NIM Summary 15" xfId="2907"/>
    <cellStyle name="_Book5_NIM Summary 16" xfId="2908"/>
    <cellStyle name="_Book5_NIM Summary 17" xfId="2909"/>
    <cellStyle name="_Book5_NIM Summary 18" xfId="2910"/>
    <cellStyle name="_Book5_NIM Summary 19" xfId="2911"/>
    <cellStyle name="_Book5_NIM Summary 2" xfId="2912"/>
    <cellStyle name="_Book5_NIM Summary 2 2" xfId="2913"/>
    <cellStyle name="_Book5_NIM Summary 20" xfId="2914"/>
    <cellStyle name="_Book5_NIM Summary 21" xfId="2915"/>
    <cellStyle name="_Book5_NIM Summary 22" xfId="2916"/>
    <cellStyle name="_Book5_NIM Summary 23" xfId="2917"/>
    <cellStyle name="_Book5_NIM Summary 24" xfId="2918"/>
    <cellStyle name="_Book5_NIM Summary 25" xfId="2919"/>
    <cellStyle name="_Book5_NIM Summary 26" xfId="2920"/>
    <cellStyle name="_Book5_NIM Summary 27" xfId="2921"/>
    <cellStyle name="_Book5_NIM Summary 28" xfId="2922"/>
    <cellStyle name="_Book5_NIM Summary 29" xfId="2923"/>
    <cellStyle name="_Book5_NIM Summary 3" xfId="2924"/>
    <cellStyle name="_Book5_NIM Summary 30" xfId="2925"/>
    <cellStyle name="_Book5_NIM Summary 31" xfId="2926"/>
    <cellStyle name="_Book5_NIM Summary 32" xfId="2927"/>
    <cellStyle name="_Book5_NIM Summary 33" xfId="2928"/>
    <cellStyle name="_Book5_NIM Summary 34" xfId="2929"/>
    <cellStyle name="_Book5_NIM Summary 35" xfId="2930"/>
    <cellStyle name="_Book5_NIM Summary 36" xfId="2931"/>
    <cellStyle name="_Book5_NIM Summary 37" xfId="2932"/>
    <cellStyle name="_Book5_NIM Summary 38" xfId="2933"/>
    <cellStyle name="_Book5_NIM Summary 39" xfId="2934"/>
    <cellStyle name="_Book5_NIM Summary 4" xfId="2935"/>
    <cellStyle name="_Book5_NIM Summary 40" xfId="2936"/>
    <cellStyle name="_Book5_NIM Summary 41" xfId="2937"/>
    <cellStyle name="_Book5_NIM Summary 42" xfId="2938"/>
    <cellStyle name="_Book5_NIM Summary 43" xfId="2939"/>
    <cellStyle name="_Book5_NIM Summary 44" xfId="2940"/>
    <cellStyle name="_Book5_NIM Summary 45" xfId="2941"/>
    <cellStyle name="_Book5_NIM Summary 46" xfId="2942"/>
    <cellStyle name="_Book5_NIM Summary 47" xfId="2943"/>
    <cellStyle name="_Book5_NIM Summary 48" xfId="2944"/>
    <cellStyle name="_Book5_NIM Summary 49" xfId="2945"/>
    <cellStyle name="_Book5_NIM Summary 5" xfId="2946"/>
    <cellStyle name="_Book5_NIM Summary 50" xfId="2947"/>
    <cellStyle name="_Book5_NIM Summary 51" xfId="2948"/>
    <cellStyle name="_Book5_NIM Summary 52" xfId="2949"/>
    <cellStyle name="_Book5_NIM Summary 6" xfId="2950"/>
    <cellStyle name="_Book5_NIM Summary 7" xfId="2951"/>
    <cellStyle name="_Book5_NIM Summary 8" xfId="2952"/>
    <cellStyle name="_Book5_NIM Summary 9" xfId="2953"/>
    <cellStyle name="_Book5_NIM Summary_DEM-WP(C) ENERG10C--ctn Mid-C_042010 2010GRC" xfId="2954"/>
    <cellStyle name="_Book5_PCA 9 -  Exhibit D April 2010 (3)" xfId="2955"/>
    <cellStyle name="_Book5_Reconciliation" xfId="2956"/>
    <cellStyle name="_Book5_Reconciliation 2" xfId="2957"/>
    <cellStyle name="_Book5_Reconciliation 2 2" xfId="2958"/>
    <cellStyle name="_Book5_Reconciliation 2 3" xfId="2959"/>
    <cellStyle name="_Book5_Reconciliation 3" xfId="2960"/>
    <cellStyle name="_Book5_Reconciliation 3 2" xfId="2961"/>
    <cellStyle name="_Book5_Reconciliation 4" xfId="2962"/>
    <cellStyle name="_Book5_Reconciliation 4 2" xfId="2963"/>
    <cellStyle name="_Book5_Reconciliation 5" xfId="2964"/>
    <cellStyle name="_Book5_Reconciliation 5 2" xfId="2965"/>
    <cellStyle name="_Book5_Reconciliation 6" xfId="2966"/>
    <cellStyle name="_Book5_Reconciliation 6 2" xfId="2967"/>
    <cellStyle name="_Book5_Reconciliation_DEM-WP(C) ENERG10C--ctn Mid-C_042010 2010GRC" xfId="2968"/>
    <cellStyle name="_Book5_Wind Integration 10GRC" xfId="2969"/>
    <cellStyle name="_Book5_Wind Integration 10GRC 2" xfId="2970"/>
    <cellStyle name="_Book5_Wind Integration 10GRC 2 2" xfId="2971"/>
    <cellStyle name="_Book5_Wind Integration 10GRC 3" xfId="2972"/>
    <cellStyle name="_Book5_Wind Integration 10GRC_DEM-WP(C) ENERG10C--ctn Mid-C_042010 2010GRC" xfId="2973"/>
    <cellStyle name="_BPA NOS" xfId="2974"/>
    <cellStyle name="_BPA NOS 2" xfId="2975"/>
    <cellStyle name="_BPA NOS 2 2" xfId="2976"/>
    <cellStyle name="_BPA NOS 2 3" xfId="2977"/>
    <cellStyle name="_BPA NOS 3" xfId="2978"/>
    <cellStyle name="_BPA NOS 3 2" xfId="2979"/>
    <cellStyle name="_BPA NOS 4" xfId="2980"/>
    <cellStyle name="_BPA NOS 4 2" xfId="2981"/>
    <cellStyle name="_BPA NOS 5" xfId="2982"/>
    <cellStyle name="_BPA NOS 5 2" xfId="2983"/>
    <cellStyle name="_BPA NOS 6" xfId="2984"/>
    <cellStyle name="_BPA NOS 6 2" xfId="2985"/>
    <cellStyle name="_BPA NOS_DEM-WP(C) Chelan Power Costs" xfId="2986"/>
    <cellStyle name="_BPA NOS_DEM-WP(C) Chelan Power Costs 2" xfId="2987"/>
    <cellStyle name="_BPA NOS_DEM-WP(C) ENERG10C--ctn Mid-C_042010 2010GRC" xfId="2988"/>
    <cellStyle name="_BPA NOS_DEM-WP(C) Gas Transport 2010GRC" xfId="2989"/>
    <cellStyle name="_BPA NOS_DEM-WP(C) Gas Transport 2010GRC 2" xfId="2990"/>
    <cellStyle name="_BPA NOS_DEM-WP(C) Wind Integration Summary 2010GRC" xfId="2991"/>
    <cellStyle name="_BPA NOS_DEM-WP(C) Wind Integration Summary 2010GRC 2" xfId="2992"/>
    <cellStyle name="_BPA NOS_DEM-WP(C) Wind Integration Summary 2010GRC 2 2" xfId="2993"/>
    <cellStyle name="_BPA NOS_DEM-WP(C) Wind Integration Summary 2010GRC 3" xfId="2994"/>
    <cellStyle name="_BPA NOS_DEM-WP(C) Wind Integration Summary 2010GRC_DEM-WP(C) ENERG10C--ctn Mid-C_042010 2010GRC" xfId="2995"/>
    <cellStyle name="_BPA NOS_NIM Summary" xfId="2996"/>
    <cellStyle name="_BPA NOS_NIM Summary 2" xfId="2997"/>
    <cellStyle name="_BPA NOS_NIM Summary 2 2" xfId="2998"/>
    <cellStyle name="_BPA NOS_NIM Summary 3" xfId="2999"/>
    <cellStyle name="_BPA NOS_NIM Summary_DEM-WP(C) ENERG10C--ctn Mid-C_042010 2010GRC" xfId="3000"/>
    <cellStyle name="_Chelan Debt Forecast 12.19.05" xfId="3001"/>
    <cellStyle name="_Chelan Debt Forecast 12.19.05 2" xfId="3002"/>
    <cellStyle name="_Chelan Debt Forecast 12.19.05 2 2" xfId="3003"/>
    <cellStyle name="_Chelan Debt Forecast 12.19.05 2 2 2" xfId="3004"/>
    <cellStyle name="_Chelan Debt Forecast 12.19.05 2 3" xfId="3005"/>
    <cellStyle name="_Chelan Debt Forecast 12.19.05 3" xfId="3006"/>
    <cellStyle name="_Chelan Debt Forecast 12.19.05 3 2" xfId="3007"/>
    <cellStyle name="_Chelan Debt Forecast 12.19.05 4" xfId="3008"/>
    <cellStyle name="_Chelan Debt Forecast 12.19.05 4 2" xfId="3009"/>
    <cellStyle name="_Chelan Debt Forecast 12.19.05 4 3" xfId="3010"/>
    <cellStyle name="_Chelan Debt Forecast 12.19.05 5" xfId="3011"/>
    <cellStyle name="_Chelan Debt Forecast 12.19.05 5 2" xfId="3012"/>
    <cellStyle name="_Chelan Debt Forecast 12.19.05 5 3" xfId="3013"/>
    <cellStyle name="_Chelan Debt Forecast 12.19.05 6" xfId="3014"/>
    <cellStyle name="_Chelan Debt Forecast 12.19.05 6 2" xfId="3015"/>
    <cellStyle name="_Chelan Debt Forecast 12.19.05 7" xfId="3016"/>
    <cellStyle name="_Chelan Debt Forecast 12.19.05 7 2" xfId="3017"/>
    <cellStyle name="_Chelan Debt Forecast 12.19.05 8" xfId="3018"/>
    <cellStyle name="_Chelan Debt Forecast 12.19.05 8 2" xfId="3019"/>
    <cellStyle name="_Chelan Debt Forecast 12.19.05_(C) WHE Proforma with ITC cash grant 10 Yr Amort_for deferral_102809" xfId="3020"/>
    <cellStyle name="_Chelan Debt Forecast 12.19.05_(C) WHE Proforma with ITC cash grant 10 Yr Amort_for deferral_102809 2" xfId="3021"/>
    <cellStyle name="_Chelan Debt Forecast 12.19.05_(C) WHE Proforma with ITC cash grant 10 Yr Amort_for deferral_102809 2 2" xfId="3022"/>
    <cellStyle name="_Chelan Debt Forecast 12.19.05_(C) WHE Proforma with ITC cash grant 10 Yr Amort_for deferral_102809 3" xfId="3023"/>
    <cellStyle name="_Chelan Debt Forecast 12.19.05_(C) WHE Proforma with ITC cash grant 10 Yr Amort_for deferral_102809_16.07E Wild Horse Wind Expansionwrkingfile" xfId="3024"/>
    <cellStyle name="_Chelan Debt Forecast 12.19.05_(C) WHE Proforma with ITC cash grant 10 Yr Amort_for deferral_102809_16.07E Wild Horse Wind Expansionwrkingfile 2" xfId="3025"/>
    <cellStyle name="_Chelan Debt Forecast 12.19.05_(C) WHE Proforma with ITC cash grant 10 Yr Amort_for deferral_102809_16.07E Wild Horse Wind Expansionwrkingfile 2 2" xfId="3026"/>
    <cellStyle name="_Chelan Debt Forecast 12.19.05_(C) WHE Proforma with ITC cash grant 10 Yr Amort_for deferral_102809_16.07E Wild Horse Wind Expansionwrkingfile 3" xfId="3027"/>
    <cellStyle name="_Chelan Debt Forecast 12.19.05_(C) WHE Proforma with ITC cash grant 10 Yr Amort_for deferral_102809_16.07E Wild Horse Wind Expansionwrkingfile SF" xfId="3028"/>
    <cellStyle name="_Chelan Debt Forecast 12.19.05_(C) WHE Proforma with ITC cash grant 10 Yr Amort_for deferral_102809_16.07E Wild Horse Wind Expansionwrkingfile SF 2" xfId="3029"/>
    <cellStyle name="_Chelan Debt Forecast 12.19.05_(C) WHE Proforma with ITC cash grant 10 Yr Amort_for deferral_102809_16.07E Wild Horse Wind Expansionwrkingfile SF 2 2" xfId="3030"/>
    <cellStyle name="_Chelan Debt Forecast 12.19.05_(C) WHE Proforma with ITC cash grant 10 Yr Amort_for deferral_102809_16.07E Wild Horse Wind Expansionwrkingfile SF 3" xfId="3031"/>
    <cellStyle name="_Chelan Debt Forecast 12.19.05_(C) WHE Proforma with ITC cash grant 10 Yr Amort_for deferral_102809_16.07E Wild Horse Wind Expansionwrkingfile SF_DEM-WP(C) ENERG10C--ctn Mid-C_042010 2010GRC" xfId="3032"/>
    <cellStyle name="_Chelan Debt Forecast 12.19.05_(C) WHE Proforma with ITC cash grant 10 Yr Amort_for deferral_102809_16.07E Wild Horse Wind Expansionwrkingfile_DEM-WP(C) ENERG10C--ctn Mid-C_042010 2010GRC" xfId="3033"/>
    <cellStyle name="_Chelan Debt Forecast 12.19.05_(C) WHE Proforma with ITC cash grant 10 Yr Amort_for deferral_102809_16.37E Wild Horse Expansion DeferralRevwrkingfile SF" xfId="3034"/>
    <cellStyle name="_Chelan Debt Forecast 12.19.05_(C) WHE Proforma with ITC cash grant 10 Yr Amort_for deferral_102809_16.37E Wild Horse Expansion DeferralRevwrkingfile SF 2" xfId="3035"/>
    <cellStyle name="_Chelan Debt Forecast 12.19.05_(C) WHE Proforma with ITC cash grant 10 Yr Amort_for deferral_102809_16.37E Wild Horse Expansion DeferralRevwrkingfile SF 2 2" xfId="3036"/>
    <cellStyle name="_Chelan Debt Forecast 12.19.05_(C) WHE Proforma with ITC cash grant 10 Yr Amort_for deferral_102809_16.37E Wild Horse Expansion DeferralRevwrkingfile SF 3" xfId="3037"/>
    <cellStyle name="_Chelan Debt Forecast 12.19.05_(C) WHE Proforma with ITC cash grant 10 Yr Amort_for deferral_102809_16.37E Wild Horse Expansion DeferralRevwrkingfile SF_DEM-WP(C) ENERG10C--ctn Mid-C_042010 2010GRC" xfId="3038"/>
    <cellStyle name="_Chelan Debt Forecast 12.19.05_(C) WHE Proforma with ITC cash grant 10 Yr Amort_for deferral_102809_DEM-WP(C) ENERG10C--ctn Mid-C_042010 2010GRC" xfId="3039"/>
    <cellStyle name="_Chelan Debt Forecast 12.19.05_(C) WHE Proforma with ITC cash grant 10 Yr Amort_for rebuttal_120709" xfId="3040"/>
    <cellStyle name="_Chelan Debt Forecast 12.19.05_(C) WHE Proforma with ITC cash grant 10 Yr Amort_for rebuttal_120709 2" xfId="3041"/>
    <cellStyle name="_Chelan Debt Forecast 12.19.05_(C) WHE Proforma with ITC cash grant 10 Yr Amort_for rebuttal_120709 2 2" xfId="3042"/>
    <cellStyle name="_Chelan Debt Forecast 12.19.05_(C) WHE Proforma with ITC cash grant 10 Yr Amort_for rebuttal_120709 3" xfId="3043"/>
    <cellStyle name="_Chelan Debt Forecast 12.19.05_(C) WHE Proforma with ITC cash grant 10 Yr Amort_for rebuttal_120709_DEM-WP(C) ENERG10C--ctn Mid-C_042010 2010GRC" xfId="3044"/>
    <cellStyle name="_Chelan Debt Forecast 12.19.05_04.07E Wild Horse Wind Expansion" xfId="3045"/>
    <cellStyle name="_Chelan Debt Forecast 12.19.05_04.07E Wild Horse Wind Expansion 2" xfId="3046"/>
    <cellStyle name="_Chelan Debt Forecast 12.19.05_04.07E Wild Horse Wind Expansion 2 2" xfId="3047"/>
    <cellStyle name="_Chelan Debt Forecast 12.19.05_04.07E Wild Horse Wind Expansion 3" xfId="3048"/>
    <cellStyle name="_Chelan Debt Forecast 12.19.05_04.07E Wild Horse Wind Expansion_16.07E Wild Horse Wind Expansionwrkingfile" xfId="3049"/>
    <cellStyle name="_Chelan Debt Forecast 12.19.05_04.07E Wild Horse Wind Expansion_16.07E Wild Horse Wind Expansionwrkingfile 2" xfId="3050"/>
    <cellStyle name="_Chelan Debt Forecast 12.19.05_04.07E Wild Horse Wind Expansion_16.07E Wild Horse Wind Expansionwrkingfile 2 2" xfId="3051"/>
    <cellStyle name="_Chelan Debt Forecast 12.19.05_04.07E Wild Horse Wind Expansion_16.07E Wild Horse Wind Expansionwrkingfile 3" xfId="3052"/>
    <cellStyle name="_Chelan Debt Forecast 12.19.05_04.07E Wild Horse Wind Expansion_16.07E Wild Horse Wind Expansionwrkingfile SF" xfId="3053"/>
    <cellStyle name="_Chelan Debt Forecast 12.19.05_04.07E Wild Horse Wind Expansion_16.07E Wild Horse Wind Expansionwrkingfile SF 2" xfId="3054"/>
    <cellStyle name="_Chelan Debt Forecast 12.19.05_04.07E Wild Horse Wind Expansion_16.07E Wild Horse Wind Expansionwrkingfile SF 2 2" xfId="3055"/>
    <cellStyle name="_Chelan Debt Forecast 12.19.05_04.07E Wild Horse Wind Expansion_16.07E Wild Horse Wind Expansionwrkingfile SF 3" xfId="3056"/>
    <cellStyle name="_Chelan Debt Forecast 12.19.05_04.07E Wild Horse Wind Expansion_16.07E Wild Horse Wind Expansionwrkingfile SF_DEM-WP(C) ENERG10C--ctn Mid-C_042010 2010GRC" xfId="3057"/>
    <cellStyle name="_Chelan Debt Forecast 12.19.05_04.07E Wild Horse Wind Expansion_16.07E Wild Horse Wind Expansionwrkingfile_DEM-WP(C) ENERG10C--ctn Mid-C_042010 2010GRC" xfId="3058"/>
    <cellStyle name="_Chelan Debt Forecast 12.19.05_04.07E Wild Horse Wind Expansion_16.37E Wild Horse Expansion DeferralRevwrkingfile SF" xfId="3059"/>
    <cellStyle name="_Chelan Debt Forecast 12.19.05_04.07E Wild Horse Wind Expansion_16.37E Wild Horse Expansion DeferralRevwrkingfile SF 2" xfId="3060"/>
    <cellStyle name="_Chelan Debt Forecast 12.19.05_04.07E Wild Horse Wind Expansion_16.37E Wild Horse Expansion DeferralRevwrkingfile SF 2 2" xfId="3061"/>
    <cellStyle name="_Chelan Debt Forecast 12.19.05_04.07E Wild Horse Wind Expansion_16.37E Wild Horse Expansion DeferralRevwrkingfile SF 3" xfId="3062"/>
    <cellStyle name="_Chelan Debt Forecast 12.19.05_04.07E Wild Horse Wind Expansion_16.37E Wild Horse Expansion DeferralRevwrkingfile SF_DEM-WP(C) ENERG10C--ctn Mid-C_042010 2010GRC" xfId="3063"/>
    <cellStyle name="_Chelan Debt Forecast 12.19.05_04.07E Wild Horse Wind Expansion_DEM-WP(C) ENERG10C--ctn Mid-C_042010 2010GRC" xfId="3064"/>
    <cellStyle name="_Chelan Debt Forecast 12.19.05_16.07E Wild Horse Wind Expansionwrkingfile" xfId="3065"/>
    <cellStyle name="_Chelan Debt Forecast 12.19.05_16.07E Wild Horse Wind Expansionwrkingfile 2" xfId="3066"/>
    <cellStyle name="_Chelan Debt Forecast 12.19.05_16.07E Wild Horse Wind Expansionwrkingfile 2 2" xfId="3067"/>
    <cellStyle name="_Chelan Debt Forecast 12.19.05_16.07E Wild Horse Wind Expansionwrkingfile 3" xfId="3068"/>
    <cellStyle name="_Chelan Debt Forecast 12.19.05_16.07E Wild Horse Wind Expansionwrkingfile SF" xfId="3069"/>
    <cellStyle name="_Chelan Debt Forecast 12.19.05_16.07E Wild Horse Wind Expansionwrkingfile SF 2" xfId="3070"/>
    <cellStyle name="_Chelan Debt Forecast 12.19.05_16.07E Wild Horse Wind Expansionwrkingfile SF 2 2" xfId="3071"/>
    <cellStyle name="_Chelan Debt Forecast 12.19.05_16.07E Wild Horse Wind Expansionwrkingfile SF 3" xfId="3072"/>
    <cellStyle name="_Chelan Debt Forecast 12.19.05_16.07E Wild Horse Wind Expansionwrkingfile SF_DEM-WP(C) ENERG10C--ctn Mid-C_042010 2010GRC" xfId="3073"/>
    <cellStyle name="_Chelan Debt Forecast 12.19.05_16.07E Wild Horse Wind Expansionwrkingfile_DEM-WP(C) ENERG10C--ctn Mid-C_042010 2010GRC" xfId="3074"/>
    <cellStyle name="_Chelan Debt Forecast 12.19.05_16.37E Wild Horse Expansion DeferralRevwrkingfile SF" xfId="3075"/>
    <cellStyle name="_Chelan Debt Forecast 12.19.05_16.37E Wild Horse Expansion DeferralRevwrkingfile SF 2" xfId="3076"/>
    <cellStyle name="_Chelan Debt Forecast 12.19.05_16.37E Wild Horse Expansion DeferralRevwrkingfile SF 2 2" xfId="3077"/>
    <cellStyle name="_Chelan Debt Forecast 12.19.05_16.37E Wild Horse Expansion DeferralRevwrkingfile SF 3" xfId="3078"/>
    <cellStyle name="_Chelan Debt Forecast 12.19.05_16.37E Wild Horse Expansion DeferralRevwrkingfile SF_DEM-WP(C) ENERG10C--ctn Mid-C_042010 2010GRC" xfId="3079"/>
    <cellStyle name="_Chelan Debt Forecast 12.19.05_2009 Compliance Filing PCA Exhibits for GRC" xfId="3080"/>
    <cellStyle name="_Chelan Debt Forecast 12.19.05_2009 Compliance Filing PCA Exhibits for GRC 2" xfId="3081"/>
    <cellStyle name="_Chelan Debt Forecast 12.19.05_2009 GRC Compl Filing - Exhibit D" xfId="3082"/>
    <cellStyle name="_Chelan Debt Forecast 12.19.05_2009 GRC Compl Filing - Exhibit D 2" xfId="3083"/>
    <cellStyle name="_Chelan Debt Forecast 12.19.05_2009 GRC Compl Filing - Exhibit D 2 2" xfId="3084"/>
    <cellStyle name="_Chelan Debt Forecast 12.19.05_2009 GRC Compl Filing - Exhibit D 3" xfId="3085"/>
    <cellStyle name="_Chelan Debt Forecast 12.19.05_2009 GRC Compl Filing - Exhibit D_DEM-WP(C) ENERG10C--ctn Mid-C_042010 2010GRC" xfId="3086"/>
    <cellStyle name="_Chelan Debt Forecast 12.19.05_3.01 Income Statement" xfId="3087"/>
    <cellStyle name="_Chelan Debt Forecast 12.19.05_4 31 Regulatory Assets and Liabilities  7 06- Exhibit D" xfId="3088"/>
    <cellStyle name="_Chelan Debt Forecast 12.19.05_4 31 Regulatory Assets and Liabilities  7 06- Exhibit D 2" xfId="3089"/>
    <cellStyle name="_Chelan Debt Forecast 12.19.05_4 31 Regulatory Assets and Liabilities  7 06- Exhibit D 2 2" xfId="3090"/>
    <cellStyle name="_Chelan Debt Forecast 12.19.05_4 31 Regulatory Assets and Liabilities  7 06- Exhibit D 2 2 2" xfId="3091"/>
    <cellStyle name="_Chelan Debt Forecast 12.19.05_4 31 Regulatory Assets and Liabilities  7 06- Exhibit D 3" xfId="3092"/>
    <cellStyle name="_Chelan Debt Forecast 12.19.05_4 31 Regulatory Assets and Liabilities  7 06- Exhibit D_DEM-WP(C) ENERG10C--ctn Mid-C_042010 2010GRC" xfId="3093"/>
    <cellStyle name="_Chelan Debt Forecast 12.19.05_4 31 Regulatory Assets and Liabilities  7 06- Exhibit D_NIM Summary" xfId="3094"/>
    <cellStyle name="_Chelan Debt Forecast 12.19.05_4 31 Regulatory Assets and Liabilities  7 06- Exhibit D_NIM Summary 2" xfId="3095"/>
    <cellStyle name="_Chelan Debt Forecast 12.19.05_4 31 Regulatory Assets and Liabilities  7 06- Exhibit D_NIM Summary 2 2" xfId="3096"/>
    <cellStyle name="_Chelan Debt Forecast 12.19.05_4 31 Regulatory Assets and Liabilities  7 06- Exhibit D_NIM Summary 3" xfId="3097"/>
    <cellStyle name="_Chelan Debt Forecast 12.19.05_4 31 Regulatory Assets and Liabilities  7 06- Exhibit D_NIM Summary_DEM-WP(C) ENERG10C--ctn Mid-C_042010 2010GRC" xfId="3098"/>
    <cellStyle name="_Chelan Debt Forecast 12.19.05_4 31 Regulatory Assets and Liabilities  7 06- Exhibit D_NIM+O&amp;M" xfId="3099"/>
    <cellStyle name="_Chelan Debt Forecast 12.19.05_4 31 Regulatory Assets and Liabilities  7 06- Exhibit D_NIM+O&amp;M Monthly" xfId="3100"/>
    <cellStyle name="_Chelan Debt Forecast 12.19.05_4 31E Reg Asset  Liab and EXH D" xfId="3101"/>
    <cellStyle name="_Chelan Debt Forecast 12.19.05_4 31E Reg Asset  Liab and EXH D _ Aug 10 Filing (2)" xfId="3102"/>
    <cellStyle name="_Chelan Debt Forecast 12.19.05_4 31E Reg Asset  Liab and EXH D _ Aug 10 Filing (2) 2" xfId="3103"/>
    <cellStyle name="_Chelan Debt Forecast 12.19.05_4 31E Reg Asset  Liab and EXH D 2" xfId="3104"/>
    <cellStyle name="_Chelan Debt Forecast 12.19.05_4 31E Reg Asset  Liab and EXH D 3" xfId="3105"/>
    <cellStyle name="_Chelan Debt Forecast 12.19.05_4 32 Regulatory Assets and Liabilities  7 06- Exhibit D" xfId="3106"/>
    <cellStyle name="_Chelan Debt Forecast 12.19.05_4 32 Regulatory Assets and Liabilities  7 06- Exhibit D 2" xfId="3107"/>
    <cellStyle name="_Chelan Debt Forecast 12.19.05_4 32 Regulatory Assets and Liabilities  7 06- Exhibit D 2 2" xfId="3108"/>
    <cellStyle name="_Chelan Debt Forecast 12.19.05_4 32 Regulatory Assets and Liabilities  7 06- Exhibit D 2 2 2" xfId="3109"/>
    <cellStyle name="_Chelan Debt Forecast 12.19.05_4 32 Regulatory Assets and Liabilities  7 06- Exhibit D 3" xfId="3110"/>
    <cellStyle name="_Chelan Debt Forecast 12.19.05_4 32 Regulatory Assets and Liabilities  7 06- Exhibit D_DEM-WP(C) ENERG10C--ctn Mid-C_042010 2010GRC" xfId="3111"/>
    <cellStyle name="_Chelan Debt Forecast 12.19.05_4 32 Regulatory Assets and Liabilities  7 06- Exhibit D_NIM Summary" xfId="3112"/>
    <cellStyle name="_Chelan Debt Forecast 12.19.05_4 32 Regulatory Assets and Liabilities  7 06- Exhibit D_NIM Summary 2" xfId="3113"/>
    <cellStyle name="_Chelan Debt Forecast 12.19.05_4 32 Regulatory Assets and Liabilities  7 06- Exhibit D_NIM Summary 2 2" xfId="3114"/>
    <cellStyle name="_Chelan Debt Forecast 12.19.05_4 32 Regulatory Assets and Liabilities  7 06- Exhibit D_NIM Summary 3" xfId="3115"/>
    <cellStyle name="_Chelan Debt Forecast 12.19.05_4 32 Regulatory Assets and Liabilities  7 06- Exhibit D_NIM Summary_DEM-WP(C) ENERG10C--ctn Mid-C_042010 2010GRC" xfId="3116"/>
    <cellStyle name="_Chelan Debt Forecast 12.19.05_4 32 Regulatory Assets and Liabilities  7 06- Exhibit D_NIM+O&amp;M" xfId="3117"/>
    <cellStyle name="_Chelan Debt Forecast 12.19.05_4 32 Regulatory Assets and Liabilities  7 06- Exhibit D_NIM+O&amp;M Monthly" xfId="3118"/>
    <cellStyle name="_Chelan Debt Forecast 12.19.05_AURORA Total New" xfId="3119"/>
    <cellStyle name="_Chelan Debt Forecast 12.19.05_AURORA Total New 2" xfId="3120"/>
    <cellStyle name="_Chelan Debt Forecast 12.19.05_AURORA Total New 2 2" xfId="3121"/>
    <cellStyle name="_Chelan Debt Forecast 12.19.05_AURORA Total New 3" xfId="3122"/>
    <cellStyle name="_Chelan Debt Forecast 12.19.05_Book2" xfId="3123"/>
    <cellStyle name="_Chelan Debt Forecast 12.19.05_Book2 2" xfId="3124"/>
    <cellStyle name="_Chelan Debt Forecast 12.19.05_Book2 2 2" xfId="3125"/>
    <cellStyle name="_Chelan Debt Forecast 12.19.05_Book2 3" xfId="3126"/>
    <cellStyle name="_Chelan Debt Forecast 12.19.05_Book2_Adj Bench DR 3 for Initial Briefs (Electric)" xfId="3127"/>
    <cellStyle name="_Chelan Debt Forecast 12.19.05_Book2_Adj Bench DR 3 for Initial Briefs (Electric) 2" xfId="3128"/>
    <cellStyle name="_Chelan Debt Forecast 12.19.05_Book2_Adj Bench DR 3 for Initial Briefs (Electric) 2 2" xfId="3129"/>
    <cellStyle name="_Chelan Debt Forecast 12.19.05_Book2_Adj Bench DR 3 for Initial Briefs (Electric) 3" xfId="3130"/>
    <cellStyle name="_Chelan Debt Forecast 12.19.05_Book2_Adj Bench DR 3 for Initial Briefs (Electric)_DEM-WP(C) ENERG10C--ctn Mid-C_042010 2010GRC" xfId="3131"/>
    <cellStyle name="_Chelan Debt Forecast 12.19.05_Book2_DEM-WP(C) ENERG10C--ctn Mid-C_042010 2010GRC" xfId="3132"/>
    <cellStyle name="_Chelan Debt Forecast 12.19.05_Book2_Electric Rev Req Model (2009 GRC) Rebuttal" xfId="3133"/>
    <cellStyle name="_Chelan Debt Forecast 12.19.05_Book2_Electric Rev Req Model (2009 GRC) Rebuttal 2" xfId="3134"/>
    <cellStyle name="_Chelan Debt Forecast 12.19.05_Book2_Electric Rev Req Model (2009 GRC) Rebuttal REmoval of New  WH Solar AdjustMI" xfId="3135"/>
    <cellStyle name="_Chelan Debt Forecast 12.19.05_Book2_Electric Rev Req Model (2009 GRC) Rebuttal REmoval of New  WH Solar AdjustMI 2" xfId="3136"/>
    <cellStyle name="_Chelan Debt Forecast 12.19.05_Book2_Electric Rev Req Model (2009 GRC) Rebuttal REmoval of New  WH Solar AdjustMI 2 2" xfId="3137"/>
    <cellStyle name="_Chelan Debt Forecast 12.19.05_Book2_Electric Rev Req Model (2009 GRC) Rebuttal REmoval of New  WH Solar AdjustMI 3" xfId="3138"/>
    <cellStyle name="_Chelan Debt Forecast 12.19.05_Book2_Electric Rev Req Model (2009 GRC) Rebuttal REmoval of New  WH Solar AdjustMI_DEM-WP(C) ENERG10C--ctn Mid-C_042010 2010GRC" xfId="3139"/>
    <cellStyle name="_Chelan Debt Forecast 12.19.05_Book2_Electric Rev Req Model (2009 GRC) Revised 01-18-2010" xfId="3140"/>
    <cellStyle name="_Chelan Debt Forecast 12.19.05_Book2_Electric Rev Req Model (2009 GRC) Revised 01-18-2010 2" xfId="3141"/>
    <cellStyle name="_Chelan Debt Forecast 12.19.05_Book2_Electric Rev Req Model (2009 GRC) Revised 01-18-2010 2 2" xfId="3142"/>
    <cellStyle name="_Chelan Debt Forecast 12.19.05_Book2_Electric Rev Req Model (2009 GRC) Revised 01-18-2010 3" xfId="3143"/>
    <cellStyle name="_Chelan Debt Forecast 12.19.05_Book2_Electric Rev Req Model (2009 GRC) Revised 01-18-2010_DEM-WP(C) ENERG10C--ctn Mid-C_042010 2010GRC" xfId="3144"/>
    <cellStyle name="_Chelan Debt Forecast 12.19.05_Book2_Final Order Electric EXHIBIT A-1" xfId="3145"/>
    <cellStyle name="_Chelan Debt Forecast 12.19.05_Book2_Final Order Electric EXHIBIT A-1 2" xfId="3146"/>
    <cellStyle name="_Chelan Debt Forecast 12.19.05_Book4" xfId="3147"/>
    <cellStyle name="_Chelan Debt Forecast 12.19.05_Book4 2" xfId="3148"/>
    <cellStyle name="_Chelan Debt Forecast 12.19.05_Book4 2 2" xfId="3149"/>
    <cellStyle name="_Chelan Debt Forecast 12.19.05_Book4 3" xfId="3150"/>
    <cellStyle name="_Chelan Debt Forecast 12.19.05_Book4_DEM-WP(C) ENERG10C--ctn Mid-C_042010 2010GRC" xfId="3151"/>
    <cellStyle name="_Chelan Debt Forecast 12.19.05_Book9" xfId="3152"/>
    <cellStyle name="_Chelan Debt Forecast 12.19.05_Book9 2" xfId="3153"/>
    <cellStyle name="_Chelan Debt Forecast 12.19.05_Book9 2 2" xfId="3154"/>
    <cellStyle name="_Chelan Debt Forecast 12.19.05_Book9 3" xfId="3155"/>
    <cellStyle name="_Chelan Debt Forecast 12.19.05_Book9_DEM-WP(C) ENERG10C--ctn Mid-C_042010 2010GRC" xfId="3156"/>
    <cellStyle name="_Chelan Debt Forecast 12.19.05_Check the Interest Calculation" xfId="3157"/>
    <cellStyle name="_Chelan Debt Forecast 12.19.05_Check the Interest Calculation_Scenario 1 REC vs PTC Offset" xfId="3158"/>
    <cellStyle name="_Chelan Debt Forecast 12.19.05_Check the Interest Calculation_Scenario 3" xfId="3159"/>
    <cellStyle name="_Chelan Debt Forecast 12.19.05_Chelan PUD Power Costs (8-10)" xfId="3160"/>
    <cellStyle name="_Chelan Debt Forecast 12.19.05_Chelan PUD Power Costs (8-10) 2" xfId="3161"/>
    <cellStyle name="_Chelan Debt Forecast 12.19.05_DEM-WP(C) Chelan Power Costs" xfId="3162"/>
    <cellStyle name="_Chelan Debt Forecast 12.19.05_DEM-WP(C) Chelan Power Costs 2" xfId="3163"/>
    <cellStyle name="_Chelan Debt Forecast 12.19.05_DEM-WP(C) ENERG10C--ctn Mid-C_042010 2010GRC" xfId="3164"/>
    <cellStyle name="_Chelan Debt Forecast 12.19.05_DEM-WP(C) Gas Transport 2010GRC" xfId="3165"/>
    <cellStyle name="_Chelan Debt Forecast 12.19.05_DEM-WP(C) Gas Transport 2010GRC 2" xfId="3166"/>
    <cellStyle name="_Chelan Debt Forecast 12.19.05_Exh A-1 resulting from UE-112050 effective Jan 1 2012" xfId="3167"/>
    <cellStyle name="_Chelan Debt Forecast 12.19.05_Exh G - Klamath Peaker PPA fr C Locke 2-12" xfId="3168"/>
    <cellStyle name="_Chelan Debt Forecast 12.19.05_Exhibit A-1 effective 4-1-11 fr S Free 12-11" xfId="3169"/>
    <cellStyle name="_Chelan Debt Forecast 12.19.05_Exhibit D fr R Gho 12-31-08" xfId="3170"/>
    <cellStyle name="_Chelan Debt Forecast 12.19.05_Exhibit D fr R Gho 12-31-08 2" xfId="3171"/>
    <cellStyle name="_Chelan Debt Forecast 12.19.05_Exhibit D fr R Gho 12-31-08 2 2" xfId="3172"/>
    <cellStyle name="_Chelan Debt Forecast 12.19.05_Exhibit D fr R Gho 12-31-08 3" xfId="3173"/>
    <cellStyle name="_Chelan Debt Forecast 12.19.05_Exhibit D fr R Gho 12-31-08 v2" xfId="3174"/>
    <cellStyle name="_Chelan Debt Forecast 12.19.05_Exhibit D fr R Gho 12-31-08 v2 2" xfId="3175"/>
    <cellStyle name="_Chelan Debt Forecast 12.19.05_Exhibit D fr R Gho 12-31-08 v2 2 2" xfId="3176"/>
    <cellStyle name="_Chelan Debt Forecast 12.19.05_Exhibit D fr R Gho 12-31-08 v2 3" xfId="3177"/>
    <cellStyle name="_Chelan Debt Forecast 12.19.05_Exhibit D fr R Gho 12-31-08 v2_DEM-WP(C) ENERG10C--ctn Mid-C_042010 2010GRC" xfId="3178"/>
    <cellStyle name="_Chelan Debt Forecast 12.19.05_Exhibit D fr R Gho 12-31-08 v2_NIM Summary" xfId="3179"/>
    <cellStyle name="_Chelan Debt Forecast 12.19.05_Exhibit D fr R Gho 12-31-08 v2_NIM Summary 2" xfId="3180"/>
    <cellStyle name="_Chelan Debt Forecast 12.19.05_Exhibit D fr R Gho 12-31-08 v2_NIM Summary 2 2" xfId="3181"/>
    <cellStyle name="_Chelan Debt Forecast 12.19.05_Exhibit D fr R Gho 12-31-08 v2_NIM Summary 3" xfId="3182"/>
    <cellStyle name="_Chelan Debt Forecast 12.19.05_Exhibit D fr R Gho 12-31-08 v2_NIM Summary_DEM-WP(C) ENERG10C--ctn Mid-C_042010 2010GRC" xfId="3183"/>
    <cellStyle name="_Chelan Debt Forecast 12.19.05_Exhibit D fr R Gho 12-31-08_DEM-WP(C) ENERG10C--ctn Mid-C_042010 2010GRC" xfId="3184"/>
    <cellStyle name="_Chelan Debt Forecast 12.19.05_Exhibit D fr R Gho 12-31-08_NIM Summary" xfId="3185"/>
    <cellStyle name="_Chelan Debt Forecast 12.19.05_Exhibit D fr R Gho 12-31-08_NIM Summary 2" xfId="3186"/>
    <cellStyle name="_Chelan Debt Forecast 12.19.05_Exhibit D fr R Gho 12-31-08_NIM Summary 2 2" xfId="3187"/>
    <cellStyle name="_Chelan Debt Forecast 12.19.05_Exhibit D fr R Gho 12-31-08_NIM Summary 3" xfId="3188"/>
    <cellStyle name="_Chelan Debt Forecast 12.19.05_Exhibit D fr R Gho 12-31-08_NIM Summary_DEM-WP(C) ENERG10C--ctn Mid-C_042010 2010GRC" xfId="3189"/>
    <cellStyle name="_Chelan Debt Forecast 12.19.05_Hopkins Ridge Prepaid Tran - Interest Earned RY 12ME Feb  '11" xfId="3190"/>
    <cellStyle name="_Chelan Debt Forecast 12.19.05_Hopkins Ridge Prepaid Tran - Interest Earned RY 12ME Feb  '11 2" xfId="3191"/>
    <cellStyle name="_Chelan Debt Forecast 12.19.05_Hopkins Ridge Prepaid Tran - Interest Earned RY 12ME Feb  '11 2 2" xfId="3192"/>
    <cellStyle name="_Chelan Debt Forecast 12.19.05_Hopkins Ridge Prepaid Tran - Interest Earned RY 12ME Feb  '11 3" xfId="3193"/>
    <cellStyle name="_Chelan Debt Forecast 12.19.05_Hopkins Ridge Prepaid Tran - Interest Earned RY 12ME Feb  '11_DEM-WP(C) ENERG10C--ctn Mid-C_042010 2010GRC" xfId="3194"/>
    <cellStyle name="_Chelan Debt Forecast 12.19.05_Hopkins Ridge Prepaid Tran - Interest Earned RY 12ME Feb  '11_NIM Summary" xfId="3195"/>
    <cellStyle name="_Chelan Debt Forecast 12.19.05_Hopkins Ridge Prepaid Tran - Interest Earned RY 12ME Feb  '11_NIM Summary 2" xfId="3196"/>
    <cellStyle name="_Chelan Debt Forecast 12.19.05_Hopkins Ridge Prepaid Tran - Interest Earned RY 12ME Feb  '11_NIM Summary 2 2" xfId="3197"/>
    <cellStyle name="_Chelan Debt Forecast 12.19.05_Hopkins Ridge Prepaid Tran - Interest Earned RY 12ME Feb  '11_NIM Summary 3" xfId="3198"/>
    <cellStyle name="_Chelan Debt Forecast 12.19.05_Hopkins Ridge Prepaid Tran - Interest Earned RY 12ME Feb  '11_NIM Summary_DEM-WP(C) ENERG10C--ctn Mid-C_042010 2010GRC" xfId="3199"/>
    <cellStyle name="_Chelan Debt Forecast 12.19.05_Hopkins Ridge Prepaid Tran - Interest Earned RY 12ME Feb  '11_Transmission Workbook for May BOD" xfId="3200"/>
    <cellStyle name="_Chelan Debt Forecast 12.19.05_Hopkins Ridge Prepaid Tran - Interest Earned RY 12ME Feb  '11_Transmission Workbook for May BOD 2" xfId="3201"/>
    <cellStyle name="_Chelan Debt Forecast 12.19.05_Hopkins Ridge Prepaid Tran - Interest Earned RY 12ME Feb  '11_Transmission Workbook for May BOD 2 2" xfId="3202"/>
    <cellStyle name="_Chelan Debt Forecast 12.19.05_Hopkins Ridge Prepaid Tran - Interest Earned RY 12ME Feb  '11_Transmission Workbook for May BOD 3" xfId="3203"/>
    <cellStyle name="_Chelan Debt Forecast 12.19.05_Hopkins Ridge Prepaid Tran - Interest Earned RY 12ME Feb  '11_Transmission Workbook for May BOD_DEM-WP(C) ENERG10C--ctn Mid-C_042010 2010GRC" xfId="3204"/>
    <cellStyle name="_Chelan Debt Forecast 12.19.05_LSRWEP LGIA like Acctg Petition Aug 2010" xfId="3205"/>
    <cellStyle name="_Chelan Debt Forecast 12.19.05_Mint Farm Generation BPA" xfId="3206"/>
    <cellStyle name="_Chelan Debt Forecast 12.19.05_NIM Summary" xfId="3207"/>
    <cellStyle name="_Chelan Debt Forecast 12.19.05_NIM Summary 09GRC" xfId="3208"/>
    <cellStyle name="_Chelan Debt Forecast 12.19.05_NIM Summary 09GRC 2" xfId="3209"/>
    <cellStyle name="_Chelan Debt Forecast 12.19.05_NIM Summary 09GRC 2 2" xfId="3210"/>
    <cellStyle name="_Chelan Debt Forecast 12.19.05_NIM Summary 09GRC 3" xfId="3211"/>
    <cellStyle name="_Chelan Debt Forecast 12.19.05_NIM Summary 09GRC_DEM-WP(C) ENERG10C--ctn Mid-C_042010 2010GRC" xfId="3212"/>
    <cellStyle name="_Chelan Debt Forecast 12.19.05_NIM Summary 10" xfId="3213"/>
    <cellStyle name="_Chelan Debt Forecast 12.19.05_NIM Summary 11" xfId="3214"/>
    <cellStyle name="_Chelan Debt Forecast 12.19.05_NIM Summary 12" xfId="3215"/>
    <cellStyle name="_Chelan Debt Forecast 12.19.05_NIM Summary 13" xfId="3216"/>
    <cellStyle name="_Chelan Debt Forecast 12.19.05_NIM Summary 14" xfId="3217"/>
    <cellStyle name="_Chelan Debt Forecast 12.19.05_NIM Summary 15" xfId="3218"/>
    <cellStyle name="_Chelan Debt Forecast 12.19.05_NIM Summary 16" xfId="3219"/>
    <cellStyle name="_Chelan Debt Forecast 12.19.05_NIM Summary 17" xfId="3220"/>
    <cellStyle name="_Chelan Debt Forecast 12.19.05_NIM Summary 18" xfId="3221"/>
    <cellStyle name="_Chelan Debt Forecast 12.19.05_NIM Summary 19" xfId="3222"/>
    <cellStyle name="_Chelan Debt Forecast 12.19.05_NIM Summary 2" xfId="3223"/>
    <cellStyle name="_Chelan Debt Forecast 12.19.05_NIM Summary 2 2" xfId="3224"/>
    <cellStyle name="_Chelan Debt Forecast 12.19.05_NIM Summary 20" xfId="3225"/>
    <cellStyle name="_Chelan Debt Forecast 12.19.05_NIM Summary 21" xfId="3226"/>
    <cellStyle name="_Chelan Debt Forecast 12.19.05_NIM Summary 22" xfId="3227"/>
    <cellStyle name="_Chelan Debt Forecast 12.19.05_NIM Summary 23" xfId="3228"/>
    <cellStyle name="_Chelan Debt Forecast 12.19.05_NIM Summary 24" xfId="3229"/>
    <cellStyle name="_Chelan Debt Forecast 12.19.05_NIM Summary 25" xfId="3230"/>
    <cellStyle name="_Chelan Debt Forecast 12.19.05_NIM Summary 26" xfId="3231"/>
    <cellStyle name="_Chelan Debt Forecast 12.19.05_NIM Summary 27" xfId="3232"/>
    <cellStyle name="_Chelan Debt Forecast 12.19.05_NIM Summary 28" xfId="3233"/>
    <cellStyle name="_Chelan Debt Forecast 12.19.05_NIM Summary 29" xfId="3234"/>
    <cellStyle name="_Chelan Debt Forecast 12.19.05_NIM Summary 3" xfId="3235"/>
    <cellStyle name="_Chelan Debt Forecast 12.19.05_NIM Summary 30" xfId="3236"/>
    <cellStyle name="_Chelan Debt Forecast 12.19.05_NIM Summary 31" xfId="3237"/>
    <cellStyle name="_Chelan Debt Forecast 12.19.05_NIM Summary 32" xfId="3238"/>
    <cellStyle name="_Chelan Debt Forecast 12.19.05_NIM Summary 33" xfId="3239"/>
    <cellStyle name="_Chelan Debt Forecast 12.19.05_NIM Summary 34" xfId="3240"/>
    <cellStyle name="_Chelan Debt Forecast 12.19.05_NIM Summary 35" xfId="3241"/>
    <cellStyle name="_Chelan Debt Forecast 12.19.05_NIM Summary 36" xfId="3242"/>
    <cellStyle name="_Chelan Debt Forecast 12.19.05_NIM Summary 37" xfId="3243"/>
    <cellStyle name="_Chelan Debt Forecast 12.19.05_NIM Summary 38" xfId="3244"/>
    <cellStyle name="_Chelan Debt Forecast 12.19.05_NIM Summary 39" xfId="3245"/>
    <cellStyle name="_Chelan Debt Forecast 12.19.05_NIM Summary 4" xfId="3246"/>
    <cellStyle name="_Chelan Debt Forecast 12.19.05_NIM Summary 40" xfId="3247"/>
    <cellStyle name="_Chelan Debt Forecast 12.19.05_NIM Summary 41" xfId="3248"/>
    <cellStyle name="_Chelan Debt Forecast 12.19.05_NIM Summary 42" xfId="3249"/>
    <cellStyle name="_Chelan Debt Forecast 12.19.05_NIM Summary 43" xfId="3250"/>
    <cellStyle name="_Chelan Debt Forecast 12.19.05_NIM Summary 44" xfId="3251"/>
    <cellStyle name="_Chelan Debt Forecast 12.19.05_NIM Summary 45" xfId="3252"/>
    <cellStyle name="_Chelan Debt Forecast 12.19.05_NIM Summary 46" xfId="3253"/>
    <cellStyle name="_Chelan Debt Forecast 12.19.05_NIM Summary 47" xfId="3254"/>
    <cellStyle name="_Chelan Debt Forecast 12.19.05_NIM Summary 48" xfId="3255"/>
    <cellStyle name="_Chelan Debt Forecast 12.19.05_NIM Summary 49" xfId="3256"/>
    <cellStyle name="_Chelan Debt Forecast 12.19.05_NIM Summary 5" xfId="3257"/>
    <cellStyle name="_Chelan Debt Forecast 12.19.05_NIM Summary 50" xfId="3258"/>
    <cellStyle name="_Chelan Debt Forecast 12.19.05_NIM Summary 51" xfId="3259"/>
    <cellStyle name="_Chelan Debt Forecast 12.19.05_NIM Summary 52" xfId="3260"/>
    <cellStyle name="_Chelan Debt Forecast 12.19.05_NIM Summary 6" xfId="3261"/>
    <cellStyle name="_Chelan Debt Forecast 12.19.05_NIM Summary 7" xfId="3262"/>
    <cellStyle name="_Chelan Debt Forecast 12.19.05_NIM Summary 8" xfId="3263"/>
    <cellStyle name="_Chelan Debt Forecast 12.19.05_NIM Summary 9" xfId="3264"/>
    <cellStyle name="_Chelan Debt Forecast 12.19.05_NIM Summary_DEM-WP(C) ENERG10C--ctn Mid-C_042010 2010GRC" xfId="3265"/>
    <cellStyle name="_Chelan Debt Forecast 12.19.05_NIM+O&amp;M" xfId="3266"/>
    <cellStyle name="_Chelan Debt Forecast 12.19.05_NIM+O&amp;M 2" xfId="3267"/>
    <cellStyle name="_Chelan Debt Forecast 12.19.05_NIM+O&amp;M Monthly" xfId="3268"/>
    <cellStyle name="_Chelan Debt Forecast 12.19.05_NIM+O&amp;M Monthly 2" xfId="3269"/>
    <cellStyle name="_Chelan Debt Forecast 12.19.05_PCA 10 -  Exhibit D Dec 2011" xfId="3270"/>
    <cellStyle name="_Chelan Debt Forecast 12.19.05_PCA 10 -  Exhibit D from A Kellogg Jan 2011" xfId="3271"/>
    <cellStyle name="_Chelan Debt Forecast 12.19.05_PCA 10 -  Exhibit D from A Kellogg July 2011" xfId="3272"/>
    <cellStyle name="_Chelan Debt Forecast 12.19.05_PCA 10 -  Exhibit D from S Free Rcv'd 12-11" xfId="3273"/>
    <cellStyle name="_Chelan Debt Forecast 12.19.05_PCA 11 -  Exhibit D Jan 2012 fr A Kellogg" xfId="3274"/>
    <cellStyle name="_Chelan Debt Forecast 12.19.05_PCA 11 -  Exhibit D Jan 2012 WF" xfId="3275"/>
    <cellStyle name="_Chelan Debt Forecast 12.19.05_PCA 7 - Exhibit D update 11_30_08 (2)" xfId="3276"/>
    <cellStyle name="_Chelan Debt Forecast 12.19.05_PCA 7 - Exhibit D update 11_30_08 (2) 2" xfId="3277"/>
    <cellStyle name="_Chelan Debt Forecast 12.19.05_PCA 7 - Exhibit D update 11_30_08 (2) 2 2" xfId="3278"/>
    <cellStyle name="_Chelan Debt Forecast 12.19.05_PCA 7 - Exhibit D update 11_30_08 (2) 2 2 2" xfId="3279"/>
    <cellStyle name="_Chelan Debt Forecast 12.19.05_PCA 7 - Exhibit D update 11_30_08 (2) 2 3" xfId="3280"/>
    <cellStyle name="_Chelan Debt Forecast 12.19.05_PCA 7 - Exhibit D update 11_30_08 (2) 3" xfId="3281"/>
    <cellStyle name="_Chelan Debt Forecast 12.19.05_PCA 7 - Exhibit D update 11_30_08 (2) 3 2" xfId="3282"/>
    <cellStyle name="_Chelan Debt Forecast 12.19.05_PCA 7 - Exhibit D update 11_30_08 (2) 4" xfId="3283"/>
    <cellStyle name="_Chelan Debt Forecast 12.19.05_PCA 7 - Exhibit D update 11_30_08 (2)_DEM-WP(C) ENERG10C--ctn Mid-C_042010 2010GRC" xfId="3284"/>
    <cellStyle name="_Chelan Debt Forecast 12.19.05_PCA 7 - Exhibit D update 11_30_08 (2)_NIM Summary" xfId="3285"/>
    <cellStyle name="_Chelan Debt Forecast 12.19.05_PCA 7 - Exhibit D update 11_30_08 (2)_NIM Summary 2" xfId="3286"/>
    <cellStyle name="_Chelan Debt Forecast 12.19.05_PCA 7 - Exhibit D update 11_30_08 (2)_NIM Summary 2 2" xfId="3287"/>
    <cellStyle name="_Chelan Debt Forecast 12.19.05_PCA 7 - Exhibit D update 11_30_08 (2)_NIM Summary 3" xfId="3288"/>
    <cellStyle name="_Chelan Debt Forecast 12.19.05_PCA 7 - Exhibit D update 11_30_08 (2)_NIM Summary_DEM-WP(C) ENERG10C--ctn Mid-C_042010 2010GRC" xfId="3289"/>
    <cellStyle name="_Chelan Debt Forecast 12.19.05_PCA 8 - Exhibit D update 12_31_09" xfId="3290"/>
    <cellStyle name="_Chelan Debt Forecast 12.19.05_PCA 8 - Exhibit D update 12_31_09 2" xfId="3291"/>
    <cellStyle name="_Chelan Debt Forecast 12.19.05_PCA 9 -  Exhibit D April 2010" xfId="3292"/>
    <cellStyle name="_Chelan Debt Forecast 12.19.05_PCA 9 -  Exhibit D April 2010 (3)" xfId="3293"/>
    <cellStyle name="_Chelan Debt Forecast 12.19.05_PCA 9 -  Exhibit D April 2010 (3) 2" xfId="3294"/>
    <cellStyle name="_Chelan Debt Forecast 12.19.05_PCA 9 -  Exhibit D April 2010 (3) 2 2" xfId="3295"/>
    <cellStyle name="_Chelan Debt Forecast 12.19.05_PCA 9 -  Exhibit D April 2010 (3) 3" xfId="3296"/>
    <cellStyle name="_Chelan Debt Forecast 12.19.05_PCA 9 -  Exhibit D April 2010 (3)_DEM-WP(C) ENERG10C--ctn Mid-C_042010 2010GRC" xfId="3297"/>
    <cellStyle name="_Chelan Debt Forecast 12.19.05_PCA 9 -  Exhibit D April 2010 2" xfId="3298"/>
    <cellStyle name="_Chelan Debt Forecast 12.19.05_PCA 9 -  Exhibit D April 2010 3" xfId="3299"/>
    <cellStyle name="_Chelan Debt Forecast 12.19.05_PCA 9 -  Exhibit D April 2010 4" xfId="3300"/>
    <cellStyle name="_Chelan Debt Forecast 12.19.05_PCA 9 -  Exhibit D April 2010 5" xfId="3301"/>
    <cellStyle name="_Chelan Debt Forecast 12.19.05_PCA 9 -  Exhibit D April 2010 6" xfId="3302"/>
    <cellStyle name="_Chelan Debt Forecast 12.19.05_PCA 9 -  Exhibit D Feb 2010" xfId="3303"/>
    <cellStyle name="_Chelan Debt Forecast 12.19.05_PCA 9 -  Exhibit D Feb 2010 2" xfId="3304"/>
    <cellStyle name="_Chelan Debt Forecast 12.19.05_PCA 9 -  Exhibit D Feb 2010 v2" xfId="3305"/>
    <cellStyle name="_Chelan Debt Forecast 12.19.05_PCA 9 -  Exhibit D Feb 2010 v2 2" xfId="3306"/>
    <cellStyle name="_Chelan Debt Forecast 12.19.05_PCA 9 -  Exhibit D Feb 2010 WF" xfId="3307"/>
    <cellStyle name="_Chelan Debt Forecast 12.19.05_PCA 9 -  Exhibit D Feb 2010 WF 2" xfId="3308"/>
    <cellStyle name="_Chelan Debt Forecast 12.19.05_PCA 9 -  Exhibit D Jan 2010" xfId="3309"/>
    <cellStyle name="_Chelan Debt Forecast 12.19.05_PCA 9 -  Exhibit D Jan 2010 2" xfId="3310"/>
    <cellStyle name="_Chelan Debt Forecast 12.19.05_PCA 9 -  Exhibit D March 2010 (2)" xfId="3311"/>
    <cellStyle name="_Chelan Debt Forecast 12.19.05_PCA 9 -  Exhibit D March 2010 (2) 2" xfId="3312"/>
    <cellStyle name="_Chelan Debt Forecast 12.19.05_PCA 9 -  Exhibit D Nov 2010" xfId="3313"/>
    <cellStyle name="_Chelan Debt Forecast 12.19.05_PCA 9 -  Exhibit D Nov 2010 2" xfId="3314"/>
    <cellStyle name="_Chelan Debt Forecast 12.19.05_PCA 9 - Exhibit D at August 2010" xfId="3315"/>
    <cellStyle name="_Chelan Debt Forecast 12.19.05_PCA 9 - Exhibit D at August 2010 2" xfId="3316"/>
    <cellStyle name="_Chelan Debt Forecast 12.19.05_PCA 9 - Exhibit D June 2010 GRC" xfId="3317"/>
    <cellStyle name="_Chelan Debt Forecast 12.19.05_PCA 9 - Exhibit D June 2010 GRC 2" xfId="3318"/>
    <cellStyle name="_Chelan Debt Forecast 12.19.05_Power Costs - Comparison bx Rbtl-Staff-Jt-PC" xfId="3319"/>
    <cellStyle name="_Chelan Debt Forecast 12.19.05_Power Costs - Comparison bx Rbtl-Staff-Jt-PC 2" xfId="3320"/>
    <cellStyle name="_Chelan Debt Forecast 12.19.05_Power Costs - Comparison bx Rbtl-Staff-Jt-PC 2 2" xfId="3321"/>
    <cellStyle name="_Chelan Debt Forecast 12.19.05_Power Costs - Comparison bx Rbtl-Staff-Jt-PC 3" xfId="3322"/>
    <cellStyle name="_Chelan Debt Forecast 12.19.05_Power Costs - Comparison bx Rbtl-Staff-Jt-PC_Adj Bench DR 3 for Initial Briefs (Electric)" xfId="3323"/>
    <cellStyle name="_Chelan Debt Forecast 12.19.05_Power Costs - Comparison bx Rbtl-Staff-Jt-PC_Adj Bench DR 3 for Initial Briefs (Electric) 2" xfId="3324"/>
    <cellStyle name="_Chelan Debt Forecast 12.19.05_Power Costs - Comparison bx Rbtl-Staff-Jt-PC_Adj Bench DR 3 for Initial Briefs (Electric) 2 2" xfId="3325"/>
    <cellStyle name="_Chelan Debt Forecast 12.19.05_Power Costs - Comparison bx Rbtl-Staff-Jt-PC_Adj Bench DR 3 for Initial Briefs (Electric) 3" xfId="3326"/>
    <cellStyle name="_Chelan Debt Forecast 12.19.05_Power Costs - Comparison bx Rbtl-Staff-Jt-PC_Adj Bench DR 3 for Initial Briefs (Electric)_DEM-WP(C) ENERG10C--ctn Mid-C_042010 2010GRC" xfId="3327"/>
    <cellStyle name="_Chelan Debt Forecast 12.19.05_Power Costs - Comparison bx Rbtl-Staff-Jt-PC_DEM-WP(C) ENERG10C--ctn Mid-C_042010 2010GRC" xfId="3328"/>
    <cellStyle name="_Chelan Debt Forecast 12.19.05_Power Costs - Comparison bx Rbtl-Staff-Jt-PC_Electric Rev Req Model (2009 GRC) Rebuttal" xfId="3329"/>
    <cellStyle name="_Chelan Debt Forecast 12.19.05_Power Costs - Comparison bx Rbtl-Staff-Jt-PC_Electric Rev Req Model (2009 GRC) Rebuttal 2" xfId="3330"/>
    <cellStyle name="_Chelan Debt Forecast 12.19.05_Power Costs - Comparison bx Rbtl-Staff-Jt-PC_Electric Rev Req Model (2009 GRC) Rebuttal REmoval of New  WH Solar AdjustMI" xfId="3331"/>
    <cellStyle name="_Chelan Debt Forecast 12.19.05_Power Costs - Comparison bx Rbtl-Staff-Jt-PC_Electric Rev Req Model (2009 GRC) Rebuttal REmoval of New  WH Solar AdjustMI 2" xfId="3332"/>
    <cellStyle name="_Chelan Debt Forecast 12.19.05_Power Costs - Comparison bx Rbtl-Staff-Jt-PC_Electric Rev Req Model (2009 GRC) Rebuttal REmoval of New  WH Solar AdjustMI 2 2" xfId="3333"/>
    <cellStyle name="_Chelan Debt Forecast 12.19.05_Power Costs - Comparison bx Rbtl-Staff-Jt-PC_Electric Rev Req Model (2009 GRC) Rebuttal REmoval of New  WH Solar AdjustMI 3" xfId="3334"/>
    <cellStyle name="_Chelan Debt Forecast 12.19.05_Power Costs - Comparison bx Rbtl-Staff-Jt-PC_Electric Rev Req Model (2009 GRC) Rebuttal REmoval of New  WH Solar AdjustMI_DEM-WP(C) ENERG10C--ctn Mid-C_042010 2010GRC" xfId="3335"/>
    <cellStyle name="_Chelan Debt Forecast 12.19.05_Power Costs - Comparison bx Rbtl-Staff-Jt-PC_Electric Rev Req Model (2009 GRC) Revised 01-18-2010" xfId="3336"/>
    <cellStyle name="_Chelan Debt Forecast 12.19.05_Power Costs - Comparison bx Rbtl-Staff-Jt-PC_Electric Rev Req Model (2009 GRC) Revised 01-18-2010 2" xfId="3337"/>
    <cellStyle name="_Chelan Debt Forecast 12.19.05_Power Costs - Comparison bx Rbtl-Staff-Jt-PC_Electric Rev Req Model (2009 GRC) Revised 01-18-2010 2 2" xfId="3338"/>
    <cellStyle name="_Chelan Debt Forecast 12.19.05_Power Costs - Comparison bx Rbtl-Staff-Jt-PC_Electric Rev Req Model (2009 GRC) Revised 01-18-2010 3" xfId="3339"/>
    <cellStyle name="_Chelan Debt Forecast 12.19.05_Power Costs - Comparison bx Rbtl-Staff-Jt-PC_Electric Rev Req Model (2009 GRC) Revised 01-18-2010_DEM-WP(C) ENERG10C--ctn Mid-C_042010 2010GRC" xfId="3340"/>
    <cellStyle name="_Chelan Debt Forecast 12.19.05_Power Costs - Comparison bx Rbtl-Staff-Jt-PC_Final Order Electric EXHIBIT A-1" xfId="3341"/>
    <cellStyle name="_Chelan Debt Forecast 12.19.05_Power Costs - Comparison bx Rbtl-Staff-Jt-PC_Final Order Electric EXHIBIT A-1 2" xfId="3342"/>
    <cellStyle name="_Chelan Debt Forecast 12.19.05_Production Adj 4.37" xfId="21249"/>
    <cellStyle name="_Chelan Debt Forecast 12.19.05_Purchased Power Adj 4.03" xfId="21250"/>
    <cellStyle name="_Chelan Debt Forecast 12.19.05_Rebuttal Power Costs" xfId="3343"/>
    <cellStyle name="_Chelan Debt Forecast 12.19.05_Rebuttal Power Costs 2" xfId="3344"/>
    <cellStyle name="_Chelan Debt Forecast 12.19.05_Rebuttal Power Costs 2 2" xfId="3345"/>
    <cellStyle name="_Chelan Debt Forecast 12.19.05_Rebuttal Power Costs 3" xfId="3346"/>
    <cellStyle name="_Chelan Debt Forecast 12.19.05_Rebuttal Power Costs_Adj Bench DR 3 for Initial Briefs (Electric)" xfId="3347"/>
    <cellStyle name="_Chelan Debt Forecast 12.19.05_Rebuttal Power Costs_Adj Bench DR 3 for Initial Briefs (Electric) 2" xfId="3348"/>
    <cellStyle name="_Chelan Debt Forecast 12.19.05_Rebuttal Power Costs_Adj Bench DR 3 for Initial Briefs (Electric) 2 2" xfId="3349"/>
    <cellStyle name="_Chelan Debt Forecast 12.19.05_Rebuttal Power Costs_Adj Bench DR 3 for Initial Briefs (Electric) 3" xfId="3350"/>
    <cellStyle name="_Chelan Debt Forecast 12.19.05_Rebuttal Power Costs_Adj Bench DR 3 for Initial Briefs (Electric)_DEM-WP(C) ENERG10C--ctn Mid-C_042010 2010GRC" xfId="3351"/>
    <cellStyle name="_Chelan Debt Forecast 12.19.05_Rebuttal Power Costs_DEM-WP(C) ENERG10C--ctn Mid-C_042010 2010GRC" xfId="3352"/>
    <cellStyle name="_Chelan Debt Forecast 12.19.05_Rebuttal Power Costs_Electric Rev Req Model (2009 GRC) Rebuttal" xfId="3353"/>
    <cellStyle name="_Chelan Debt Forecast 12.19.05_Rebuttal Power Costs_Electric Rev Req Model (2009 GRC) Rebuttal 2" xfId="3354"/>
    <cellStyle name="_Chelan Debt Forecast 12.19.05_Rebuttal Power Costs_Electric Rev Req Model (2009 GRC) Rebuttal REmoval of New  WH Solar AdjustMI" xfId="3355"/>
    <cellStyle name="_Chelan Debt Forecast 12.19.05_Rebuttal Power Costs_Electric Rev Req Model (2009 GRC) Rebuttal REmoval of New  WH Solar AdjustMI 2" xfId="3356"/>
    <cellStyle name="_Chelan Debt Forecast 12.19.05_Rebuttal Power Costs_Electric Rev Req Model (2009 GRC) Rebuttal REmoval of New  WH Solar AdjustMI 2 2" xfId="3357"/>
    <cellStyle name="_Chelan Debt Forecast 12.19.05_Rebuttal Power Costs_Electric Rev Req Model (2009 GRC) Rebuttal REmoval of New  WH Solar AdjustMI 3" xfId="3358"/>
    <cellStyle name="_Chelan Debt Forecast 12.19.05_Rebuttal Power Costs_Electric Rev Req Model (2009 GRC) Rebuttal REmoval of New  WH Solar AdjustMI_DEM-WP(C) ENERG10C--ctn Mid-C_042010 2010GRC" xfId="3359"/>
    <cellStyle name="_Chelan Debt Forecast 12.19.05_Rebuttal Power Costs_Electric Rev Req Model (2009 GRC) Revised 01-18-2010" xfId="3360"/>
    <cellStyle name="_Chelan Debt Forecast 12.19.05_Rebuttal Power Costs_Electric Rev Req Model (2009 GRC) Revised 01-18-2010 2" xfId="3361"/>
    <cellStyle name="_Chelan Debt Forecast 12.19.05_Rebuttal Power Costs_Electric Rev Req Model (2009 GRC) Revised 01-18-2010 2 2" xfId="3362"/>
    <cellStyle name="_Chelan Debt Forecast 12.19.05_Rebuttal Power Costs_Electric Rev Req Model (2009 GRC) Revised 01-18-2010 3" xfId="3363"/>
    <cellStyle name="_Chelan Debt Forecast 12.19.05_Rebuttal Power Costs_Electric Rev Req Model (2009 GRC) Revised 01-18-2010_DEM-WP(C) ENERG10C--ctn Mid-C_042010 2010GRC" xfId="3364"/>
    <cellStyle name="_Chelan Debt Forecast 12.19.05_Rebuttal Power Costs_Final Order Electric EXHIBIT A-1" xfId="3365"/>
    <cellStyle name="_Chelan Debt Forecast 12.19.05_Rebuttal Power Costs_Final Order Electric EXHIBIT A-1 2" xfId="3366"/>
    <cellStyle name="_Chelan Debt Forecast 12.19.05_ROR 5.02" xfId="21251"/>
    <cellStyle name="_Chelan Debt Forecast 12.19.05_Transmission Workbook for May BOD" xfId="3367"/>
    <cellStyle name="_Chelan Debt Forecast 12.19.05_Transmission Workbook for May BOD 2" xfId="3368"/>
    <cellStyle name="_Chelan Debt Forecast 12.19.05_Transmission Workbook for May BOD 2 2" xfId="3369"/>
    <cellStyle name="_Chelan Debt Forecast 12.19.05_Transmission Workbook for May BOD 3" xfId="3370"/>
    <cellStyle name="_Chelan Debt Forecast 12.19.05_Transmission Workbook for May BOD_DEM-WP(C) ENERG10C--ctn Mid-C_042010 2010GRC" xfId="3371"/>
    <cellStyle name="_Chelan Debt Forecast 12.19.05_Wind Integration 10GRC" xfId="3372"/>
    <cellStyle name="_Chelan Debt Forecast 12.19.05_Wind Integration 10GRC 2" xfId="3373"/>
    <cellStyle name="_Chelan Debt Forecast 12.19.05_Wind Integration 10GRC 2 2" xfId="3374"/>
    <cellStyle name="_Chelan Debt Forecast 12.19.05_Wind Integration 10GRC 3" xfId="3375"/>
    <cellStyle name="_Chelan Debt Forecast 12.19.05_Wind Integration 10GRC_DEM-WP(C) ENERG10C--ctn Mid-C_042010 2010GRC" xfId="3376"/>
    <cellStyle name="_x0013__Colstrip 1&amp;2 Annual O&amp;M Budgets" xfId="3377"/>
    <cellStyle name="_x0013__Colstrip 1&amp;2 Annual O&amp;M Budgets 2" xfId="3378"/>
    <cellStyle name="_x0013__Colstrip 1&amp;2 Annual O&amp;M Budgets 3" xfId="3379"/>
    <cellStyle name="_Colstrip FOR - GADS 1990-2009" xfId="3380"/>
    <cellStyle name="_Colstrip FOR - GADS 1990-2009 2" xfId="3381"/>
    <cellStyle name="_Colstrip FOR - GADS 1990-2009 2 2" xfId="3382"/>
    <cellStyle name="_Colstrip FOR - GADS 1990-2009 2 3" xfId="3383"/>
    <cellStyle name="_Colstrip FOR - GADS 1990-2009 3" xfId="3384"/>
    <cellStyle name="_Colstrip FOR - GADS 1990-2009 3 2" xfId="3385"/>
    <cellStyle name="_Colstrip FOR - GADS 1990-2009 4" xfId="3386"/>
    <cellStyle name="_Colstrip FOR - GADS 1990-2009 4 2" xfId="3387"/>
    <cellStyle name="_Colstrip FOR - GADS 1990-2009 5" xfId="3388"/>
    <cellStyle name="_Colstrip FOR - GADS 1990-2009 5 2" xfId="3389"/>
    <cellStyle name="_Colstrip FOR - GADS 1990-2009 6" xfId="3390"/>
    <cellStyle name="_Colstrip FOR - GADS 1990-2009 6 2" xfId="3391"/>
    <cellStyle name="_compare wind integration" xfId="3392"/>
    <cellStyle name="_x0013__Confidential Material" xfId="3393"/>
    <cellStyle name="_x0013__Confidential Material 2" xfId="3394"/>
    <cellStyle name="_Copy 11-9 Sumas Proforma - Current" xfId="3395"/>
    <cellStyle name="_Costs not in AURORA 06GRC" xfId="3396"/>
    <cellStyle name="_Costs not in AURORA 06GRC 2" xfId="3397"/>
    <cellStyle name="_Costs not in AURORA 06GRC 2 2" xfId="3398"/>
    <cellStyle name="_Costs not in AURORA 06GRC 2 2 2" xfId="3399"/>
    <cellStyle name="_Costs not in AURORA 06GRC 2 3" xfId="3400"/>
    <cellStyle name="_Costs not in AURORA 06GRC 3" xfId="3401"/>
    <cellStyle name="_Costs not in AURORA 06GRC 3 2" xfId="3402"/>
    <cellStyle name="_Costs not in AURORA 06GRC 4" xfId="3403"/>
    <cellStyle name="_Costs not in AURORA 06GRC 4 2" xfId="3404"/>
    <cellStyle name="_Costs not in AURORA 06GRC 4 3" xfId="3405"/>
    <cellStyle name="_Costs not in AURORA 06GRC 5" xfId="3406"/>
    <cellStyle name="_Costs not in AURORA 06GRC 5 2" xfId="3407"/>
    <cellStyle name="_Costs not in AURORA 06GRC 6" xfId="3408"/>
    <cellStyle name="_Costs not in AURORA 06GRC 6 2" xfId="3409"/>
    <cellStyle name="_Costs not in AURORA 06GRC 7" xfId="3410"/>
    <cellStyle name="_Costs not in AURORA 06GRC 7 2" xfId="3411"/>
    <cellStyle name="_Costs not in AURORA 06GRC_04 07E Wild Horse Wind Expansion (C) (2)" xfId="3412"/>
    <cellStyle name="_Costs not in AURORA 06GRC_04 07E Wild Horse Wind Expansion (C) (2) 2" xfId="3413"/>
    <cellStyle name="_Costs not in AURORA 06GRC_04 07E Wild Horse Wind Expansion (C) (2) 2 2" xfId="3414"/>
    <cellStyle name="_Costs not in AURORA 06GRC_04 07E Wild Horse Wind Expansion (C) (2) 3" xfId="3415"/>
    <cellStyle name="_Costs not in AURORA 06GRC_04 07E Wild Horse Wind Expansion (C) (2)_Adj Bench DR 3 for Initial Briefs (Electric)" xfId="3416"/>
    <cellStyle name="_Costs not in AURORA 06GRC_04 07E Wild Horse Wind Expansion (C) (2)_Adj Bench DR 3 for Initial Briefs (Electric) 2" xfId="3417"/>
    <cellStyle name="_Costs not in AURORA 06GRC_04 07E Wild Horse Wind Expansion (C) (2)_Adj Bench DR 3 for Initial Briefs (Electric) 2 2" xfId="3418"/>
    <cellStyle name="_Costs not in AURORA 06GRC_04 07E Wild Horse Wind Expansion (C) (2)_Adj Bench DR 3 for Initial Briefs (Electric) 3" xfId="3419"/>
    <cellStyle name="_Costs not in AURORA 06GRC_04 07E Wild Horse Wind Expansion (C) (2)_Adj Bench DR 3 for Initial Briefs (Electric)_DEM-WP(C) ENERG10C--ctn Mid-C_042010 2010GRC" xfId="3420"/>
    <cellStyle name="_Costs not in AURORA 06GRC_04 07E Wild Horse Wind Expansion (C) (2)_Book1" xfId="3421"/>
    <cellStyle name="_Costs not in AURORA 06GRC_04 07E Wild Horse Wind Expansion (C) (2)_DEM-WP(C) ENERG10C--ctn Mid-C_042010 2010GRC" xfId="3422"/>
    <cellStyle name="_Costs not in AURORA 06GRC_04 07E Wild Horse Wind Expansion (C) (2)_Electric Rev Req Model (2009 GRC) " xfId="3423"/>
    <cellStyle name="_Costs not in AURORA 06GRC_04 07E Wild Horse Wind Expansion (C) (2)_Electric Rev Req Model (2009 GRC)  2" xfId="3424"/>
    <cellStyle name="_Costs not in AURORA 06GRC_04 07E Wild Horse Wind Expansion (C) (2)_Electric Rev Req Model (2009 GRC)  2 2" xfId="3425"/>
    <cellStyle name="_Costs not in AURORA 06GRC_04 07E Wild Horse Wind Expansion (C) (2)_Electric Rev Req Model (2009 GRC)  3" xfId="3426"/>
    <cellStyle name="_Costs not in AURORA 06GRC_04 07E Wild Horse Wind Expansion (C) (2)_Electric Rev Req Model (2009 GRC) _DEM-WP(C) ENERG10C--ctn Mid-C_042010 2010GRC" xfId="3427"/>
    <cellStyle name="_Costs not in AURORA 06GRC_04 07E Wild Horse Wind Expansion (C) (2)_Electric Rev Req Model (2009 GRC) Rebuttal" xfId="3428"/>
    <cellStyle name="_Costs not in AURORA 06GRC_04 07E Wild Horse Wind Expansion (C) (2)_Electric Rev Req Model (2009 GRC) Rebuttal 2" xfId="3429"/>
    <cellStyle name="_Costs not in AURORA 06GRC_04 07E Wild Horse Wind Expansion (C) (2)_Electric Rev Req Model (2009 GRC) Rebuttal REmoval of New  WH Solar AdjustMI" xfId="3430"/>
    <cellStyle name="_Costs not in AURORA 06GRC_04 07E Wild Horse Wind Expansion (C) (2)_Electric Rev Req Model (2009 GRC) Rebuttal REmoval of New  WH Solar AdjustMI 2" xfId="3431"/>
    <cellStyle name="_Costs not in AURORA 06GRC_04 07E Wild Horse Wind Expansion (C) (2)_Electric Rev Req Model (2009 GRC) Rebuttal REmoval of New  WH Solar AdjustMI 2 2" xfId="3432"/>
    <cellStyle name="_Costs not in AURORA 06GRC_04 07E Wild Horse Wind Expansion (C) (2)_Electric Rev Req Model (2009 GRC) Rebuttal REmoval of New  WH Solar AdjustMI 3" xfId="3433"/>
    <cellStyle name="_Costs not in AURORA 06GRC_04 07E Wild Horse Wind Expansion (C) (2)_Electric Rev Req Model (2009 GRC) Rebuttal REmoval of New  WH Solar AdjustMI_DEM-WP(C) ENERG10C--ctn Mid-C_042010 2010GRC" xfId="3434"/>
    <cellStyle name="_Costs not in AURORA 06GRC_04 07E Wild Horse Wind Expansion (C) (2)_Electric Rev Req Model (2009 GRC) Revised 01-18-2010" xfId="3435"/>
    <cellStyle name="_Costs not in AURORA 06GRC_04 07E Wild Horse Wind Expansion (C) (2)_Electric Rev Req Model (2009 GRC) Revised 01-18-2010 2" xfId="3436"/>
    <cellStyle name="_Costs not in AURORA 06GRC_04 07E Wild Horse Wind Expansion (C) (2)_Electric Rev Req Model (2009 GRC) Revised 01-18-2010 2 2" xfId="3437"/>
    <cellStyle name="_Costs not in AURORA 06GRC_04 07E Wild Horse Wind Expansion (C) (2)_Electric Rev Req Model (2009 GRC) Revised 01-18-2010 3" xfId="3438"/>
    <cellStyle name="_Costs not in AURORA 06GRC_04 07E Wild Horse Wind Expansion (C) (2)_Electric Rev Req Model (2009 GRC) Revised 01-18-2010_DEM-WP(C) ENERG10C--ctn Mid-C_042010 2010GRC" xfId="3439"/>
    <cellStyle name="_Costs not in AURORA 06GRC_04 07E Wild Horse Wind Expansion (C) (2)_Electric Rev Req Model (2010 GRC)" xfId="3440"/>
    <cellStyle name="_Costs not in AURORA 06GRC_04 07E Wild Horse Wind Expansion (C) (2)_Electric Rev Req Model (2010 GRC) SF" xfId="3441"/>
    <cellStyle name="_Costs not in AURORA 06GRC_04 07E Wild Horse Wind Expansion (C) (2)_Final Order Electric EXHIBIT A-1" xfId="3442"/>
    <cellStyle name="_Costs not in AURORA 06GRC_04 07E Wild Horse Wind Expansion (C) (2)_Final Order Electric EXHIBIT A-1 2" xfId="3443"/>
    <cellStyle name="_Costs not in AURORA 06GRC_04 07E Wild Horse Wind Expansion (C) (2)_TENASKA REGULATORY ASSET" xfId="3444"/>
    <cellStyle name="_Costs not in AURORA 06GRC_04 07E Wild Horse Wind Expansion (C) (2)_TENASKA REGULATORY ASSET 2" xfId="3445"/>
    <cellStyle name="_Costs not in AURORA 06GRC_16.37E Wild Horse Expansion DeferralRevwrkingfile SF" xfId="3446"/>
    <cellStyle name="_Costs not in AURORA 06GRC_16.37E Wild Horse Expansion DeferralRevwrkingfile SF 2" xfId="3447"/>
    <cellStyle name="_Costs not in AURORA 06GRC_16.37E Wild Horse Expansion DeferralRevwrkingfile SF 2 2" xfId="3448"/>
    <cellStyle name="_Costs not in AURORA 06GRC_16.37E Wild Horse Expansion DeferralRevwrkingfile SF 3" xfId="3449"/>
    <cellStyle name="_Costs not in AURORA 06GRC_16.37E Wild Horse Expansion DeferralRevwrkingfile SF_DEM-WP(C) ENERG10C--ctn Mid-C_042010 2010GRC" xfId="3450"/>
    <cellStyle name="_Costs not in AURORA 06GRC_2009 Compliance Filing PCA Exhibits for GRC" xfId="3451"/>
    <cellStyle name="_Costs not in AURORA 06GRC_2009 Compliance Filing PCA Exhibits for GRC 2" xfId="3452"/>
    <cellStyle name="_Costs not in AURORA 06GRC_2009 GRC Compl Filing - Exhibit D" xfId="3453"/>
    <cellStyle name="_Costs not in AURORA 06GRC_2009 GRC Compl Filing - Exhibit D 2" xfId="3454"/>
    <cellStyle name="_Costs not in AURORA 06GRC_2009 GRC Compl Filing - Exhibit D 2 2" xfId="3455"/>
    <cellStyle name="_Costs not in AURORA 06GRC_2009 GRC Compl Filing - Exhibit D 3" xfId="3456"/>
    <cellStyle name="_Costs not in AURORA 06GRC_2009 GRC Compl Filing - Exhibit D_DEM-WP(C) ENERG10C--ctn Mid-C_042010 2010GRC" xfId="3457"/>
    <cellStyle name="_Costs not in AURORA 06GRC_3.01 Income Statement" xfId="3458"/>
    <cellStyle name="_Costs not in AURORA 06GRC_4 31 Regulatory Assets and Liabilities  7 06- Exhibit D" xfId="3459"/>
    <cellStyle name="_Costs not in AURORA 06GRC_4 31 Regulatory Assets and Liabilities  7 06- Exhibit D 2" xfId="3460"/>
    <cellStyle name="_Costs not in AURORA 06GRC_4 31 Regulatory Assets and Liabilities  7 06- Exhibit D 2 2" xfId="3461"/>
    <cellStyle name="_Costs not in AURORA 06GRC_4 31 Regulatory Assets and Liabilities  7 06- Exhibit D 3" xfId="3462"/>
    <cellStyle name="_Costs not in AURORA 06GRC_4 31 Regulatory Assets and Liabilities  7 06- Exhibit D_DEM-WP(C) ENERG10C--ctn Mid-C_042010 2010GRC" xfId="3463"/>
    <cellStyle name="_Costs not in AURORA 06GRC_4 31 Regulatory Assets and Liabilities  7 06- Exhibit D_NIM Summary" xfId="3464"/>
    <cellStyle name="_Costs not in AURORA 06GRC_4 31 Regulatory Assets and Liabilities  7 06- Exhibit D_NIM Summary 2" xfId="3465"/>
    <cellStyle name="_Costs not in AURORA 06GRC_4 31 Regulatory Assets and Liabilities  7 06- Exhibit D_NIM Summary 2 2" xfId="3466"/>
    <cellStyle name="_Costs not in AURORA 06GRC_4 31 Regulatory Assets and Liabilities  7 06- Exhibit D_NIM Summary 3" xfId="3467"/>
    <cellStyle name="_Costs not in AURORA 06GRC_4 31 Regulatory Assets and Liabilities  7 06- Exhibit D_NIM Summary_DEM-WP(C) ENERG10C--ctn Mid-C_042010 2010GRC" xfId="3468"/>
    <cellStyle name="_Costs not in AURORA 06GRC_4 31E Reg Asset  Liab and EXH D" xfId="3469"/>
    <cellStyle name="_Costs not in AURORA 06GRC_4 31E Reg Asset  Liab and EXH D _ Aug 10 Filing (2)" xfId="3470"/>
    <cellStyle name="_Costs not in AURORA 06GRC_4 31E Reg Asset  Liab and EXH D _ Aug 10 Filing (2) 2" xfId="3471"/>
    <cellStyle name="_Costs not in AURORA 06GRC_4 31E Reg Asset  Liab and EXH D 2" xfId="3472"/>
    <cellStyle name="_Costs not in AURORA 06GRC_4 31E Reg Asset  Liab and EXH D 3" xfId="3473"/>
    <cellStyle name="_Costs not in AURORA 06GRC_4 32 Regulatory Assets and Liabilities  7 06- Exhibit D" xfId="3474"/>
    <cellStyle name="_Costs not in AURORA 06GRC_4 32 Regulatory Assets and Liabilities  7 06- Exhibit D 2" xfId="3475"/>
    <cellStyle name="_Costs not in AURORA 06GRC_4 32 Regulatory Assets and Liabilities  7 06- Exhibit D 2 2" xfId="3476"/>
    <cellStyle name="_Costs not in AURORA 06GRC_4 32 Regulatory Assets and Liabilities  7 06- Exhibit D 3" xfId="3477"/>
    <cellStyle name="_Costs not in AURORA 06GRC_4 32 Regulatory Assets and Liabilities  7 06- Exhibit D_DEM-WP(C) ENERG10C--ctn Mid-C_042010 2010GRC" xfId="3478"/>
    <cellStyle name="_Costs not in AURORA 06GRC_4 32 Regulatory Assets and Liabilities  7 06- Exhibit D_NIM Summary" xfId="3479"/>
    <cellStyle name="_Costs not in AURORA 06GRC_4 32 Regulatory Assets and Liabilities  7 06- Exhibit D_NIM Summary 2" xfId="3480"/>
    <cellStyle name="_Costs not in AURORA 06GRC_4 32 Regulatory Assets and Liabilities  7 06- Exhibit D_NIM Summary 2 2" xfId="3481"/>
    <cellStyle name="_Costs not in AURORA 06GRC_4 32 Regulatory Assets and Liabilities  7 06- Exhibit D_NIM Summary 3" xfId="3482"/>
    <cellStyle name="_Costs not in AURORA 06GRC_4 32 Regulatory Assets and Liabilities  7 06- Exhibit D_NIM Summary_DEM-WP(C) ENERG10C--ctn Mid-C_042010 2010GRC" xfId="3483"/>
    <cellStyle name="_Costs not in AURORA 06GRC_AURORA Total New" xfId="3484"/>
    <cellStyle name="_Costs not in AURORA 06GRC_AURORA Total New 2" xfId="3485"/>
    <cellStyle name="_Costs not in AURORA 06GRC_AURORA Total New 2 2" xfId="3486"/>
    <cellStyle name="_Costs not in AURORA 06GRC_AURORA Total New 3" xfId="3487"/>
    <cellStyle name="_Costs not in AURORA 06GRC_Book2" xfId="3488"/>
    <cellStyle name="_Costs not in AURORA 06GRC_Book2 2" xfId="3489"/>
    <cellStyle name="_Costs not in AURORA 06GRC_Book2 2 2" xfId="3490"/>
    <cellStyle name="_Costs not in AURORA 06GRC_Book2 3" xfId="3491"/>
    <cellStyle name="_Costs not in AURORA 06GRC_Book2_Adj Bench DR 3 for Initial Briefs (Electric)" xfId="3492"/>
    <cellStyle name="_Costs not in AURORA 06GRC_Book2_Adj Bench DR 3 for Initial Briefs (Electric) 2" xfId="3493"/>
    <cellStyle name="_Costs not in AURORA 06GRC_Book2_Adj Bench DR 3 for Initial Briefs (Electric) 2 2" xfId="3494"/>
    <cellStyle name="_Costs not in AURORA 06GRC_Book2_Adj Bench DR 3 for Initial Briefs (Electric) 3" xfId="3495"/>
    <cellStyle name="_Costs not in AURORA 06GRC_Book2_Adj Bench DR 3 for Initial Briefs (Electric)_DEM-WP(C) ENERG10C--ctn Mid-C_042010 2010GRC" xfId="3496"/>
    <cellStyle name="_Costs not in AURORA 06GRC_Book2_DEM-WP(C) ENERG10C--ctn Mid-C_042010 2010GRC" xfId="3497"/>
    <cellStyle name="_Costs not in AURORA 06GRC_Book2_Electric Rev Req Model (2009 GRC) Rebuttal" xfId="3498"/>
    <cellStyle name="_Costs not in AURORA 06GRC_Book2_Electric Rev Req Model (2009 GRC) Rebuttal 2" xfId="3499"/>
    <cellStyle name="_Costs not in AURORA 06GRC_Book2_Electric Rev Req Model (2009 GRC) Rebuttal REmoval of New  WH Solar AdjustMI" xfId="3500"/>
    <cellStyle name="_Costs not in AURORA 06GRC_Book2_Electric Rev Req Model (2009 GRC) Rebuttal REmoval of New  WH Solar AdjustMI 2" xfId="3501"/>
    <cellStyle name="_Costs not in AURORA 06GRC_Book2_Electric Rev Req Model (2009 GRC) Rebuttal REmoval of New  WH Solar AdjustMI 2 2" xfId="3502"/>
    <cellStyle name="_Costs not in AURORA 06GRC_Book2_Electric Rev Req Model (2009 GRC) Rebuttal REmoval of New  WH Solar AdjustMI 3" xfId="3503"/>
    <cellStyle name="_Costs not in AURORA 06GRC_Book2_Electric Rev Req Model (2009 GRC) Rebuttal REmoval of New  WH Solar AdjustMI_DEM-WP(C) ENERG10C--ctn Mid-C_042010 2010GRC" xfId="3504"/>
    <cellStyle name="_Costs not in AURORA 06GRC_Book2_Electric Rev Req Model (2009 GRC) Revised 01-18-2010" xfId="3505"/>
    <cellStyle name="_Costs not in AURORA 06GRC_Book2_Electric Rev Req Model (2009 GRC) Revised 01-18-2010 2" xfId="3506"/>
    <cellStyle name="_Costs not in AURORA 06GRC_Book2_Electric Rev Req Model (2009 GRC) Revised 01-18-2010 2 2" xfId="3507"/>
    <cellStyle name="_Costs not in AURORA 06GRC_Book2_Electric Rev Req Model (2009 GRC) Revised 01-18-2010 3" xfId="3508"/>
    <cellStyle name="_Costs not in AURORA 06GRC_Book2_Electric Rev Req Model (2009 GRC) Revised 01-18-2010_DEM-WP(C) ENERG10C--ctn Mid-C_042010 2010GRC" xfId="3509"/>
    <cellStyle name="_Costs not in AURORA 06GRC_Book2_Final Order Electric EXHIBIT A-1" xfId="3510"/>
    <cellStyle name="_Costs not in AURORA 06GRC_Book2_Final Order Electric EXHIBIT A-1 2" xfId="3511"/>
    <cellStyle name="_Costs not in AURORA 06GRC_Book4" xfId="3512"/>
    <cellStyle name="_Costs not in AURORA 06GRC_Book4 2" xfId="3513"/>
    <cellStyle name="_Costs not in AURORA 06GRC_Book4 2 2" xfId="3514"/>
    <cellStyle name="_Costs not in AURORA 06GRC_Book4 3" xfId="3515"/>
    <cellStyle name="_Costs not in AURORA 06GRC_Book4_DEM-WP(C) ENERG10C--ctn Mid-C_042010 2010GRC" xfId="3516"/>
    <cellStyle name="_Costs not in AURORA 06GRC_Book9" xfId="3517"/>
    <cellStyle name="_Costs not in AURORA 06GRC_Book9 2" xfId="3518"/>
    <cellStyle name="_Costs not in AURORA 06GRC_Book9 2 2" xfId="3519"/>
    <cellStyle name="_Costs not in AURORA 06GRC_Book9 3" xfId="3520"/>
    <cellStyle name="_Costs not in AURORA 06GRC_Book9_DEM-WP(C) ENERG10C--ctn Mid-C_042010 2010GRC" xfId="3521"/>
    <cellStyle name="_Costs not in AURORA 06GRC_Check the Interest Calculation" xfId="3522"/>
    <cellStyle name="_Costs not in AURORA 06GRC_Check the Interest Calculation_Scenario 1 REC vs PTC Offset" xfId="3523"/>
    <cellStyle name="_Costs not in AURORA 06GRC_Check the Interest Calculation_Scenario 3" xfId="3524"/>
    <cellStyle name="_Costs not in AURORA 06GRC_Chelan PUD Power Costs (8-10)" xfId="3525"/>
    <cellStyle name="_Costs not in AURORA 06GRC_Chelan PUD Power Costs (8-10) 2" xfId="3526"/>
    <cellStyle name="_Costs not in AURORA 06GRC_DEM-WP(C) Chelan Power Costs" xfId="3527"/>
    <cellStyle name="_Costs not in AURORA 06GRC_DEM-WP(C) Chelan Power Costs 2" xfId="3528"/>
    <cellStyle name="_Costs not in AURORA 06GRC_DEM-WP(C) ENERG10C--ctn Mid-C_042010 2010GRC" xfId="3529"/>
    <cellStyle name="_Costs not in AURORA 06GRC_DEM-WP(C) Gas Transport 2010GRC" xfId="3530"/>
    <cellStyle name="_Costs not in AURORA 06GRC_DEM-WP(C) Gas Transport 2010GRC 2" xfId="3531"/>
    <cellStyle name="_Costs not in AURORA 06GRC_Exh A-1 resulting from UE-112050 effective Jan 1 2012" xfId="3532"/>
    <cellStyle name="_Costs not in AURORA 06GRC_Exh G - Klamath Peaker PPA fr C Locke 2-12" xfId="3533"/>
    <cellStyle name="_Costs not in AURORA 06GRC_Exhibit A-1 effective 4-1-11 fr S Free 12-11" xfId="3534"/>
    <cellStyle name="_Costs not in AURORA 06GRC_Exhibit D fr R Gho 12-31-08" xfId="3535"/>
    <cellStyle name="_Costs not in AURORA 06GRC_Exhibit D fr R Gho 12-31-08 2" xfId="3536"/>
    <cellStyle name="_Costs not in AURORA 06GRC_Exhibit D fr R Gho 12-31-08 2 2" xfId="3537"/>
    <cellStyle name="_Costs not in AURORA 06GRC_Exhibit D fr R Gho 12-31-08 3" xfId="3538"/>
    <cellStyle name="_Costs not in AURORA 06GRC_Exhibit D fr R Gho 12-31-08 v2" xfId="3539"/>
    <cellStyle name="_Costs not in AURORA 06GRC_Exhibit D fr R Gho 12-31-08 v2 2" xfId="3540"/>
    <cellStyle name="_Costs not in AURORA 06GRC_Exhibit D fr R Gho 12-31-08 v2 2 2" xfId="3541"/>
    <cellStyle name="_Costs not in AURORA 06GRC_Exhibit D fr R Gho 12-31-08 v2 3" xfId="3542"/>
    <cellStyle name="_Costs not in AURORA 06GRC_Exhibit D fr R Gho 12-31-08 v2_DEM-WP(C) ENERG10C--ctn Mid-C_042010 2010GRC" xfId="3543"/>
    <cellStyle name="_Costs not in AURORA 06GRC_Exhibit D fr R Gho 12-31-08 v2_NIM Summary" xfId="3544"/>
    <cellStyle name="_Costs not in AURORA 06GRC_Exhibit D fr R Gho 12-31-08 v2_NIM Summary 2" xfId="3545"/>
    <cellStyle name="_Costs not in AURORA 06GRC_Exhibit D fr R Gho 12-31-08 v2_NIM Summary 2 2" xfId="3546"/>
    <cellStyle name="_Costs not in AURORA 06GRC_Exhibit D fr R Gho 12-31-08 v2_NIM Summary 3" xfId="3547"/>
    <cellStyle name="_Costs not in AURORA 06GRC_Exhibit D fr R Gho 12-31-08 v2_NIM Summary_DEM-WP(C) ENERG10C--ctn Mid-C_042010 2010GRC" xfId="3548"/>
    <cellStyle name="_Costs not in AURORA 06GRC_Exhibit D fr R Gho 12-31-08_DEM-WP(C) ENERG10C--ctn Mid-C_042010 2010GRC" xfId="3549"/>
    <cellStyle name="_Costs not in AURORA 06GRC_Exhibit D fr R Gho 12-31-08_NIM Summary" xfId="3550"/>
    <cellStyle name="_Costs not in AURORA 06GRC_Exhibit D fr R Gho 12-31-08_NIM Summary 2" xfId="3551"/>
    <cellStyle name="_Costs not in AURORA 06GRC_Exhibit D fr R Gho 12-31-08_NIM Summary 2 2" xfId="3552"/>
    <cellStyle name="_Costs not in AURORA 06GRC_Exhibit D fr R Gho 12-31-08_NIM Summary 3" xfId="3553"/>
    <cellStyle name="_Costs not in AURORA 06GRC_Exhibit D fr R Gho 12-31-08_NIM Summary_DEM-WP(C) ENERG10C--ctn Mid-C_042010 2010GRC" xfId="3554"/>
    <cellStyle name="_Costs not in AURORA 06GRC_Hopkins Ridge Prepaid Tran - Interest Earned RY 12ME Feb  '11" xfId="3555"/>
    <cellStyle name="_Costs not in AURORA 06GRC_Hopkins Ridge Prepaid Tran - Interest Earned RY 12ME Feb  '11 2" xfId="3556"/>
    <cellStyle name="_Costs not in AURORA 06GRC_Hopkins Ridge Prepaid Tran - Interest Earned RY 12ME Feb  '11 2 2" xfId="3557"/>
    <cellStyle name="_Costs not in AURORA 06GRC_Hopkins Ridge Prepaid Tran - Interest Earned RY 12ME Feb  '11 3" xfId="3558"/>
    <cellStyle name="_Costs not in AURORA 06GRC_Hopkins Ridge Prepaid Tran - Interest Earned RY 12ME Feb  '11_DEM-WP(C) ENERG10C--ctn Mid-C_042010 2010GRC" xfId="3559"/>
    <cellStyle name="_Costs not in AURORA 06GRC_Hopkins Ridge Prepaid Tran - Interest Earned RY 12ME Feb  '11_NIM Summary" xfId="3560"/>
    <cellStyle name="_Costs not in AURORA 06GRC_Hopkins Ridge Prepaid Tran - Interest Earned RY 12ME Feb  '11_NIM Summary 2" xfId="3561"/>
    <cellStyle name="_Costs not in AURORA 06GRC_Hopkins Ridge Prepaid Tran - Interest Earned RY 12ME Feb  '11_NIM Summary 2 2" xfId="3562"/>
    <cellStyle name="_Costs not in AURORA 06GRC_Hopkins Ridge Prepaid Tran - Interest Earned RY 12ME Feb  '11_NIM Summary 3" xfId="3563"/>
    <cellStyle name="_Costs not in AURORA 06GRC_Hopkins Ridge Prepaid Tran - Interest Earned RY 12ME Feb  '11_NIM Summary_DEM-WP(C) ENERG10C--ctn Mid-C_042010 2010GRC" xfId="3564"/>
    <cellStyle name="_Costs not in AURORA 06GRC_Hopkins Ridge Prepaid Tran - Interest Earned RY 12ME Feb  '11_Transmission Workbook for May BOD" xfId="3565"/>
    <cellStyle name="_Costs not in AURORA 06GRC_Hopkins Ridge Prepaid Tran - Interest Earned RY 12ME Feb  '11_Transmission Workbook for May BOD 2" xfId="3566"/>
    <cellStyle name="_Costs not in AURORA 06GRC_Hopkins Ridge Prepaid Tran - Interest Earned RY 12ME Feb  '11_Transmission Workbook for May BOD 2 2" xfId="3567"/>
    <cellStyle name="_Costs not in AURORA 06GRC_Hopkins Ridge Prepaid Tran - Interest Earned RY 12ME Feb  '11_Transmission Workbook for May BOD 3" xfId="3568"/>
    <cellStyle name="_Costs not in AURORA 06GRC_Hopkins Ridge Prepaid Tran - Interest Earned RY 12ME Feb  '11_Transmission Workbook for May BOD_DEM-WP(C) ENERG10C--ctn Mid-C_042010 2010GRC" xfId="3569"/>
    <cellStyle name="_Costs not in AURORA 06GRC_Mint Farm Generation BPA" xfId="3570"/>
    <cellStyle name="_Costs not in AURORA 06GRC_NIM Summary" xfId="3571"/>
    <cellStyle name="_Costs not in AURORA 06GRC_NIM Summary 09GRC" xfId="3572"/>
    <cellStyle name="_Costs not in AURORA 06GRC_NIM Summary 09GRC 2" xfId="3573"/>
    <cellStyle name="_Costs not in AURORA 06GRC_NIM Summary 09GRC 2 2" xfId="3574"/>
    <cellStyle name="_Costs not in AURORA 06GRC_NIM Summary 09GRC 3" xfId="3575"/>
    <cellStyle name="_Costs not in AURORA 06GRC_NIM Summary 09GRC_DEM-WP(C) ENERG10C--ctn Mid-C_042010 2010GRC" xfId="3576"/>
    <cellStyle name="_Costs not in AURORA 06GRC_NIM Summary 10" xfId="3577"/>
    <cellStyle name="_Costs not in AURORA 06GRC_NIM Summary 11" xfId="3578"/>
    <cellStyle name="_Costs not in AURORA 06GRC_NIM Summary 12" xfId="3579"/>
    <cellStyle name="_Costs not in AURORA 06GRC_NIM Summary 13" xfId="3580"/>
    <cellStyle name="_Costs not in AURORA 06GRC_NIM Summary 14" xfId="3581"/>
    <cellStyle name="_Costs not in AURORA 06GRC_NIM Summary 15" xfId="3582"/>
    <cellStyle name="_Costs not in AURORA 06GRC_NIM Summary 16" xfId="3583"/>
    <cellStyle name="_Costs not in AURORA 06GRC_NIM Summary 17" xfId="3584"/>
    <cellStyle name="_Costs not in AURORA 06GRC_NIM Summary 18" xfId="3585"/>
    <cellStyle name="_Costs not in AURORA 06GRC_NIM Summary 19" xfId="3586"/>
    <cellStyle name="_Costs not in AURORA 06GRC_NIM Summary 2" xfId="3587"/>
    <cellStyle name="_Costs not in AURORA 06GRC_NIM Summary 2 2" xfId="3588"/>
    <cellStyle name="_Costs not in AURORA 06GRC_NIM Summary 20" xfId="3589"/>
    <cellStyle name="_Costs not in AURORA 06GRC_NIM Summary 21" xfId="3590"/>
    <cellStyle name="_Costs not in AURORA 06GRC_NIM Summary 22" xfId="3591"/>
    <cellStyle name="_Costs not in AURORA 06GRC_NIM Summary 23" xfId="3592"/>
    <cellStyle name="_Costs not in AURORA 06GRC_NIM Summary 24" xfId="3593"/>
    <cellStyle name="_Costs not in AURORA 06GRC_NIM Summary 25" xfId="3594"/>
    <cellStyle name="_Costs not in AURORA 06GRC_NIM Summary 26" xfId="3595"/>
    <cellStyle name="_Costs not in AURORA 06GRC_NIM Summary 27" xfId="3596"/>
    <cellStyle name="_Costs not in AURORA 06GRC_NIM Summary 28" xfId="3597"/>
    <cellStyle name="_Costs not in AURORA 06GRC_NIM Summary 29" xfId="3598"/>
    <cellStyle name="_Costs not in AURORA 06GRC_NIM Summary 3" xfId="3599"/>
    <cellStyle name="_Costs not in AURORA 06GRC_NIM Summary 30" xfId="3600"/>
    <cellStyle name="_Costs not in AURORA 06GRC_NIM Summary 31" xfId="3601"/>
    <cellStyle name="_Costs not in AURORA 06GRC_NIM Summary 32" xfId="3602"/>
    <cellStyle name="_Costs not in AURORA 06GRC_NIM Summary 33" xfId="3603"/>
    <cellStyle name="_Costs not in AURORA 06GRC_NIM Summary 34" xfId="3604"/>
    <cellStyle name="_Costs not in AURORA 06GRC_NIM Summary 35" xfId="3605"/>
    <cellStyle name="_Costs not in AURORA 06GRC_NIM Summary 36" xfId="3606"/>
    <cellStyle name="_Costs not in AURORA 06GRC_NIM Summary 37" xfId="3607"/>
    <cellStyle name="_Costs not in AURORA 06GRC_NIM Summary 38" xfId="3608"/>
    <cellStyle name="_Costs not in AURORA 06GRC_NIM Summary 39" xfId="3609"/>
    <cellStyle name="_Costs not in AURORA 06GRC_NIM Summary 4" xfId="3610"/>
    <cellStyle name="_Costs not in AURORA 06GRC_NIM Summary 40" xfId="3611"/>
    <cellStyle name="_Costs not in AURORA 06GRC_NIM Summary 41" xfId="3612"/>
    <cellStyle name="_Costs not in AURORA 06GRC_NIM Summary 42" xfId="3613"/>
    <cellStyle name="_Costs not in AURORA 06GRC_NIM Summary 43" xfId="3614"/>
    <cellStyle name="_Costs not in AURORA 06GRC_NIM Summary 44" xfId="3615"/>
    <cellStyle name="_Costs not in AURORA 06GRC_NIM Summary 45" xfId="3616"/>
    <cellStyle name="_Costs not in AURORA 06GRC_NIM Summary 46" xfId="3617"/>
    <cellStyle name="_Costs not in AURORA 06GRC_NIM Summary 47" xfId="3618"/>
    <cellStyle name="_Costs not in AURORA 06GRC_NIM Summary 48" xfId="3619"/>
    <cellStyle name="_Costs not in AURORA 06GRC_NIM Summary 49" xfId="3620"/>
    <cellStyle name="_Costs not in AURORA 06GRC_NIM Summary 5" xfId="3621"/>
    <cellStyle name="_Costs not in AURORA 06GRC_NIM Summary 50" xfId="3622"/>
    <cellStyle name="_Costs not in AURORA 06GRC_NIM Summary 51" xfId="3623"/>
    <cellStyle name="_Costs not in AURORA 06GRC_NIM Summary 52" xfId="3624"/>
    <cellStyle name="_Costs not in AURORA 06GRC_NIM Summary 6" xfId="3625"/>
    <cellStyle name="_Costs not in AURORA 06GRC_NIM Summary 7" xfId="3626"/>
    <cellStyle name="_Costs not in AURORA 06GRC_NIM Summary 8" xfId="3627"/>
    <cellStyle name="_Costs not in AURORA 06GRC_NIM Summary 9" xfId="3628"/>
    <cellStyle name="_Costs not in AURORA 06GRC_NIM Summary_DEM-WP(C) ENERG10C--ctn Mid-C_042010 2010GRC" xfId="3629"/>
    <cellStyle name="_Costs not in AURORA 06GRC_PCA 10 -  Exhibit D Dec 2011" xfId="3630"/>
    <cellStyle name="_Costs not in AURORA 06GRC_PCA 10 -  Exhibit D from A Kellogg Jan 2011" xfId="3631"/>
    <cellStyle name="_Costs not in AURORA 06GRC_PCA 10 -  Exhibit D from A Kellogg July 2011" xfId="3632"/>
    <cellStyle name="_Costs not in AURORA 06GRC_PCA 10 -  Exhibit D from S Free Rcv'd 12-11" xfId="3633"/>
    <cellStyle name="_Costs not in AURORA 06GRC_PCA 11 -  Exhibit D Jan 2012 fr A Kellogg" xfId="3634"/>
    <cellStyle name="_Costs not in AURORA 06GRC_PCA 11 -  Exhibit D Jan 2012 WF" xfId="3635"/>
    <cellStyle name="_Costs not in AURORA 06GRC_PCA 7 - Exhibit D update 11_30_08 (2)" xfId="3636"/>
    <cellStyle name="_Costs not in AURORA 06GRC_PCA 7 - Exhibit D update 11_30_08 (2) 2" xfId="3637"/>
    <cellStyle name="_Costs not in AURORA 06GRC_PCA 7 - Exhibit D update 11_30_08 (2) 2 2" xfId="3638"/>
    <cellStyle name="_Costs not in AURORA 06GRC_PCA 7 - Exhibit D update 11_30_08 (2) 2 2 2" xfId="3639"/>
    <cellStyle name="_Costs not in AURORA 06GRC_PCA 7 - Exhibit D update 11_30_08 (2) 2 3" xfId="3640"/>
    <cellStyle name="_Costs not in AURORA 06GRC_PCA 7 - Exhibit D update 11_30_08 (2) 3" xfId="3641"/>
    <cellStyle name="_Costs not in AURORA 06GRC_PCA 7 - Exhibit D update 11_30_08 (2) 3 2" xfId="3642"/>
    <cellStyle name="_Costs not in AURORA 06GRC_PCA 7 - Exhibit D update 11_30_08 (2) 4" xfId="3643"/>
    <cellStyle name="_Costs not in AURORA 06GRC_PCA 7 - Exhibit D update 11_30_08 (2)_DEM-WP(C) ENERG10C--ctn Mid-C_042010 2010GRC" xfId="3644"/>
    <cellStyle name="_Costs not in AURORA 06GRC_PCA 7 - Exhibit D update 11_30_08 (2)_NIM Summary" xfId="3645"/>
    <cellStyle name="_Costs not in AURORA 06GRC_PCA 7 - Exhibit D update 11_30_08 (2)_NIM Summary 2" xfId="3646"/>
    <cellStyle name="_Costs not in AURORA 06GRC_PCA 7 - Exhibit D update 11_30_08 (2)_NIM Summary 2 2" xfId="3647"/>
    <cellStyle name="_Costs not in AURORA 06GRC_PCA 7 - Exhibit D update 11_30_08 (2)_NIM Summary 3" xfId="3648"/>
    <cellStyle name="_Costs not in AURORA 06GRC_PCA 7 - Exhibit D update 11_30_08 (2)_NIM Summary_DEM-WP(C) ENERG10C--ctn Mid-C_042010 2010GRC" xfId="3649"/>
    <cellStyle name="_Costs not in AURORA 06GRC_PCA 8 - Exhibit D update 12_31_09" xfId="3650"/>
    <cellStyle name="_Costs not in AURORA 06GRC_PCA 8 - Exhibit D update 12_31_09 2" xfId="3651"/>
    <cellStyle name="_Costs not in AURORA 06GRC_PCA 9 -  Exhibit D April 2010" xfId="3652"/>
    <cellStyle name="_Costs not in AURORA 06GRC_PCA 9 -  Exhibit D April 2010 (3)" xfId="3653"/>
    <cellStyle name="_Costs not in AURORA 06GRC_PCA 9 -  Exhibit D April 2010 (3) 2" xfId="3654"/>
    <cellStyle name="_Costs not in AURORA 06GRC_PCA 9 -  Exhibit D April 2010 (3) 2 2" xfId="3655"/>
    <cellStyle name="_Costs not in AURORA 06GRC_PCA 9 -  Exhibit D April 2010 (3) 3" xfId="3656"/>
    <cellStyle name="_Costs not in AURORA 06GRC_PCA 9 -  Exhibit D April 2010 (3)_DEM-WP(C) ENERG10C--ctn Mid-C_042010 2010GRC" xfId="3657"/>
    <cellStyle name="_Costs not in AURORA 06GRC_PCA 9 -  Exhibit D April 2010 2" xfId="3658"/>
    <cellStyle name="_Costs not in AURORA 06GRC_PCA 9 -  Exhibit D April 2010 3" xfId="3659"/>
    <cellStyle name="_Costs not in AURORA 06GRC_PCA 9 -  Exhibit D April 2010 4" xfId="3660"/>
    <cellStyle name="_Costs not in AURORA 06GRC_PCA 9 -  Exhibit D April 2010 5" xfId="3661"/>
    <cellStyle name="_Costs not in AURORA 06GRC_PCA 9 -  Exhibit D April 2010 6" xfId="3662"/>
    <cellStyle name="_Costs not in AURORA 06GRC_PCA 9 -  Exhibit D Feb 2010" xfId="3663"/>
    <cellStyle name="_Costs not in AURORA 06GRC_PCA 9 -  Exhibit D Feb 2010 2" xfId="3664"/>
    <cellStyle name="_Costs not in AURORA 06GRC_PCA 9 -  Exhibit D Feb 2010 v2" xfId="3665"/>
    <cellStyle name="_Costs not in AURORA 06GRC_PCA 9 -  Exhibit D Feb 2010 v2 2" xfId="3666"/>
    <cellStyle name="_Costs not in AURORA 06GRC_PCA 9 -  Exhibit D Feb 2010 WF" xfId="3667"/>
    <cellStyle name="_Costs not in AURORA 06GRC_PCA 9 -  Exhibit D Feb 2010 WF 2" xfId="3668"/>
    <cellStyle name="_Costs not in AURORA 06GRC_PCA 9 -  Exhibit D Jan 2010" xfId="3669"/>
    <cellStyle name="_Costs not in AURORA 06GRC_PCA 9 -  Exhibit D Jan 2010 2" xfId="3670"/>
    <cellStyle name="_Costs not in AURORA 06GRC_PCA 9 -  Exhibit D March 2010 (2)" xfId="3671"/>
    <cellStyle name="_Costs not in AURORA 06GRC_PCA 9 -  Exhibit D March 2010 (2) 2" xfId="3672"/>
    <cellStyle name="_Costs not in AURORA 06GRC_PCA 9 -  Exhibit D Nov 2010" xfId="3673"/>
    <cellStyle name="_Costs not in AURORA 06GRC_PCA 9 -  Exhibit D Nov 2010 2" xfId="3674"/>
    <cellStyle name="_Costs not in AURORA 06GRC_PCA 9 - Exhibit D at August 2010" xfId="3675"/>
    <cellStyle name="_Costs not in AURORA 06GRC_PCA 9 - Exhibit D at August 2010 2" xfId="3676"/>
    <cellStyle name="_Costs not in AURORA 06GRC_PCA 9 - Exhibit D June 2010 GRC" xfId="3677"/>
    <cellStyle name="_Costs not in AURORA 06GRC_PCA 9 - Exhibit D June 2010 GRC 2" xfId="3678"/>
    <cellStyle name="_Costs not in AURORA 06GRC_Power Costs - Comparison bx Rbtl-Staff-Jt-PC" xfId="3679"/>
    <cellStyle name="_Costs not in AURORA 06GRC_Power Costs - Comparison bx Rbtl-Staff-Jt-PC 2" xfId="3680"/>
    <cellStyle name="_Costs not in AURORA 06GRC_Power Costs - Comparison bx Rbtl-Staff-Jt-PC 2 2" xfId="3681"/>
    <cellStyle name="_Costs not in AURORA 06GRC_Power Costs - Comparison bx Rbtl-Staff-Jt-PC 3" xfId="3682"/>
    <cellStyle name="_Costs not in AURORA 06GRC_Power Costs - Comparison bx Rbtl-Staff-Jt-PC_Adj Bench DR 3 for Initial Briefs (Electric)" xfId="3683"/>
    <cellStyle name="_Costs not in AURORA 06GRC_Power Costs - Comparison bx Rbtl-Staff-Jt-PC_Adj Bench DR 3 for Initial Briefs (Electric) 2" xfId="3684"/>
    <cellStyle name="_Costs not in AURORA 06GRC_Power Costs - Comparison bx Rbtl-Staff-Jt-PC_Adj Bench DR 3 for Initial Briefs (Electric) 2 2" xfId="3685"/>
    <cellStyle name="_Costs not in AURORA 06GRC_Power Costs - Comparison bx Rbtl-Staff-Jt-PC_Adj Bench DR 3 for Initial Briefs (Electric) 3" xfId="3686"/>
    <cellStyle name="_Costs not in AURORA 06GRC_Power Costs - Comparison bx Rbtl-Staff-Jt-PC_Adj Bench DR 3 for Initial Briefs (Electric)_DEM-WP(C) ENERG10C--ctn Mid-C_042010 2010GRC" xfId="3687"/>
    <cellStyle name="_Costs not in AURORA 06GRC_Power Costs - Comparison bx Rbtl-Staff-Jt-PC_DEM-WP(C) ENERG10C--ctn Mid-C_042010 2010GRC" xfId="3688"/>
    <cellStyle name="_Costs not in AURORA 06GRC_Power Costs - Comparison bx Rbtl-Staff-Jt-PC_Electric Rev Req Model (2009 GRC) Rebuttal" xfId="3689"/>
    <cellStyle name="_Costs not in AURORA 06GRC_Power Costs - Comparison bx Rbtl-Staff-Jt-PC_Electric Rev Req Model (2009 GRC) Rebuttal 2" xfId="3690"/>
    <cellStyle name="_Costs not in AURORA 06GRC_Power Costs - Comparison bx Rbtl-Staff-Jt-PC_Electric Rev Req Model (2009 GRC) Rebuttal REmoval of New  WH Solar AdjustMI" xfId="3691"/>
    <cellStyle name="_Costs not in AURORA 06GRC_Power Costs - Comparison bx Rbtl-Staff-Jt-PC_Electric Rev Req Model (2009 GRC) Rebuttal REmoval of New  WH Solar AdjustMI 2" xfId="3692"/>
    <cellStyle name="_Costs not in AURORA 06GRC_Power Costs - Comparison bx Rbtl-Staff-Jt-PC_Electric Rev Req Model (2009 GRC) Rebuttal REmoval of New  WH Solar AdjustMI 2 2" xfId="3693"/>
    <cellStyle name="_Costs not in AURORA 06GRC_Power Costs - Comparison bx Rbtl-Staff-Jt-PC_Electric Rev Req Model (2009 GRC) Rebuttal REmoval of New  WH Solar AdjustMI 3" xfId="3694"/>
    <cellStyle name="_Costs not in AURORA 06GRC_Power Costs - Comparison bx Rbtl-Staff-Jt-PC_Electric Rev Req Model (2009 GRC) Rebuttal REmoval of New  WH Solar AdjustMI_DEM-WP(C) ENERG10C--ctn Mid-C_042010 2010GRC" xfId="3695"/>
    <cellStyle name="_Costs not in AURORA 06GRC_Power Costs - Comparison bx Rbtl-Staff-Jt-PC_Electric Rev Req Model (2009 GRC) Revised 01-18-2010" xfId="3696"/>
    <cellStyle name="_Costs not in AURORA 06GRC_Power Costs - Comparison bx Rbtl-Staff-Jt-PC_Electric Rev Req Model (2009 GRC) Revised 01-18-2010 2" xfId="3697"/>
    <cellStyle name="_Costs not in AURORA 06GRC_Power Costs - Comparison bx Rbtl-Staff-Jt-PC_Electric Rev Req Model (2009 GRC) Revised 01-18-2010 2 2" xfId="3698"/>
    <cellStyle name="_Costs not in AURORA 06GRC_Power Costs - Comparison bx Rbtl-Staff-Jt-PC_Electric Rev Req Model (2009 GRC) Revised 01-18-2010 3" xfId="3699"/>
    <cellStyle name="_Costs not in AURORA 06GRC_Power Costs - Comparison bx Rbtl-Staff-Jt-PC_Electric Rev Req Model (2009 GRC) Revised 01-18-2010_DEM-WP(C) ENERG10C--ctn Mid-C_042010 2010GRC" xfId="3700"/>
    <cellStyle name="_Costs not in AURORA 06GRC_Power Costs - Comparison bx Rbtl-Staff-Jt-PC_Final Order Electric EXHIBIT A-1" xfId="3701"/>
    <cellStyle name="_Costs not in AURORA 06GRC_Power Costs - Comparison bx Rbtl-Staff-Jt-PC_Final Order Electric EXHIBIT A-1 2" xfId="3702"/>
    <cellStyle name="_Costs not in AURORA 06GRC_Production Adj 4.37" xfId="21252"/>
    <cellStyle name="_Costs not in AURORA 06GRC_Purchased Power Adj 4.03" xfId="21253"/>
    <cellStyle name="_Costs not in AURORA 06GRC_Rebuttal Power Costs" xfId="3703"/>
    <cellStyle name="_Costs not in AURORA 06GRC_Rebuttal Power Costs 2" xfId="3704"/>
    <cellStyle name="_Costs not in AURORA 06GRC_Rebuttal Power Costs 2 2" xfId="3705"/>
    <cellStyle name="_Costs not in AURORA 06GRC_Rebuttal Power Costs 3" xfId="3706"/>
    <cellStyle name="_Costs not in AURORA 06GRC_Rebuttal Power Costs_Adj Bench DR 3 for Initial Briefs (Electric)" xfId="3707"/>
    <cellStyle name="_Costs not in AURORA 06GRC_Rebuttal Power Costs_Adj Bench DR 3 for Initial Briefs (Electric) 2" xfId="3708"/>
    <cellStyle name="_Costs not in AURORA 06GRC_Rebuttal Power Costs_Adj Bench DR 3 for Initial Briefs (Electric) 2 2" xfId="3709"/>
    <cellStyle name="_Costs not in AURORA 06GRC_Rebuttal Power Costs_Adj Bench DR 3 for Initial Briefs (Electric) 3" xfId="3710"/>
    <cellStyle name="_Costs not in AURORA 06GRC_Rebuttal Power Costs_Adj Bench DR 3 for Initial Briefs (Electric)_DEM-WP(C) ENERG10C--ctn Mid-C_042010 2010GRC" xfId="3711"/>
    <cellStyle name="_Costs not in AURORA 06GRC_Rebuttal Power Costs_DEM-WP(C) ENERG10C--ctn Mid-C_042010 2010GRC" xfId="3712"/>
    <cellStyle name="_Costs not in AURORA 06GRC_Rebuttal Power Costs_Electric Rev Req Model (2009 GRC) Rebuttal" xfId="3713"/>
    <cellStyle name="_Costs not in AURORA 06GRC_Rebuttal Power Costs_Electric Rev Req Model (2009 GRC) Rebuttal 2" xfId="3714"/>
    <cellStyle name="_Costs not in AURORA 06GRC_Rebuttal Power Costs_Electric Rev Req Model (2009 GRC) Rebuttal REmoval of New  WH Solar AdjustMI" xfId="3715"/>
    <cellStyle name="_Costs not in AURORA 06GRC_Rebuttal Power Costs_Electric Rev Req Model (2009 GRC) Rebuttal REmoval of New  WH Solar AdjustMI 2" xfId="3716"/>
    <cellStyle name="_Costs not in AURORA 06GRC_Rebuttal Power Costs_Electric Rev Req Model (2009 GRC) Rebuttal REmoval of New  WH Solar AdjustMI 2 2" xfId="3717"/>
    <cellStyle name="_Costs not in AURORA 06GRC_Rebuttal Power Costs_Electric Rev Req Model (2009 GRC) Rebuttal REmoval of New  WH Solar AdjustMI 3" xfId="3718"/>
    <cellStyle name="_Costs not in AURORA 06GRC_Rebuttal Power Costs_Electric Rev Req Model (2009 GRC) Rebuttal REmoval of New  WH Solar AdjustMI_DEM-WP(C) ENERG10C--ctn Mid-C_042010 2010GRC" xfId="3719"/>
    <cellStyle name="_Costs not in AURORA 06GRC_Rebuttal Power Costs_Electric Rev Req Model (2009 GRC) Revised 01-18-2010" xfId="3720"/>
    <cellStyle name="_Costs not in AURORA 06GRC_Rebuttal Power Costs_Electric Rev Req Model (2009 GRC) Revised 01-18-2010 2" xfId="3721"/>
    <cellStyle name="_Costs not in AURORA 06GRC_Rebuttal Power Costs_Electric Rev Req Model (2009 GRC) Revised 01-18-2010 2 2" xfId="3722"/>
    <cellStyle name="_Costs not in AURORA 06GRC_Rebuttal Power Costs_Electric Rev Req Model (2009 GRC) Revised 01-18-2010 3" xfId="3723"/>
    <cellStyle name="_Costs not in AURORA 06GRC_Rebuttal Power Costs_Electric Rev Req Model (2009 GRC) Revised 01-18-2010_DEM-WP(C) ENERG10C--ctn Mid-C_042010 2010GRC" xfId="3724"/>
    <cellStyle name="_Costs not in AURORA 06GRC_Rebuttal Power Costs_Final Order Electric EXHIBIT A-1" xfId="3725"/>
    <cellStyle name="_Costs not in AURORA 06GRC_Rebuttal Power Costs_Final Order Electric EXHIBIT A-1 2" xfId="3726"/>
    <cellStyle name="_Costs not in AURORA 06GRC_ROR 5.02" xfId="21254"/>
    <cellStyle name="_Costs not in AURORA 06GRC_Transmission Workbook for May BOD" xfId="3727"/>
    <cellStyle name="_Costs not in AURORA 06GRC_Transmission Workbook for May BOD 2" xfId="3728"/>
    <cellStyle name="_Costs not in AURORA 06GRC_Transmission Workbook for May BOD 2 2" xfId="3729"/>
    <cellStyle name="_Costs not in AURORA 06GRC_Transmission Workbook for May BOD 3" xfId="3730"/>
    <cellStyle name="_Costs not in AURORA 06GRC_Transmission Workbook for May BOD_DEM-WP(C) ENERG10C--ctn Mid-C_042010 2010GRC" xfId="3731"/>
    <cellStyle name="_Costs not in AURORA 06GRC_Wind Integration 10GRC" xfId="3732"/>
    <cellStyle name="_Costs not in AURORA 06GRC_Wind Integration 10GRC 2" xfId="3733"/>
    <cellStyle name="_Costs not in AURORA 06GRC_Wind Integration 10GRC 2 2" xfId="3734"/>
    <cellStyle name="_Costs not in AURORA 06GRC_Wind Integration 10GRC 3" xfId="3735"/>
    <cellStyle name="_Costs not in AURORA 06GRC_Wind Integration 10GRC_DEM-WP(C) ENERG10C--ctn Mid-C_042010 2010GRC" xfId="3736"/>
    <cellStyle name="_Costs not in AURORA 2006GRC 6.15.06" xfId="3737"/>
    <cellStyle name="_Costs not in AURORA 2006GRC 6.15.06 2" xfId="3738"/>
    <cellStyle name="_Costs not in AURORA 2006GRC 6.15.06 2 2" xfId="3739"/>
    <cellStyle name="_Costs not in AURORA 2006GRC 6.15.06 2 2 2" xfId="3740"/>
    <cellStyle name="_Costs not in AURORA 2006GRC 6.15.06 2 3" xfId="3741"/>
    <cellStyle name="_Costs not in AURORA 2006GRC 6.15.06 3" xfId="3742"/>
    <cellStyle name="_Costs not in AURORA 2006GRC 6.15.06 3 2" xfId="3743"/>
    <cellStyle name="_Costs not in AURORA 2006GRC 6.15.06 4" xfId="3744"/>
    <cellStyle name="_Costs not in AURORA 2006GRC 6.15.06 4 2" xfId="3745"/>
    <cellStyle name="_Costs not in AURORA 2006GRC 6.15.06 4 3" xfId="3746"/>
    <cellStyle name="_Costs not in AURORA 2006GRC 6.15.06 5" xfId="3747"/>
    <cellStyle name="_Costs not in AURORA 2006GRC 6.15.06 5 2" xfId="3748"/>
    <cellStyle name="_Costs not in AURORA 2006GRC 6.15.06 6" xfId="3749"/>
    <cellStyle name="_Costs not in AURORA 2006GRC 6.15.06 6 2" xfId="3750"/>
    <cellStyle name="_Costs not in AURORA 2006GRC 6.15.06 7" xfId="3751"/>
    <cellStyle name="_Costs not in AURORA 2006GRC 6.15.06 7 2" xfId="3752"/>
    <cellStyle name="_Costs not in AURORA 2006GRC 6.15.06_04 07E Wild Horse Wind Expansion (C) (2)" xfId="3753"/>
    <cellStyle name="_Costs not in AURORA 2006GRC 6.15.06_04 07E Wild Horse Wind Expansion (C) (2) 2" xfId="3754"/>
    <cellStyle name="_Costs not in AURORA 2006GRC 6.15.06_04 07E Wild Horse Wind Expansion (C) (2) 2 2" xfId="3755"/>
    <cellStyle name="_Costs not in AURORA 2006GRC 6.15.06_04 07E Wild Horse Wind Expansion (C) (2) 3" xfId="3756"/>
    <cellStyle name="_Costs not in AURORA 2006GRC 6.15.06_04 07E Wild Horse Wind Expansion (C) (2)_Adj Bench DR 3 for Initial Briefs (Electric)" xfId="3757"/>
    <cellStyle name="_Costs not in AURORA 2006GRC 6.15.06_04 07E Wild Horse Wind Expansion (C) (2)_Adj Bench DR 3 for Initial Briefs (Electric) 2" xfId="3758"/>
    <cellStyle name="_Costs not in AURORA 2006GRC 6.15.06_04 07E Wild Horse Wind Expansion (C) (2)_Adj Bench DR 3 for Initial Briefs (Electric) 2 2" xfId="3759"/>
    <cellStyle name="_Costs not in AURORA 2006GRC 6.15.06_04 07E Wild Horse Wind Expansion (C) (2)_Adj Bench DR 3 for Initial Briefs (Electric) 3" xfId="3760"/>
    <cellStyle name="_Costs not in AURORA 2006GRC 6.15.06_04 07E Wild Horse Wind Expansion (C) (2)_Adj Bench DR 3 for Initial Briefs (Electric)_DEM-WP(C) ENERG10C--ctn Mid-C_042010 2010GRC" xfId="3761"/>
    <cellStyle name="_Costs not in AURORA 2006GRC 6.15.06_04 07E Wild Horse Wind Expansion (C) (2)_Book1" xfId="3762"/>
    <cellStyle name="_Costs not in AURORA 2006GRC 6.15.06_04 07E Wild Horse Wind Expansion (C) (2)_DEM-WP(C) ENERG10C--ctn Mid-C_042010 2010GRC" xfId="3763"/>
    <cellStyle name="_Costs not in AURORA 2006GRC 6.15.06_04 07E Wild Horse Wind Expansion (C) (2)_Electric Rev Req Model (2009 GRC) " xfId="3764"/>
    <cellStyle name="_Costs not in AURORA 2006GRC 6.15.06_04 07E Wild Horse Wind Expansion (C) (2)_Electric Rev Req Model (2009 GRC)  2" xfId="3765"/>
    <cellStyle name="_Costs not in AURORA 2006GRC 6.15.06_04 07E Wild Horse Wind Expansion (C) (2)_Electric Rev Req Model (2009 GRC)  2 2" xfId="3766"/>
    <cellStyle name="_Costs not in AURORA 2006GRC 6.15.06_04 07E Wild Horse Wind Expansion (C) (2)_Electric Rev Req Model (2009 GRC)  3" xfId="3767"/>
    <cellStyle name="_Costs not in AURORA 2006GRC 6.15.06_04 07E Wild Horse Wind Expansion (C) (2)_Electric Rev Req Model (2009 GRC) _DEM-WP(C) ENERG10C--ctn Mid-C_042010 2010GRC" xfId="3768"/>
    <cellStyle name="_Costs not in AURORA 2006GRC 6.15.06_04 07E Wild Horse Wind Expansion (C) (2)_Electric Rev Req Model (2009 GRC) Rebuttal" xfId="3769"/>
    <cellStyle name="_Costs not in AURORA 2006GRC 6.15.06_04 07E Wild Horse Wind Expansion (C) (2)_Electric Rev Req Model (2009 GRC) Rebuttal 2" xfId="3770"/>
    <cellStyle name="_Costs not in AURORA 2006GRC 6.15.06_04 07E Wild Horse Wind Expansion (C) (2)_Electric Rev Req Model (2009 GRC) Rebuttal REmoval of New  WH Solar AdjustMI" xfId="3771"/>
    <cellStyle name="_Costs not in AURORA 2006GRC 6.15.06_04 07E Wild Horse Wind Expansion (C) (2)_Electric Rev Req Model (2009 GRC) Rebuttal REmoval of New  WH Solar AdjustMI 2" xfId="3772"/>
    <cellStyle name="_Costs not in AURORA 2006GRC 6.15.06_04 07E Wild Horse Wind Expansion (C) (2)_Electric Rev Req Model (2009 GRC) Rebuttal REmoval of New  WH Solar AdjustMI 2 2" xfId="3773"/>
    <cellStyle name="_Costs not in AURORA 2006GRC 6.15.06_04 07E Wild Horse Wind Expansion (C) (2)_Electric Rev Req Model (2009 GRC) Rebuttal REmoval of New  WH Solar AdjustMI 3" xfId="3774"/>
    <cellStyle name="_Costs not in AURORA 2006GRC 6.15.06_04 07E Wild Horse Wind Expansion (C) (2)_Electric Rev Req Model (2009 GRC) Rebuttal REmoval of New  WH Solar AdjustMI_DEM-WP(C) ENERG10C--ctn Mid-C_042010 2010GRC" xfId="3775"/>
    <cellStyle name="_Costs not in AURORA 2006GRC 6.15.06_04 07E Wild Horse Wind Expansion (C) (2)_Electric Rev Req Model (2009 GRC) Revised 01-18-2010" xfId="3776"/>
    <cellStyle name="_Costs not in AURORA 2006GRC 6.15.06_04 07E Wild Horse Wind Expansion (C) (2)_Electric Rev Req Model (2009 GRC) Revised 01-18-2010 2" xfId="3777"/>
    <cellStyle name="_Costs not in AURORA 2006GRC 6.15.06_04 07E Wild Horse Wind Expansion (C) (2)_Electric Rev Req Model (2009 GRC) Revised 01-18-2010 2 2" xfId="3778"/>
    <cellStyle name="_Costs not in AURORA 2006GRC 6.15.06_04 07E Wild Horse Wind Expansion (C) (2)_Electric Rev Req Model (2009 GRC) Revised 01-18-2010 3" xfId="3779"/>
    <cellStyle name="_Costs not in AURORA 2006GRC 6.15.06_04 07E Wild Horse Wind Expansion (C) (2)_Electric Rev Req Model (2009 GRC) Revised 01-18-2010_DEM-WP(C) ENERG10C--ctn Mid-C_042010 2010GRC" xfId="3780"/>
    <cellStyle name="_Costs not in AURORA 2006GRC 6.15.06_04 07E Wild Horse Wind Expansion (C) (2)_Electric Rev Req Model (2010 GRC)" xfId="3781"/>
    <cellStyle name="_Costs not in AURORA 2006GRC 6.15.06_04 07E Wild Horse Wind Expansion (C) (2)_Electric Rev Req Model (2010 GRC) SF" xfId="3782"/>
    <cellStyle name="_Costs not in AURORA 2006GRC 6.15.06_04 07E Wild Horse Wind Expansion (C) (2)_Final Order Electric EXHIBIT A-1" xfId="3783"/>
    <cellStyle name="_Costs not in AURORA 2006GRC 6.15.06_04 07E Wild Horse Wind Expansion (C) (2)_Final Order Electric EXHIBIT A-1 2" xfId="3784"/>
    <cellStyle name="_Costs not in AURORA 2006GRC 6.15.06_04 07E Wild Horse Wind Expansion (C) (2)_TENASKA REGULATORY ASSET" xfId="3785"/>
    <cellStyle name="_Costs not in AURORA 2006GRC 6.15.06_04 07E Wild Horse Wind Expansion (C) (2)_TENASKA REGULATORY ASSET 2" xfId="3786"/>
    <cellStyle name="_Costs not in AURORA 2006GRC 6.15.06_16.37E Wild Horse Expansion DeferralRevwrkingfile SF" xfId="3787"/>
    <cellStyle name="_Costs not in AURORA 2006GRC 6.15.06_16.37E Wild Horse Expansion DeferralRevwrkingfile SF 2" xfId="3788"/>
    <cellStyle name="_Costs not in AURORA 2006GRC 6.15.06_16.37E Wild Horse Expansion DeferralRevwrkingfile SF 2 2" xfId="3789"/>
    <cellStyle name="_Costs not in AURORA 2006GRC 6.15.06_16.37E Wild Horse Expansion DeferralRevwrkingfile SF 3" xfId="3790"/>
    <cellStyle name="_Costs not in AURORA 2006GRC 6.15.06_16.37E Wild Horse Expansion DeferralRevwrkingfile SF_DEM-WP(C) ENERG10C--ctn Mid-C_042010 2010GRC" xfId="3791"/>
    <cellStyle name="_Costs not in AURORA 2006GRC 6.15.06_2009 Compliance Filing PCA Exhibits for GRC" xfId="3792"/>
    <cellStyle name="_Costs not in AURORA 2006GRC 6.15.06_2009 Compliance Filing PCA Exhibits for GRC 2" xfId="3793"/>
    <cellStyle name="_Costs not in AURORA 2006GRC 6.15.06_2009 GRC Compl Filing - Exhibit D" xfId="3794"/>
    <cellStyle name="_Costs not in AURORA 2006GRC 6.15.06_2009 GRC Compl Filing - Exhibit D 2" xfId="3795"/>
    <cellStyle name="_Costs not in AURORA 2006GRC 6.15.06_2009 GRC Compl Filing - Exhibit D 2 2" xfId="3796"/>
    <cellStyle name="_Costs not in AURORA 2006GRC 6.15.06_2009 GRC Compl Filing - Exhibit D 3" xfId="3797"/>
    <cellStyle name="_Costs not in AURORA 2006GRC 6.15.06_2009 GRC Compl Filing - Exhibit D_DEM-WP(C) ENERG10C--ctn Mid-C_042010 2010GRC" xfId="3798"/>
    <cellStyle name="_Costs not in AURORA 2006GRC 6.15.06_3.01 Income Statement" xfId="3799"/>
    <cellStyle name="_Costs not in AURORA 2006GRC 6.15.06_4 31 Regulatory Assets and Liabilities  7 06- Exhibit D" xfId="3800"/>
    <cellStyle name="_Costs not in AURORA 2006GRC 6.15.06_4 31 Regulatory Assets and Liabilities  7 06- Exhibit D 2" xfId="3801"/>
    <cellStyle name="_Costs not in AURORA 2006GRC 6.15.06_4 31 Regulatory Assets and Liabilities  7 06- Exhibit D 2 2" xfId="3802"/>
    <cellStyle name="_Costs not in AURORA 2006GRC 6.15.06_4 31 Regulatory Assets and Liabilities  7 06- Exhibit D 3" xfId="3803"/>
    <cellStyle name="_Costs not in AURORA 2006GRC 6.15.06_4 31 Regulatory Assets and Liabilities  7 06- Exhibit D_DEM-WP(C) ENERG10C--ctn Mid-C_042010 2010GRC" xfId="3804"/>
    <cellStyle name="_Costs not in AURORA 2006GRC 6.15.06_4 31 Regulatory Assets and Liabilities  7 06- Exhibit D_NIM Summary" xfId="3805"/>
    <cellStyle name="_Costs not in AURORA 2006GRC 6.15.06_4 31 Regulatory Assets and Liabilities  7 06- Exhibit D_NIM Summary 2" xfId="3806"/>
    <cellStyle name="_Costs not in AURORA 2006GRC 6.15.06_4 31 Regulatory Assets and Liabilities  7 06- Exhibit D_NIM Summary 2 2" xfId="3807"/>
    <cellStyle name="_Costs not in AURORA 2006GRC 6.15.06_4 31 Regulatory Assets and Liabilities  7 06- Exhibit D_NIM Summary 3" xfId="3808"/>
    <cellStyle name="_Costs not in AURORA 2006GRC 6.15.06_4 31 Regulatory Assets and Liabilities  7 06- Exhibit D_NIM Summary_DEM-WP(C) ENERG10C--ctn Mid-C_042010 2010GRC" xfId="3809"/>
    <cellStyle name="_Costs not in AURORA 2006GRC 6.15.06_4 31E Reg Asset  Liab and EXH D" xfId="3810"/>
    <cellStyle name="_Costs not in AURORA 2006GRC 6.15.06_4 31E Reg Asset  Liab and EXH D _ Aug 10 Filing (2)" xfId="3811"/>
    <cellStyle name="_Costs not in AURORA 2006GRC 6.15.06_4 31E Reg Asset  Liab and EXH D _ Aug 10 Filing (2) 2" xfId="3812"/>
    <cellStyle name="_Costs not in AURORA 2006GRC 6.15.06_4 31E Reg Asset  Liab and EXH D 2" xfId="3813"/>
    <cellStyle name="_Costs not in AURORA 2006GRC 6.15.06_4 31E Reg Asset  Liab and EXH D 3" xfId="3814"/>
    <cellStyle name="_Costs not in AURORA 2006GRC 6.15.06_4 32 Regulatory Assets and Liabilities  7 06- Exhibit D" xfId="3815"/>
    <cellStyle name="_Costs not in AURORA 2006GRC 6.15.06_4 32 Regulatory Assets and Liabilities  7 06- Exhibit D 2" xfId="3816"/>
    <cellStyle name="_Costs not in AURORA 2006GRC 6.15.06_4 32 Regulatory Assets and Liabilities  7 06- Exhibit D 2 2" xfId="3817"/>
    <cellStyle name="_Costs not in AURORA 2006GRC 6.15.06_4 32 Regulatory Assets and Liabilities  7 06- Exhibit D 3" xfId="3818"/>
    <cellStyle name="_Costs not in AURORA 2006GRC 6.15.06_4 32 Regulatory Assets and Liabilities  7 06- Exhibit D_DEM-WP(C) ENERG10C--ctn Mid-C_042010 2010GRC" xfId="3819"/>
    <cellStyle name="_Costs not in AURORA 2006GRC 6.15.06_4 32 Regulatory Assets and Liabilities  7 06- Exhibit D_NIM Summary" xfId="3820"/>
    <cellStyle name="_Costs not in AURORA 2006GRC 6.15.06_4 32 Regulatory Assets and Liabilities  7 06- Exhibit D_NIM Summary 2" xfId="3821"/>
    <cellStyle name="_Costs not in AURORA 2006GRC 6.15.06_4 32 Regulatory Assets and Liabilities  7 06- Exhibit D_NIM Summary 2 2" xfId="3822"/>
    <cellStyle name="_Costs not in AURORA 2006GRC 6.15.06_4 32 Regulatory Assets and Liabilities  7 06- Exhibit D_NIM Summary 3" xfId="3823"/>
    <cellStyle name="_Costs not in AURORA 2006GRC 6.15.06_4 32 Regulatory Assets and Liabilities  7 06- Exhibit D_NIM Summary_DEM-WP(C) ENERG10C--ctn Mid-C_042010 2010GRC" xfId="3824"/>
    <cellStyle name="_Costs not in AURORA 2006GRC 6.15.06_AURORA Total New" xfId="3825"/>
    <cellStyle name="_Costs not in AURORA 2006GRC 6.15.06_AURORA Total New 2" xfId="3826"/>
    <cellStyle name="_Costs not in AURORA 2006GRC 6.15.06_AURORA Total New 2 2" xfId="3827"/>
    <cellStyle name="_Costs not in AURORA 2006GRC 6.15.06_AURORA Total New 3" xfId="3828"/>
    <cellStyle name="_Costs not in AURORA 2006GRC 6.15.06_Book2" xfId="3829"/>
    <cellStyle name="_Costs not in AURORA 2006GRC 6.15.06_Book2 2" xfId="3830"/>
    <cellStyle name="_Costs not in AURORA 2006GRC 6.15.06_Book2 2 2" xfId="3831"/>
    <cellStyle name="_Costs not in AURORA 2006GRC 6.15.06_Book2 3" xfId="3832"/>
    <cellStyle name="_Costs not in AURORA 2006GRC 6.15.06_Book2_Adj Bench DR 3 for Initial Briefs (Electric)" xfId="3833"/>
    <cellStyle name="_Costs not in AURORA 2006GRC 6.15.06_Book2_Adj Bench DR 3 for Initial Briefs (Electric) 2" xfId="3834"/>
    <cellStyle name="_Costs not in AURORA 2006GRC 6.15.06_Book2_Adj Bench DR 3 for Initial Briefs (Electric) 2 2" xfId="3835"/>
    <cellStyle name="_Costs not in AURORA 2006GRC 6.15.06_Book2_Adj Bench DR 3 for Initial Briefs (Electric) 3" xfId="3836"/>
    <cellStyle name="_Costs not in AURORA 2006GRC 6.15.06_Book2_Adj Bench DR 3 for Initial Briefs (Electric)_DEM-WP(C) ENERG10C--ctn Mid-C_042010 2010GRC" xfId="3837"/>
    <cellStyle name="_Costs not in AURORA 2006GRC 6.15.06_Book2_DEM-WP(C) ENERG10C--ctn Mid-C_042010 2010GRC" xfId="3838"/>
    <cellStyle name="_Costs not in AURORA 2006GRC 6.15.06_Book2_Electric Rev Req Model (2009 GRC) Rebuttal" xfId="3839"/>
    <cellStyle name="_Costs not in AURORA 2006GRC 6.15.06_Book2_Electric Rev Req Model (2009 GRC) Rebuttal 2" xfId="3840"/>
    <cellStyle name="_Costs not in AURORA 2006GRC 6.15.06_Book2_Electric Rev Req Model (2009 GRC) Rebuttal REmoval of New  WH Solar AdjustMI" xfId="3841"/>
    <cellStyle name="_Costs not in AURORA 2006GRC 6.15.06_Book2_Electric Rev Req Model (2009 GRC) Rebuttal REmoval of New  WH Solar AdjustMI 2" xfId="3842"/>
    <cellStyle name="_Costs not in AURORA 2006GRC 6.15.06_Book2_Electric Rev Req Model (2009 GRC) Rebuttal REmoval of New  WH Solar AdjustMI 2 2" xfId="3843"/>
    <cellStyle name="_Costs not in AURORA 2006GRC 6.15.06_Book2_Electric Rev Req Model (2009 GRC) Rebuttal REmoval of New  WH Solar AdjustMI 3" xfId="3844"/>
    <cellStyle name="_Costs not in AURORA 2006GRC 6.15.06_Book2_Electric Rev Req Model (2009 GRC) Rebuttal REmoval of New  WH Solar AdjustMI_DEM-WP(C) ENERG10C--ctn Mid-C_042010 2010GRC" xfId="3845"/>
    <cellStyle name="_Costs not in AURORA 2006GRC 6.15.06_Book2_Electric Rev Req Model (2009 GRC) Revised 01-18-2010" xfId="3846"/>
    <cellStyle name="_Costs not in AURORA 2006GRC 6.15.06_Book2_Electric Rev Req Model (2009 GRC) Revised 01-18-2010 2" xfId="3847"/>
    <cellStyle name="_Costs not in AURORA 2006GRC 6.15.06_Book2_Electric Rev Req Model (2009 GRC) Revised 01-18-2010 2 2" xfId="3848"/>
    <cellStyle name="_Costs not in AURORA 2006GRC 6.15.06_Book2_Electric Rev Req Model (2009 GRC) Revised 01-18-2010 3" xfId="3849"/>
    <cellStyle name="_Costs not in AURORA 2006GRC 6.15.06_Book2_Electric Rev Req Model (2009 GRC) Revised 01-18-2010_DEM-WP(C) ENERG10C--ctn Mid-C_042010 2010GRC" xfId="3850"/>
    <cellStyle name="_Costs not in AURORA 2006GRC 6.15.06_Book2_Final Order Electric EXHIBIT A-1" xfId="3851"/>
    <cellStyle name="_Costs not in AURORA 2006GRC 6.15.06_Book2_Final Order Electric EXHIBIT A-1 2" xfId="3852"/>
    <cellStyle name="_Costs not in AURORA 2006GRC 6.15.06_Book4" xfId="3853"/>
    <cellStyle name="_Costs not in AURORA 2006GRC 6.15.06_Book4 2" xfId="3854"/>
    <cellStyle name="_Costs not in AURORA 2006GRC 6.15.06_Book4 2 2" xfId="3855"/>
    <cellStyle name="_Costs not in AURORA 2006GRC 6.15.06_Book4 3" xfId="3856"/>
    <cellStyle name="_Costs not in AURORA 2006GRC 6.15.06_Book4_DEM-WP(C) ENERG10C--ctn Mid-C_042010 2010GRC" xfId="3857"/>
    <cellStyle name="_Costs not in AURORA 2006GRC 6.15.06_Book9" xfId="3858"/>
    <cellStyle name="_Costs not in AURORA 2006GRC 6.15.06_Book9 2" xfId="3859"/>
    <cellStyle name="_Costs not in AURORA 2006GRC 6.15.06_Book9 2 2" xfId="3860"/>
    <cellStyle name="_Costs not in AURORA 2006GRC 6.15.06_Book9 3" xfId="3861"/>
    <cellStyle name="_Costs not in AURORA 2006GRC 6.15.06_Book9_DEM-WP(C) ENERG10C--ctn Mid-C_042010 2010GRC" xfId="3862"/>
    <cellStyle name="_Costs not in AURORA 2006GRC 6.15.06_Chelan PUD Power Costs (8-10)" xfId="3863"/>
    <cellStyle name="_Costs not in AURORA 2006GRC 6.15.06_Chelan PUD Power Costs (8-10) 2" xfId="3864"/>
    <cellStyle name="_Costs not in AURORA 2006GRC 6.15.06_DEM-WP(C) Chelan Power Costs" xfId="3865"/>
    <cellStyle name="_Costs not in AURORA 2006GRC 6.15.06_DEM-WP(C) Chelan Power Costs 2" xfId="3866"/>
    <cellStyle name="_Costs not in AURORA 2006GRC 6.15.06_DEM-WP(C) ENERG10C--ctn Mid-C_042010 2010GRC" xfId="3867"/>
    <cellStyle name="_Costs not in AURORA 2006GRC 6.15.06_DEM-WP(C) Gas Transport 2010GRC" xfId="3868"/>
    <cellStyle name="_Costs not in AURORA 2006GRC 6.15.06_DEM-WP(C) Gas Transport 2010GRC 2" xfId="3869"/>
    <cellStyle name="_Costs not in AURORA 2006GRC 6.15.06_Exh A-1 resulting from UE-112050 effective Jan 1 2012" xfId="3870"/>
    <cellStyle name="_Costs not in AURORA 2006GRC 6.15.06_Exh G - Klamath Peaker PPA fr C Locke 2-12" xfId="3871"/>
    <cellStyle name="_Costs not in AURORA 2006GRC 6.15.06_Exhibit A-1 effective 4-1-11 fr S Free 12-11" xfId="3872"/>
    <cellStyle name="_Costs not in AURORA 2006GRC 6.15.06_Mint Farm Generation BPA" xfId="3873"/>
    <cellStyle name="_Costs not in AURORA 2006GRC 6.15.06_NIM Summary" xfId="3874"/>
    <cellStyle name="_Costs not in AURORA 2006GRC 6.15.06_NIM Summary 09GRC" xfId="3875"/>
    <cellStyle name="_Costs not in AURORA 2006GRC 6.15.06_NIM Summary 09GRC 2" xfId="3876"/>
    <cellStyle name="_Costs not in AURORA 2006GRC 6.15.06_NIM Summary 09GRC 2 2" xfId="3877"/>
    <cellStyle name="_Costs not in AURORA 2006GRC 6.15.06_NIM Summary 09GRC 3" xfId="3878"/>
    <cellStyle name="_Costs not in AURORA 2006GRC 6.15.06_NIM Summary 09GRC_DEM-WP(C) ENERG10C--ctn Mid-C_042010 2010GRC" xfId="3879"/>
    <cellStyle name="_Costs not in AURORA 2006GRC 6.15.06_NIM Summary 10" xfId="3880"/>
    <cellStyle name="_Costs not in AURORA 2006GRC 6.15.06_NIM Summary 11" xfId="3881"/>
    <cellStyle name="_Costs not in AURORA 2006GRC 6.15.06_NIM Summary 12" xfId="3882"/>
    <cellStyle name="_Costs not in AURORA 2006GRC 6.15.06_NIM Summary 13" xfId="3883"/>
    <cellStyle name="_Costs not in AURORA 2006GRC 6.15.06_NIM Summary 14" xfId="3884"/>
    <cellStyle name="_Costs not in AURORA 2006GRC 6.15.06_NIM Summary 15" xfId="3885"/>
    <cellStyle name="_Costs not in AURORA 2006GRC 6.15.06_NIM Summary 16" xfId="3886"/>
    <cellStyle name="_Costs not in AURORA 2006GRC 6.15.06_NIM Summary 17" xfId="3887"/>
    <cellStyle name="_Costs not in AURORA 2006GRC 6.15.06_NIM Summary 18" xfId="3888"/>
    <cellStyle name="_Costs not in AURORA 2006GRC 6.15.06_NIM Summary 19" xfId="3889"/>
    <cellStyle name="_Costs not in AURORA 2006GRC 6.15.06_NIM Summary 2" xfId="3890"/>
    <cellStyle name="_Costs not in AURORA 2006GRC 6.15.06_NIM Summary 2 2" xfId="3891"/>
    <cellStyle name="_Costs not in AURORA 2006GRC 6.15.06_NIM Summary 20" xfId="3892"/>
    <cellStyle name="_Costs not in AURORA 2006GRC 6.15.06_NIM Summary 21" xfId="3893"/>
    <cellStyle name="_Costs not in AURORA 2006GRC 6.15.06_NIM Summary 22" xfId="3894"/>
    <cellStyle name="_Costs not in AURORA 2006GRC 6.15.06_NIM Summary 23" xfId="3895"/>
    <cellStyle name="_Costs not in AURORA 2006GRC 6.15.06_NIM Summary 24" xfId="3896"/>
    <cellStyle name="_Costs not in AURORA 2006GRC 6.15.06_NIM Summary 25" xfId="3897"/>
    <cellStyle name="_Costs not in AURORA 2006GRC 6.15.06_NIM Summary 26" xfId="3898"/>
    <cellStyle name="_Costs not in AURORA 2006GRC 6.15.06_NIM Summary 27" xfId="3899"/>
    <cellStyle name="_Costs not in AURORA 2006GRC 6.15.06_NIM Summary 28" xfId="3900"/>
    <cellStyle name="_Costs not in AURORA 2006GRC 6.15.06_NIM Summary 29" xfId="3901"/>
    <cellStyle name="_Costs not in AURORA 2006GRC 6.15.06_NIM Summary 3" xfId="3902"/>
    <cellStyle name="_Costs not in AURORA 2006GRC 6.15.06_NIM Summary 30" xfId="3903"/>
    <cellStyle name="_Costs not in AURORA 2006GRC 6.15.06_NIM Summary 31" xfId="3904"/>
    <cellStyle name="_Costs not in AURORA 2006GRC 6.15.06_NIM Summary 32" xfId="3905"/>
    <cellStyle name="_Costs not in AURORA 2006GRC 6.15.06_NIM Summary 33" xfId="3906"/>
    <cellStyle name="_Costs not in AURORA 2006GRC 6.15.06_NIM Summary 34" xfId="3907"/>
    <cellStyle name="_Costs not in AURORA 2006GRC 6.15.06_NIM Summary 35" xfId="3908"/>
    <cellStyle name="_Costs not in AURORA 2006GRC 6.15.06_NIM Summary 36" xfId="3909"/>
    <cellStyle name="_Costs not in AURORA 2006GRC 6.15.06_NIM Summary 37" xfId="3910"/>
    <cellStyle name="_Costs not in AURORA 2006GRC 6.15.06_NIM Summary 38" xfId="3911"/>
    <cellStyle name="_Costs not in AURORA 2006GRC 6.15.06_NIM Summary 39" xfId="3912"/>
    <cellStyle name="_Costs not in AURORA 2006GRC 6.15.06_NIM Summary 4" xfId="3913"/>
    <cellStyle name="_Costs not in AURORA 2006GRC 6.15.06_NIM Summary 40" xfId="3914"/>
    <cellStyle name="_Costs not in AURORA 2006GRC 6.15.06_NIM Summary 41" xfId="3915"/>
    <cellStyle name="_Costs not in AURORA 2006GRC 6.15.06_NIM Summary 42" xfId="3916"/>
    <cellStyle name="_Costs not in AURORA 2006GRC 6.15.06_NIM Summary 43" xfId="3917"/>
    <cellStyle name="_Costs not in AURORA 2006GRC 6.15.06_NIM Summary 44" xfId="3918"/>
    <cellStyle name="_Costs not in AURORA 2006GRC 6.15.06_NIM Summary 45" xfId="3919"/>
    <cellStyle name="_Costs not in AURORA 2006GRC 6.15.06_NIM Summary 46" xfId="3920"/>
    <cellStyle name="_Costs not in AURORA 2006GRC 6.15.06_NIM Summary 47" xfId="3921"/>
    <cellStyle name="_Costs not in AURORA 2006GRC 6.15.06_NIM Summary 48" xfId="3922"/>
    <cellStyle name="_Costs not in AURORA 2006GRC 6.15.06_NIM Summary 49" xfId="3923"/>
    <cellStyle name="_Costs not in AURORA 2006GRC 6.15.06_NIM Summary 5" xfId="3924"/>
    <cellStyle name="_Costs not in AURORA 2006GRC 6.15.06_NIM Summary 50" xfId="3925"/>
    <cellStyle name="_Costs not in AURORA 2006GRC 6.15.06_NIM Summary 51" xfId="3926"/>
    <cellStyle name="_Costs not in AURORA 2006GRC 6.15.06_NIM Summary 52" xfId="3927"/>
    <cellStyle name="_Costs not in AURORA 2006GRC 6.15.06_NIM Summary 6" xfId="3928"/>
    <cellStyle name="_Costs not in AURORA 2006GRC 6.15.06_NIM Summary 7" xfId="3929"/>
    <cellStyle name="_Costs not in AURORA 2006GRC 6.15.06_NIM Summary 8" xfId="3930"/>
    <cellStyle name="_Costs not in AURORA 2006GRC 6.15.06_NIM Summary 9" xfId="3931"/>
    <cellStyle name="_Costs not in AURORA 2006GRC 6.15.06_NIM Summary_DEM-WP(C) ENERG10C--ctn Mid-C_042010 2010GRC" xfId="3932"/>
    <cellStyle name="_Costs not in AURORA 2006GRC 6.15.06_PCA 10 -  Exhibit D Dec 2011" xfId="3933"/>
    <cellStyle name="_Costs not in AURORA 2006GRC 6.15.06_PCA 10 -  Exhibit D from A Kellogg Jan 2011" xfId="3934"/>
    <cellStyle name="_Costs not in AURORA 2006GRC 6.15.06_PCA 10 -  Exhibit D from A Kellogg July 2011" xfId="3935"/>
    <cellStyle name="_Costs not in AURORA 2006GRC 6.15.06_PCA 10 -  Exhibit D from S Free Rcv'd 12-11" xfId="3936"/>
    <cellStyle name="_Costs not in AURORA 2006GRC 6.15.06_PCA 11 -  Exhibit D Jan 2012 fr A Kellogg" xfId="3937"/>
    <cellStyle name="_Costs not in AURORA 2006GRC 6.15.06_PCA 11 -  Exhibit D Jan 2012 WF" xfId="3938"/>
    <cellStyle name="_Costs not in AURORA 2006GRC 6.15.06_PCA 9 -  Exhibit D April 2010" xfId="3939"/>
    <cellStyle name="_Costs not in AURORA 2006GRC 6.15.06_PCA 9 -  Exhibit D April 2010 (3)" xfId="3940"/>
    <cellStyle name="_Costs not in AURORA 2006GRC 6.15.06_PCA 9 -  Exhibit D April 2010 (3) 2" xfId="3941"/>
    <cellStyle name="_Costs not in AURORA 2006GRC 6.15.06_PCA 9 -  Exhibit D April 2010 (3) 2 2" xfId="3942"/>
    <cellStyle name="_Costs not in AURORA 2006GRC 6.15.06_PCA 9 -  Exhibit D April 2010 (3) 3" xfId="3943"/>
    <cellStyle name="_Costs not in AURORA 2006GRC 6.15.06_PCA 9 -  Exhibit D April 2010 (3)_DEM-WP(C) ENERG10C--ctn Mid-C_042010 2010GRC" xfId="3944"/>
    <cellStyle name="_Costs not in AURORA 2006GRC 6.15.06_PCA 9 -  Exhibit D April 2010 2" xfId="3945"/>
    <cellStyle name="_Costs not in AURORA 2006GRC 6.15.06_PCA 9 -  Exhibit D April 2010 3" xfId="3946"/>
    <cellStyle name="_Costs not in AURORA 2006GRC 6.15.06_PCA 9 -  Exhibit D April 2010 4" xfId="3947"/>
    <cellStyle name="_Costs not in AURORA 2006GRC 6.15.06_PCA 9 -  Exhibit D April 2010 5" xfId="3948"/>
    <cellStyle name="_Costs not in AURORA 2006GRC 6.15.06_PCA 9 -  Exhibit D April 2010 6" xfId="3949"/>
    <cellStyle name="_Costs not in AURORA 2006GRC 6.15.06_PCA 9 -  Exhibit D Nov 2010" xfId="3950"/>
    <cellStyle name="_Costs not in AURORA 2006GRC 6.15.06_PCA 9 -  Exhibit D Nov 2010 2" xfId="3951"/>
    <cellStyle name="_Costs not in AURORA 2006GRC 6.15.06_PCA 9 - Exhibit D at August 2010" xfId="3952"/>
    <cellStyle name="_Costs not in AURORA 2006GRC 6.15.06_PCA 9 - Exhibit D at August 2010 2" xfId="3953"/>
    <cellStyle name="_Costs not in AURORA 2006GRC 6.15.06_PCA 9 - Exhibit D June 2010 GRC" xfId="3954"/>
    <cellStyle name="_Costs not in AURORA 2006GRC 6.15.06_PCA 9 - Exhibit D June 2010 GRC 2" xfId="3955"/>
    <cellStyle name="_Costs not in AURORA 2006GRC 6.15.06_Power Costs - Comparison bx Rbtl-Staff-Jt-PC" xfId="3956"/>
    <cellStyle name="_Costs not in AURORA 2006GRC 6.15.06_Power Costs - Comparison bx Rbtl-Staff-Jt-PC 2" xfId="3957"/>
    <cellStyle name="_Costs not in AURORA 2006GRC 6.15.06_Power Costs - Comparison bx Rbtl-Staff-Jt-PC 2 2" xfId="3958"/>
    <cellStyle name="_Costs not in AURORA 2006GRC 6.15.06_Power Costs - Comparison bx Rbtl-Staff-Jt-PC 3" xfId="3959"/>
    <cellStyle name="_Costs not in AURORA 2006GRC 6.15.06_Power Costs - Comparison bx Rbtl-Staff-Jt-PC_Adj Bench DR 3 for Initial Briefs (Electric)" xfId="3960"/>
    <cellStyle name="_Costs not in AURORA 2006GRC 6.15.06_Power Costs - Comparison bx Rbtl-Staff-Jt-PC_Adj Bench DR 3 for Initial Briefs (Electric) 2" xfId="3961"/>
    <cellStyle name="_Costs not in AURORA 2006GRC 6.15.06_Power Costs - Comparison bx Rbtl-Staff-Jt-PC_Adj Bench DR 3 for Initial Briefs (Electric) 2 2" xfId="3962"/>
    <cellStyle name="_Costs not in AURORA 2006GRC 6.15.06_Power Costs - Comparison bx Rbtl-Staff-Jt-PC_Adj Bench DR 3 for Initial Briefs (Electric) 3" xfId="3963"/>
    <cellStyle name="_Costs not in AURORA 2006GRC 6.15.06_Power Costs - Comparison bx Rbtl-Staff-Jt-PC_Adj Bench DR 3 for Initial Briefs (Electric)_DEM-WP(C) ENERG10C--ctn Mid-C_042010 2010GRC" xfId="3964"/>
    <cellStyle name="_Costs not in AURORA 2006GRC 6.15.06_Power Costs - Comparison bx Rbtl-Staff-Jt-PC_DEM-WP(C) ENERG10C--ctn Mid-C_042010 2010GRC" xfId="3965"/>
    <cellStyle name="_Costs not in AURORA 2006GRC 6.15.06_Power Costs - Comparison bx Rbtl-Staff-Jt-PC_Electric Rev Req Model (2009 GRC) Rebuttal" xfId="3966"/>
    <cellStyle name="_Costs not in AURORA 2006GRC 6.15.06_Power Costs - Comparison bx Rbtl-Staff-Jt-PC_Electric Rev Req Model (2009 GRC) Rebuttal 2" xfId="3967"/>
    <cellStyle name="_Costs not in AURORA 2006GRC 6.15.06_Power Costs - Comparison bx Rbtl-Staff-Jt-PC_Electric Rev Req Model (2009 GRC) Rebuttal REmoval of New  WH Solar AdjustMI" xfId="3968"/>
    <cellStyle name="_Costs not in AURORA 2006GRC 6.15.06_Power Costs - Comparison bx Rbtl-Staff-Jt-PC_Electric Rev Req Model (2009 GRC) Rebuttal REmoval of New  WH Solar AdjustMI 2" xfId="3969"/>
    <cellStyle name="_Costs not in AURORA 2006GRC 6.15.06_Power Costs - Comparison bx Rbtl-Staff-Jt-PC_Electric Rev Req Model (2009 GRC) Rebuttal REmoval of New  WH Solar AdjustMI 2 2" xfId="3970"/>
    <cellStyle name="_Costs not in AURORA 2006GRC 6.15.06_Power Costs - Comparison bx Rbtl-Staff-Jt-PC_Electric Rev Req Model (2009 GRC) Rebuttal REmoval of New  WH Solar AdjustMI 3" xfId="3971"/>
    <cellStyle name="_Costs not in AURORA 2006GRC 6.15.06_Power Costs - Comparison bx Rbtl-Staff-Jt-PC_Electric Rev Req Model (2009 GRC) Rebuttal REmoval of New  WH Solar AdjustMI_DEM-WP(C) ENERG10C--ctn Mid-C_042010 2010GRC" xfId="3972"/>
    <cellStyle name="_Costs not in AURORA 2006GRC 6.15.06_Power Costs - Comparison bx Rbtl-Staff-Jt-PC_Electric Rev Req Model (2009 GRC) Revised 01-18-2010" xfId="3973"/>
    <cellStyle name="_Costs not in AURORA 2006GRC 6.15.06_Power Costs - Comparison bx Rbtl-Staff-Jt-PC_Electric Rev Req Model (2009 GRC) Revised 01-18-2010 2" xfId="3974"/>
    <cellStyle name="_Costs not in AURORA 2006GRC 6.15.06_Power Costs - Comparison bx Rbtl-Staff-Jt-PC_Electric Rev Req Model (2009 GRC) Revised 01-18-2010 2 2" xfId="3975"/>
    <cellStyle name="_Costs not in AURORA 2006GRC 6.15.06_Power Costs - Comparison bx Rbtl-Staff-Jt-PC_Electric Rev Req Model (2009 GRC) Revised 01-18-2010 3" xfId="3976"/>
    <cellStyle name="_Costs not in AURORA 2006GRC 6.15.06_Power Costs - Comparison bx Rbtl-Staff-Jt-PC_Electric Rev Req Model (2009 GRC) Revised 01-18-2010_DEM-WP(C) ENERG10C--ctn Mid-C_042010 2010GRC" xfId="3977"/>
    <cellStyle name="_Costs not in AURORA 2006GRC 6.15.06_Power Costs - Comparison bx Rbtl-Staff-Jt-PC_Final Order Electric EXHIBIT A-1" xfId="3978"/>
    <cellStyle name="_Costs not in AURORA 2006GRC 6.15.06_Power Costs - Comparison bx Rbtl-Staff-Jt-PC_Final Order Electric EXHIBIT A-1 2" xfId="3979"/>
    <cellStyle name="_Costs not in AURORA 2006GRC 6.15.06_Production Adj 4.37" xfId="21255"/>
    <cellStyle name="_Costs not in AURORA 2006GRC 6.15.06_Purchased Power Adj 4.03" xfId="21256"/>
    <cellStyle name="_Costs not in AURORA 2006GRC 6.15.06_Rebuttal Power Costs" xfId="3980"/>
    <cellStyle name="_Costs not in AURORA 2006GRC 6.15.06_Rebuttal Power Costs 2" xfId="3981"/>
    <cellStyle name="_Costs not in AURORA 2006GRC 6.15.06_Rebuttal Power Costs 2 2" xfId="3982"/>
    <cellStyle name="_Costs not in AURORA 2006GRC 6.15.06_Rebuttal Power Costs 3" xfId="3983"/>
    <cellStyle name="_Costs not in AURORA 2006GRC 6.15.06_Rebuttal Power Costs_Adj Bench DR 3 for Initial Briefs (Electric)" xfId="3984"/>
    <cellStyle name="_Costs not in AURORA 2006GRC 6.15.06_Rebuttal Power Costs_Adj Bench DR 3 for Initial Briefs (Electric) 2" xfId="3985"/>
    <cellStyle name="_Costs not in AURORA 2006GRC 6.15.06_Rebuttal Power Costs_Adj Bench DR 3 for Initial Briefs (Electric) 2 2" xfId="3986"/>
    <cellStyle name="_Costs not in AURORA 2006GRC 6.15.06_Rebuttal Power Costs_Adj Bench DR 3 for Initial Briefs (Electric) 3" xfId="3987"/>
    <cellStyle name="_Costs not in AURORA 2006GRC 6.15.06_Rebuttal Power Costs_Adj Bench DR 3 for Initial Briefs (Electric)_DEM-WP(C) ENERG10C--ctn Mid-C_042010 2010GRC" xfId="3988"/>
    <cellStyle name="_Costs not in AURORA 2006GRC 6.15.06_Rebuttal Power Costs_DEM-WP(C) ENERG10C--ctn Mid-C_042010 2010GRC" xfId="3989"/>
    <cellStyle name="_Costs not in AURORA 2006GRC 6.15.06_Rebuttal Power Costs_Electric Rev Req Model (2009 GRC) Rebuttal" xfId="3990"/>
    <cellStyle name="_Costs not in AURORA 2006GRC 6.15.06_Rebuttal Power Costs_Electric Rev Req Model (2009 GRC) Rebuttal 2" xfId="3991"/>
    <cellStyle name="_Costs not in AURORA 2006GRC 6.15.06_Rebuttal Power Costs_Electric Rev Req Model (2009 GRC) Rebuttal REmoval of New  WH Solar AdjustMI" xfId="3992"/>
    <cellStyle name="_Costs not in AURORA 2006GRC 6.15.06_Rebuttal Power Costs_Electric Rev Req Model (2009 GRC) Rebuttal REmoval of New  WH Solar AdjustMI 2" xfId="3993"/>
    <cellStyle name="_Costs not in AURORA 2006GRC 6.15.06_Rebuttal Power Costs_Electric Rev Req Model (2009 GRC) Rebuttal REmoval of New  WH Solar AdjustMI 2 2" xfId="3994"/>
    <cellStyle name="_Costs not in AURORA 2006GRC 6.15.06_Rebuttal Power Costs_Electric Rev Req Model (2009 GRC) Rebuttal REmoval of New  WH Solar AdjustMI 3" xfId="3995"/>
    <cellStyle name="_Costs not in AURORA 2006GRC 6.15.06_Rebuttal Power Costs_Electric Rev Req Model (2009 GRC) Rebuttal REmoval of New  WH Solar AdjustMI_DEM-WP(C) ENERG10C--ctn Mid-C_042010 2010GRC" xfId="3996"/>
    <cellStyle name="_Costs not in AURORA 2006GRC 6.15.06_Rebuttal Power Costs_Electric Rev Req Model (2009 GRC) Revised 01-18-2010" xfId="3997"/>
    <cellStyle name="_Costs not in AURORA 2006GRC 6.15.06_Rebuttal Power Costs_Electric Rev Req Model (2009 GRC) Revised 01-18-2010 2" xfId="3998"/>
    <cellStyle name="_Costs not in AURORA 2006GRC 6.15.06_Rebuttal Power Costs_Electric Rev Req Model (2009 GRC) Revised 01-18-2010 2 2" xfId="3999"/>
    <cellStyle name="_Costs not in AURORA 2006GRC 6.15.06_Rebuttal Power Costs_Electric Rev Req Model (2009 GRC) Revised 01-18-2010 3" xfId="4000"/>
    <cellStyle name="_Costs not in AURORA 2006GRC 6.15.06_Rebuttal Power Costs_Electric Rev Req Model (2009 GRC) Revised 01-18-2010_DEM-WP(C) ENERG10C--ctn Mid-C_042010 2010GRC" xfId="4001"/>
    <cellStyle name="_Costs not in AURORA 2006GRC 6.15.06_Rebuttal Power Costs_Final Order Electric EXHIBIT A-1" xfId="4002"/>
    <cellStyle name="_Costs not in AURORA 2006GRC 6.15.06_Rebuttal Power Costs_Final Order Electric EXHIBIT A-1 2" xfId="4003"/>
    <cellStyle name="_Costs not in AURORA 2006GRC 6.15.06_ROR 5.02" xfId="21257"/>
    <cellStyle name="_Costs not in AURORA 2006GRC 6.15.06_Wind Integration 10GRC" xfId="4004"/>
    <cellStyle name="_Costs not in AURORA 2006GRC 6.15.06_Wind Integration 10GRC 2" xfId="4005"/>
    <cellStyle name="_Costs not in AURORA 2006GRC 6.15.06_Wind Integration 10GRC 2 2" xfId="4006"/>
    <cellStyle name="_Costs not in AURORA 2006GRC 6.15.06_Wind Integration 10GRC 3" xfId="4007"/>
    <cellStyle name="_Costs not in AURORA 2006GRC 6.15.06_Wind Integration 10GRC_DEM-WP(C) ENERG10C--ctn Mid-C_042010 2010GRC" xfId="4008"/>
    <cellStyle name="_Costs not in AURORA 2006GRC w gas price updated" xfId="4009"/>
    <cellStyle name="_Costs not in AURORA 2006GRC w gas price updated 2" xfId="4010"/>
    <cellStyle name="_Costs not in AURORA 2006GRC w gas price updated 2 2" xfId="4011"/>
    <cellStyle name="_Costs not in AURORA 2006GRC w gas price updated 3" xfId="4012"/>
    <cellStyle name="_Costs not in AURORA 2006GRC w gas price updated 3 2" xfId="4013"/>
    <cellStyle name="_Costs not in AURORA 2006GRC w gas price updated 4" xfId="4014"/>
    <cellStyle name="_Costs not in AURORA 2006GRC w gas price updated 4 2" xfId="4015"/>
    <cellStyle name="_Costs not in AURORA 2006GRC w gas price updated 5" xfId="4016"/>
    <cellStyle name="_Costs not in AURORA 2006GRC w gas price updated 5 2" xfId="4017"/>
    <cellStyle name="_Costs not in AURORA 2006GRC w gas price updated 6" xfId="4018"/>
    <cellStyle name="_Costs not in AURORA 2006GRC w gas price updated 6 2" xfId="4019"/>
    <cellStyle name="_Costs not in AURORA 2006GRC w gas price updated_Adj Bench DR 3 for Initial Briefs (Electric)" xfId="4020"/>
    <cellStyle name="_Costs not in AURORA 2006GRC w gas price updated_Adj Bench DR 3 for Initial Briefs (Electric) 2" xfId="4021"/>
    <cellStyle name="_Costs not in AURORA 2006GRC w gas price updated_Adj Bench DR 3 for Initial Briefs (Electric) 2 2" xfId="4022"/>
    <cellStyle name="_Costs not in AURORA 2006GRC w gas price updated_Adj Bench DR 3 for Initial Briefs (Electric) 3" xfId="4023"/>
    <cellStyle name="_Costs not in AURORA 2006GRC w gas price updated_Adj Bench DR 3 for Initial Briefs (Electric)_DEM-WP(C) ENERG10C--ctn Mid-C_042010 2010GRC" xfId="4024"/>
    <cellStyle name="_Costs not in AURORA 2006GRC w gas price updated_Book1" xfId="4025"/>
    <cellStyle name="_Costs not in AURORA 2006GRC w gas price updated_Book2" xfId="4026"/>
    <cellStyle name="_Costs not in AURORA 2006GRC w gas price updated_Book2 2" xfId="4027"/>
    <cellStyle name="_Costs not in AURORA 2006GRC w gas price updated_Book2 2 2" xfId="4028"/>
    <cellStyle name="_Costs not in AURORA 2006GRC w gas price updated_Book2 3" xfId="4029"/>
    <cellStyle name="_Costs not in AURORA 2006GRC w gas price updated_Book2_Adj Bench DR 3 for Initial Briefs (Electric)" xfId="4030"/>
    <cellStyle name="_Costs not in AURORA 2006GRC w gas price updated_Book2_Adj Bench DR 3 for Initial Briefs (Electric) 2" xfId="4031"/>
    <cellStyle name="_Costs not in AURORA 2006GRC w gas price updated_Book2_Adj Bench DR 3 for Initial Briefs (Electric) 2 2" xfId="4032"/>
    <cellStyle name="_Costs not in AURORA 2006GRC w gas price updated_Book2_Adj Bench DR 3 for Initial Briefs (Electric) 3" xfId="4033"/>
    <cellStyle name="_Costs not in AURORA 2006GRC w gas price updated_Book2_Adj Bench DR 3 for Initial Briefs (Electric)_DEM-WP(C) ENERG10C--ctn Mid-C_042010 2010GRC" xfId="4034"/>
    <cellStyle name="_Costs not in AURORA 2006GRC w gas price updated_Book2_DEM-WP(C) ENERG10C--ctn Mid-C_042010 2010GRC" xfId="4035"/>
    <cellStyle name="_Costs not in AURORA 2006GRC w gas price updated_Book2_Electric Rev Req Model (2009 GRC) Rebuttal" xfId="4036"/>
    <cellStyle name="_Costs not in AURORA 2006GRC w gas price updated_Book2_Electric Rev Req Model (2009 GRC) Rebuttal 2" xfId="4037"/>
    <cellStyle name="_Costs not in AURORA 2006GRC w gas price updated_Book2_Electric Rev Req Model (2009 GRC) Rebuttal REmoval of New  WH Solar AdjustMI" xfId="4038"/>
    <cellStyle name="_Costs not in AURORA 2006GRC w gas price updated_Book2_Electric Rev Req Model (2009 GRC) Rebuttal REmoval of New  WH Solar AdjustMI 2" xfId="4039"/>
    <cellStyle name="_Costs not in AURORA 2006GRC w gas price updated_Book2_Electric Rev Req Model (2009 GRC) Rebuttal REmoval of New  WH Solar AdjustMI 2 2" xfId="4040"/>
    <cellStyle name="_Costs not in AURORA 2006GRC w gas price updated_Book2_Electric Rev Req Model (2009 GRC) Rebuttal REmoval of New  WH Solar AdjustMI 3" xfId="4041"/>
    <cellStyle name="_Costs not in AURORA 2006GRC w gas price updated_Book2_Electric Rev Req Model (2009 GRC) Rebuttal REmoval of New  WH Solar AdjustMI_DEM-WP(C) ENERG10C--ctn Mid-C_042010 2010GRC" xfId="4042"/>
    <cellStyle name="_Costs not in AURORA 2006GRC w gas price updated_Book2_Electric Rev Req Model (2009 GRC) Revised 01-18-2010" xfId="4043"/>
    <cellStyle name="_Costs not in AURORA 2006GRC w gas price updated_Book2_Electric Rev Req Model (2009 GRC) Revised 01-18-2010 2" xfId="4044"/>
    <cellStyle name="_Costs not in AURORA 2006GRC w gas price updated_Book2_Electric Rev Req Model (2009 GRC) Revised 01-18-2010 2 2" xfId="4045"/>
    <cellStyle name="_Costs not in AURORA 2006GRC w gas price updated_Book2_Electric Rev Req Model (2009 GRC) Revised 01-18-2010 3" xfId="4046"/>
    <cellStyle name="_Costs not in AURORA 2006GRC w gas price updated_Book2_Electric Rev Req Model (2009 GRC) Revised 01-18-2010_DEM-WP(C) ENERG10C--ctn Mid-C_042010 2010GRC" xfId="4047"/>
    <cellStyle name="_Costs not in AURORA 2006GRC w gas price updated_Book2_Final Order Electric EXHIBIT A-1" xfId="4048"/>
    <cellStyle name="_Costs not in AURORA 2006GRC w gas price updated_Book2_Final Order Electric EXHIBIT A-1 2" xfId="4049"/>
    <cellStyle name="_Costs not in AURORA 2006GRC w gas price updated_Chelan PUD Power Costs (8-10)" xfId="4050"/>
    <cellStyle name="_Costs not in AURORA 2006GRC w gas price updated_Chelan PUD Power Costs (8-10) 2" xfId="4051"/>
    <cellStyle name="_Costs not in AURORA 2006GRC w gas price updated_Colstrip 1&amp;2 Annual O&amp;M Budgets" xfId="4052"/>
    <cellStyle name="_Costs not in AURORA 2006GRC w gas price updated_Colstrip 1&amp;2 Annual O&amp;M Budgets 2" xfId="4053"/>
    <cellStyle name="_Costs not in AURORA 2006GRC w gas price updated_Colstrip 1&amp;2 Annual O&amp;M Budgets 3" xfId="4054"/>
    <cellStyle name="_Costs not in AURORA 2006GRC w gas price updated_Confidential Material" xfId="4055"/>
    <cellStyle name="_Costs not in AURORA 2006GRC w gas price updated_Confidential Material 2" xfId="4056"/>
    <cellStyle name="_Costs not in AURORA 2006GRC w gas price updated_DEM-WP(C) Colstrip 12 Coal Cost Forecast 2010GRC" xfId="4057"/>
    <cellStyle name="_Costs not in AURORA 2006GRC w gas price updated_DEM-WP(C) Colstrip 12 Coal Cost Forecast 2010GRC 2" xfId="4058"/>
    <cellStyle name="_Costs not in AURORA 2006GRC w gas price updated_DEM-WP(C) ENERG10C--ctn Mid-C_042010 2010GRC" xfId="4059"/>
    <cellStyle name="_Costs not in AURORA 2006GRC w gas price updated_DEM-WP(C) Production O&amp;M 2010GRC As-Filed" xfId="4060"/>
    <cellStyle name="_Costs not in AURORA 2006GRC w gas price updated_DEM-WP(C) Production O&amp;M 2010GRC As-Filed 2" xfId="4061"/>
    <cellStyle name="_Costs not in AURORA 2006GRC w gas price updated_DEM-WP(C) Production O&amp;M 2010GRC As-Filed 2 2" xfId="4062"/>
    <cellStyle name="_Costs not in AURORA 2006GRC w gas price updated_DEM-WP(C) Production O&amp;M 2010GRC As-Filed 2 3" xfId="4063"/>
    <cellStyle name="_Costs not in AURORA 2006GRC w gas price updated_DEM-WP(C) Production O&amp;M 2010GRC As-Filed 3" xfId="4064"/>
    <cellStyle name="_Costs not in AURORA 2006GRC w gas price updated_DEM-WP(C) Production O&amp;M 2010GRC As-Filed 3 2" xfId="4065"/>
    <cellStyle name="_Costs not in AURORA 2006GRC w gas price updated_DEM-WP(C) Production O&amp;M 2010GRC As-Filed 4" xfId="4066"/>
    <cellStyle name="_Costs not in AURORA 2006GRC w gas price updated_DEM-WP(C) Production O&amp;M 2010GRC As-Filed 4 2" xfId="4067"/>
    <cellStyle name="_Costs not in AURORA 2006GRC w gas price updated_DEM-WP(C) Production O&amp;M 2010GRC As-Filed 5" xfId="4068"/>
    <cellStyle name="_Costs not in AURORA 2006GRC w gas price updated_DEM-WP(C) Production O&amp;M 2010GRC As-Filed 5 2" xfId="4069"/>
    <cellStyle name="_Costs not in AURORA 2006GRC w gas price updated_DEM-WP(C) Production O&amp;M 2010GRC As-Filed 6" xfId="4070"/>
    <cellStyle name="_Costs not in AURORA 2006GRC w gas price updated_DEM-WP(C) Production O&amp;M 2010GRC As-Filed 6 2" xfId="4071"/>
    <cellStyle name="_Costs not in AURORA 2006GRC w gas price updated_Electric Rev Req Model (2009 GRC) " xfId="4072"/>
    <cellStyle name="_Costs not in AURORA 2006GRC w gas price updated_Electric Rev Req Model (2009 GRC)  2" xfId="4073"/>
    <cellStyle name="_Costs not in AURORA 2006GRC w gas price updated_Electric Rev Req Model (2009 GRC)  2 2" xfId="4074"/>
    <cellStyle name="_Costs not in AURORA 2006GRC w gas price updated_Electric Rev Req Model (2009 GRC)  3" xfId="4075"/>
    <cellStyle name="_Costs not in AURORA 2006GRC w gas price updated_Electric Rev Req Model (2009 GRC) _DEM-WP(C) ENERG10C--ctn Mid-C_042010 2010GRC" xfId="4076"/>
    <cellStyle name="_Costs not in AURORA 2006GRC w gas price updated_Electric Rev Req Model (2009 GRC) Rebuttal" xfId="4077"/>
    <cellStyle name="_Costs not in AURORA 2006GRC w gas price updated_Electric Rev Req Model (2009 GRC) Rebuttal 2" xfId="4078"/>
    <cellStyle name="_Costs not in AURORA 2006GRC w gas price updated_Electric Rev Req Model (2009 GRC) Rebuttal REmoval of New  WH Solar AdjustMI" xfId="4079"/>
    <cellStyle name="_Costs not in AURORA 2006GRC w gas price updated_Electric Rev Req Model (2009 GRC) Rebuttal REmoval of New  WH Solar AdjustMI 2" xfId="4080"/>
    <cellStyle name="_Costs not in AURORA 2006GRC w gas price updated_Electric Rev Req Model (2009 GRC) Rebuttal REmoval of New  WH Solar AdjustMI 2 2" xfId="4081"/>
    <cellStyle name="_Costs not in AURORA 2006GRC w gas price updated_Electric Rev Req Model (2009 GRC) Rebuttal REmoval of New  WH Solar AdjustMI 3" xfId="4082"/>
    <cellStyle name="_Costs not in AURORA 2006GRC w gas price updated_Electric Rev Req Model (2009 GRC) Rebuttal REmoval of New  WH Solar AdjustMI_DEM-WP(C) ENERG10C--ctn Mid-C_042010 2010GRC" xfId="4083"/>
    <cellStyle name="_Costs not in AURORA 2006GRC w gas price updated_Electric Rev Req Model (2009 GRC) Revised 01-18-2010" xfId="4084"/>
    <cellStyle name="_Costs not in AURORA 2006GRC w gas price updated_Electric Rev Req Model (2009 GRC) Revised 01-18-2010 2" xfId="4085"/>
    <cellStyle name="_Costs not in AURORA 2006GRC w gas price updated_Electric Rev Req Model (2009 GRC) Revised 01-18-2010 2 2" xfId="4086"/>
    <cellStyle name="_Costs not in AURORA 2006GRC w gas price updated_Electric Rev Req Model (2009 GRC) Revised 01-18-2010 3" xfId="4087"/>
    <cellStyle name="_Costs not in AURORA 2006GRC w gas price updated_Electric Rev Req Model (2009 GRC) Revised 01-18-2010_DEM-WP(C) ENERG10C--ctn Mid-C_042010 2010GRC" xfId="4088"/>
    <cellStyle name="_Costs not in AURORA 2006GRC w gas price updated_Electric Rev Req Model (2010 GRC)" xfId="4089"/>
    <cellStyle name="_Costs not in AURORA 2006GRC w gas price updated_Electric Rev Req Model (2010 GRC) SF" xfId="4090"/>
    <cellStyle name="_Costs not in AURORA 2006GRC w gas price updated_Final Order Electric EXHIBIT A-1" xfId="4091"/>
    <cellStyle name="_Costs not in AURORA 2006GRC w gas price updated_Final Order Electric EXHIBIT A-1 2" xfId="4092"/>
    <cellStyle name="_Costs not in AURORA 2006GRC w gas price updated_NIM Summary" xfId="4093"/>
    <cellStyle name="_Costs not in AURORA 2006GRC w gas price updated_NIM Summary 2" xfId="4094"/>
    <cellStyle name="_Costs not in AURORA 2006GRC w gas price updated_NIM Summary 2 2" xfId="4095"/>
    <cellStyle name="_Costs not in AURORA 2006GRC w gas price updated_NIM Summary 3" xfId="4096"/>
    <cellStyle name="_Costs not in AURORA 2006GRC w gas price updated_NIM Summary_DEM-WP(C) ENERG10C--ctn Mid-C_042010 2010GRC" xfId="4097"/>
    <cellStyle name="_Costs not in AURORA 2006GRC w gas price updated_Rebuttal Power Costs" xfId="4098"/>
    <cellStyle name="_Costs not in AURORA 2006GRC w gas price updated_Rebuttal Power Costs 2" xfId="4099"/>
    <cellStyle name="_Costs not in AURORA 2006GRC w gas price updated_Rebuttal Power Costs 2 2" xfId="4100"/>
    <cellStyle name="_Costs not in AURORA 2006GRC w gas price updated_Rebuttal Power Costs 3" xfId="4101"/>
    <cellStyle name="_Costs not in AURORA 2006GRC w gas price updated_Rebuttal Power Costs_Adj Bench DR 3 for Initial Briefs (Electric)" xfId="4102"/>
    <cellStyle name="_Costs not in AURORA 2006GRC w gas price updated_Rebuttal Power Costs_Adj Bench DR 3 for Initial Briefs (Electric) 2" xfId="4103"/>
    <cellStyle name="_Costs not in AURORA 2006GRC w gas price updated_Rebuttal Power Costs_Adj Bench DR 3 for Initial Briefs (Electric) 2 2" xfId="4104"/>
    <cellStyle name="_Costs not in AURORA 2006GRC w gas price updated_Rebuttal Power Costs_Adj Bench DR 3 for Initial Briefs (Electric) 3" xfId="4105"/>
    <cellStyle name="_Costs not in AURORA 2006GRC w gas price updated_Rebuttal Power Costs_Adj Bench DR 3 for Initial Briefs (Electric)_DEM-WP(C) ENERG10C--ctn Mid-C_042010 2010GRC" xfId="4106"/>
    <cellStyle name="_Costs not in AURORA 2006GRC w gas price updated_Rebuttal Power Costs_DEM-WP(C) ENERG10C--ctn Mid-C_042010 2010GRC" xfId="4107"/>
    <cellStyle name="_Costs not in AURORA 2006GRC w gas price updated_Rebuttal Power Costs_Electric Rev Req Model (2009 GRC) Rebuttal" xfId="4108"/>
    <cellStyle name="_Costs not in AURORA 2006GRC w gas price updated_Rebuttal Power Costs_Electric Rev Req Model (2009 GRC) Rebuttal 2" xfId="4109"/>
    <cellStyle name="_Costs not in AURORA 2006GRC w gas price updated_Rebuttal Power Costs_Electric Rev Req Model (2009 GRC) Rebuttal REmoval of New  WH Solar AdjustMI" xfId="4110"/>
    <cellStyle name="_Costs not in AURORA 2006GRC w gas price updated_Rebuttal Power Costs_Electric Rev Req Model (2009 GRC) Rebuttal REmoval of New  WH Solar AdjustMI 2" xfId="4111"/>
    <cellStyle name="_Costs not in AURORA 2006GRC w gas price updated_Rebuttal Power Costs_Electric Rev Req Model (2009 GRC) Rebuttal REmoval of New  WH Solar AdjustMI 2 2" xfId="4112"/>
    <cellStyle name="_Costs not in AURORA 2006GRC w gas price updated_Rebuttal Power Costs_Electric Rev Req Model (2009 GRC) Rebuttal REmoval of New  WH Solar AdjustMI 3" xfId="4113"/>
    <cellStyle name="_Costs not in AURORA 2006GRC w gas price updated_Rebuttal Power Costs_Electric Rev Req Model (2009 GRC) Rebuttal REmoval of New  WH Solar AdjustMI_DEM-WP(C) ENERG10C--ctn Mid-C_042010 2010GRC" xfId="4114"/>
    <cellStyle name="_Costs not in AURORA 2006GRC w gas price updated_Rebuttal Power Costs_Electric Rev Req Model (2009 GRC) Revised 01-18-2010" xfId="4115"/>
    <cellStyle name="_Costs not in AURORA 2006GRC w gas price updated_Rebuttal Power Costs_Electric Rev Req Model (2009 GRC) Revised 01-18-2010 2" xfId="4116"/>
    <cellStyle name="_Costs not in AURORA 2006GRC w gas price updated_Rebuttal Power Costs_Electric Rev Req Model (2009 GRC) Revised 01-18-2010 2 2" xfId="4117"/>
    <cellStyle name="_Costs not in AURORA 2006GRC w gas price updated_Rebuttal Power Costs_Electric Rev Req Model (2009 GRC) Revised 01-18-2010 3" xfId="4118"/>
    <cellStyle name="_Costs not in AURORA 2006GRC w gas price updated_Rebuttal Power Costs_Electric Rev Req Model (2009 GRC) Revised 01-18-2010_DEM-WP(C) ENERG10C--ctn Mid-C_042010 2010GRC" xfId="4119"/>
    <cellStyle name="_Costs not in AURORA 2006GRC w gas price updated_Rebuttal Power Costs_Final Order Electric EXHIBIT A-1" xfId="4120"/>
    <cellStyle name="_Costs not in AURORA 2006GRC w gas price updated_Rebuttal Power Costs_Final Order Electric EXHIBIT A-1 2" xfId="4121"/>
    <cellStyle name="_Costs not in AURORA 2006GRC w gas price updated_TENASKA REGULATORY ASSET" xfId="4122"/>
    <cellStyle name="_Costs not in AURORA 2006GRC w gas price updated_TENASKA REGULATORY ASSET 2" xfId="4123"/>
    <cellStyle name="_Costs not in AURORA 2007 Rate Case" xfId="4124"/>
    <cellStyle name="_Costs not in AURORA 2007 Rate Case 2" xfId="4125"/>
    <cellStyle name="_Costs not in AURORA 2007 Rate Case 2 2" xfId="4126"/>
    <cellStyle name="_Costs not in AURORA 2007 Rate Case 2 2 2" xfId="4127"/>
    <cellStyle name="_Costs not in AURORA 2007 Rate Case 2 3" xfId="4128"/>
    <cellStyle name="_Costs not in AURORA 2007 Rate Case 3" xfId="4129"/>
    <cellStyle name="_Costs not in AURORA 2007 Rate Case 3 2" xfId="4130"/>
    <cellStyle name="_Costs not in AURORA 2007 Rate Case 4" xfId="4131"/>
    <cellStyle name="_Costs not in AURORA 2007 Rate Case 4 2" xfId="4132"/>
    <cellStyle name="_Costs not in AURORA 2007 Rate Case 4 3" xfId="4133"/>
    <cellStyle name="_Costs not in AURORA 2007 Rate Case 5" xfId="4134"/>
    <cellStyle name="_Costs not in AURORA 2007 Rate Case 5 2" xfId="4135"/>
    <cellStyle name="_Costs not in AURORA 2007 Rate Case 6" xfId="4136"/>
    <cellStyle name="_Costs not in AURORA 2007 Rate Case 6 2" xfId="4137"/>
    <cellStyle name="_Costs not in AURORA 2007 Rate Case 7" xfId="4138"/>
    <cellStyle name="_Costs not in AURORA 2007 Rate Case 7 2" xfId="4139"/>
    <cellStyle name="_Costs not in AURORA 2007 Rate Case_(C) WHE Proforma with ITC cash grant 10 Yr Amort_for deferral_102809" xfId="4140"/>
    <cellStyle name="_Costs not in AURORA 2007 Rate Case_(C) WHE Proforma with ITC cash grant 10 Yr Amort_for deferral_102809 2" xfId="4141"/>
    <cellStyle name="_Costs not in AURORA 2007 Rate Case_(C) WHE Proforma with ITC cash grant 10 Yr Amort_for deferral_102809 2 2" xfId="4142"/>
    <cellStyle name="_Costs not in AURORA 2007 Rate Case_(C) WHE Proforma with ITC cash grant 10 Yr Amort_for deferral_102809 3" xfId="4143"/>
    <cellStyle name="_Costs not in AURORA 2007 Rate Case_(C) WHE Proforma with ITC cash grant 10 Yr Amort_for deferral_102809_16.07E Wild Horse Wind Expansionwrkingfile" xfId="4144"/>
    <cellStyle name="_Costs not in AURORA 2007 Rate Case_(C) WHE Proforma with ITC cash grant 10 Yr Amort_for deferral_102809_16.07E Wild Horse Wind Expansionwrkingfile 2" xfId="4145"/>
    <cellStyle name="_Costs not in AURORA 2007 Rate Case_(C) WHE Proforma with ITC cash grant 10 Yr Amort_for deferral_102809_16.07E Wild Horse Wind Expansionwrkingfile 2 2" xfId="4146"/>
    <cellStyle name="_Costs not in AURORA 2007 Rate Case_(C) WHE Proforma with ITC cash grant 10 Yr Amort_for deferral_102809_16.07E Wild Horse Wind Expansionwrkingfile 3" xfId="4147"/>
    <cellStyle name="_Costs not in AURORA 2007 Rate Case_(C) WHE Proforma with ITC cash grant 10 Yr Amort_for deferral_102809_16.07E Wild Horse Wind Expansionwrkingfile SF" xfId="4148"/>
    <cellStyle name="_Costs not in AURORA 2007 Rate Case_(C) WHE Proforma with ITC cash grant 10 Yr Amort_for deferral_102809_16.07E Wild Horse Wind Expansionwrkingfile SF 2" xfId="4149"/>
    <cellStyle name="_Costs not in AURORA 2007 Rate Case_(C) WHE Proforma with ITC cash grant 10 Yr Amort_for deferral_102809_16.07E Wild Horse Wind Expansionwrkingfile SF 2 2" xfId="4150"/>
    <cellStyle name="_Costs not in AURORA 2007 Rate Case_(C) WHE Proforma with ITC cash grant 10 Yr Amort_for deferral_102809_16.07E Wild Horse Wind Expansionwrkingfile SF 3" xfId="4151"/>
    <cellStyle name="_Costs not in AURORA 2007 Rate Case_(C) WHE Proforma with ITC cash grant 10 Yr Amort_for deferral_102809_16.07E Wild Horse Wind Expansionwrkingfile SF_DEM-WP(C) ENERG10C--ctn Mid-C_042010 2010GRC" xfId="4152"/>
    <cellStyle name="_Costs not in AURORA 2007 Rate Case_(C) WHE Proforma with ITC cash grant 10 Yr Amort_for deferral_102809_16.07E Wild Horse Wind Expansionwrkingfile_DEM-WP(C) ENERG10C--ctn Mid-C_042010 2010GRC" xfId="4153"/>
    <cellStyle name="_Costs not in AURORA 2007 Rate Case_(C) WHE Proforma with ITC cash grant 10 Yr Amort_for deferral_102809_16.37E Wild Horse Expansion DeferralRevwrkingfile SF" xfId="4154"/>
    <cellStyle name="_Costs not in AURORA 2007 Rate Case_(C) WHE Proforma with ITC cash grant 10 Yr Amort_for deferral_102809_16.37E Wild Horse Expansion DeferralRevwrkingfile SF 2" xfId="4155"/>
    <cellStyle name="_Costs not in AURORA 2007 Rate Case_(C) WHE Proforma with ITC cash grant 10 Yr Amort_for deferral_102809_16.37E Wild Horse Expansion DeferralRevwrkingfile SF 2 2" xfId="4156"/>
    <cellStyle name="_Costs not in AURORA 2007 Rate Case_(C) WHE Proforma with ITC cash grant 10 Yr Amort_for deferral_102809_16.37E Wild Horse Expansion DeferralRevwrkingfile SF 3" xfId="4157"/>
    <cellStyle name="_Costs not in AURORA 2007 Rate Case_(C) WHE Proforma with ITC cash grant 10 Yr Amort_for deferral_102809_16.37E Wild Horse Expansion DeferralRevwrkingfile SF_DEM-WP(C) ENERG10C--ctn Mid-C_042010 2010GRC" xfId="4158"/>
    <cellStyle name="_Costs not in AURORA 2007 Rate Case_(C) WHE Proforma with ITC cash grant 10 Yr Amort_for deferral_102809_DEM-WP(C) ENERG10C--ctn Mid-C_042010 2010GRC" xfId="4159"/>
    <cellStyle name="_Costs not in AURORA 2007 Rate Case_(C) WHE Proforma with ITC cash grant 10 Yr Amort_for rebuttal_120709" xfId="4160"/>
    <cellStyle name="_Costs not in AURORA 2007 Rate Case_(C) WHE Proforma with ITC cash grant 10 Yr Amort_for rebuttal_120709 2" xfId="4161"/>
    <cellStyle name="_Costs not in AURORA 2007 Rate Case_(C) WHE Proforma with ITC cash grant 10 Yr Amort_for rebuttal_120709 2 2" xfId="4162"/>
    <cellStyle name="_Costs not in AURORA 2007 Rate Case_(C) WHE Proforma with ITC cash grant 10 Yr Amort_for rebuttal_120709 3" xfId="4163"/>
    <cellStyle name="_Costs not in AURORA 2007 Rate Case_(C) WHE Proforma with ITC cash grant 10 Yr Amort_for rebuttal_120709_DEM-WP(C) ENERG10C--ctn Mid-C_042010 2010GRC" xfId="4164"/>
    <cellStyle name="_Costs not in AURORA 2007 Rate Case_04.07E Wild Horse Wind Expansion" xfId="4165"/>
    <cellStyle name="_Costs not in AURORA 2007 Rate Case_04.07E Wild Horse Wind Expansion 2" xfId="4166"/>
    <cellStyle name="_Costs not in AURORA 2007 Rate Case_04.07E Wild Horse Wind Expansion 2 2" xfId="4167"/>
    <cellStyle name="_Costs not in AURORA 2007 Rate Case_04.07E Wild Horse Wind Expansion 3" xfId="4168"/>
    <cellStyle name="_Costs not in AURORA 2007 Rate Case_04.07E Wild Horse Wind Expansion_16.07E Wild Horse Wind Expansionwrkingfile" xfId="4169"/>
    <cellStyle name="_Costs not in AURORA 2007 Rate Case_04.07E Wild Horse Wind Expansion_16.07E Wild Horse Wind Expansionwrkingfile 2" xfId="4170"/>
    <cellStyle name="_Costs not in AURORA 2007 Rate Case_04.07E Wild Horse Wind Expansion_16.07E Wild Horse Wind Expansionwrkingfile 2 2" xfId="4171"/>
    <cellStyle name="_Costs not in AURORA 2007 Rate Case_04.07E Wild Horse Wind Expansion_16.07E Wild Horse Wind Expansionwrkingfile 3" xfId="4172"/>
    <cellStyle name="_Costs not in AURORA 2007 Rate Case_04.07E Wild Horse Wind Expansion_16.07E Wild Horse Wind Expansionwrkingfile SF" xfId="4173"/>
    <cellStyle name="_Costs not in AURORA 2007 Rate Case_04.07E Wild Horse Wind Expansion_16.07E Wild Horse Wind Expansionwrkingfile SF 2" xfId="4174"/>
    <cellStyle name="_Costs not in AURORA 2007 Rate Case_04.07E Wild Horse Wind Expansion_16.07E Wild Horse Wind Expansionwrkingfile SF 2 2" xfId="4175"/>
    <cellStyle name="_Costs not in AURORA 2007 Rate Case_04.07E Wild Horse Wind Expansion_16.07E Wild Horse Wind Expansionwrkingfile SF 3" xfId="4176"/>
    <cellStyle name="_Costs not in AURORA 2007 Rate Case_04.07E Wild Horse Wind Expansion_16.07E Wild Horse Wind Expansionwrkingfile SF_DEM-WP(C) ENERG10C--ctn Mid-C_042010 2010GRC" xfId="4177"/>
    <cellStyle name="_Costs not in AURORA 2007 Rate Case_04.07E Wild Horse Wind Expansion_16.07E Wild Horse Wind Expansionwrkingfile_DEM-WP(C) ENERG10C--ctn Mid-C_042010 2010GRC" xfId="4178"/>
    <cellStyle name="_Costs not in AURORA 2007 Rate Case_04.07E Wild Horse Wind Expansion_16.37E Wild Horse Expansion DeferralRevwrkingfile SF" xfId="4179"/>
    <cellStyle name="_Costs not in AURORA 2007 Rate Case_04.07E Wild Horse Wind Expansion_16.37E Wild Horse Expansion DeferralRevwrkingfile SF 2" xfId="4180"/>
    <cellStyle name="_Costs not in AURORA 2007 Rate Case_04.07E Wild Horse Wind Expansion_16.37E Wild Horse Expansion DeferralRevwrkingfile SF 2 2" xfId="4181"/>
    <cellStyle name="_Costs not in AURORA 2007 Rate Case_04.07E Wild Horse Wind Expansion_16.37E Wild Horse Expansion DeferralRevwrkingfile SF 3" xfId="4182"/>
    <cellStyle name="_Costs not in AURORA 2007 Rate Case_04.07E Wild Horse Wind Expansion_16.37E Wild Horse Expansion DeferralRevwrkingfile SF_DEM-WP(C) ENERG10C--ctn Mid-C_042010 2010GRC" xfId="4183"/>
    <cellStyle name="_Costs not in AURORA 2007 Rate Case_04.07E Wild Horse Wind Expansion_DEM-WP(C) ENERG10C--ctn Mid-C_042010 2010GRC" xfId="4184"/>
    <cellStyle name="_Costs not in AURORA 2007 Rate Case_16.07E Wild Horse Wind Expansionwrkingfile" xfId="4185"/>
    <cellStyle name="_Costs not in AURORA 2007 Rate Case_16.07E Wild Horse Wind Expansionwrkingfile 2" xfId="4186"/>
    <cellStyle name="_Costs not in AURORA 2007 Rate Case_16.07E Wild Horse Wind Expansionwrkingfile 2 2" xfId="4187"/>
    <cellStyle name="_Costs not in AURORA 2007 Rate Case_16.07E Wild Horse Wind Expansionwrkingfile 3" xfId="4188"/>
    <cellStyle name="_Costs not in AURORA 2007 Rate Case_16.07E Wild Horse Wind Expansionwrkingfile SF" xfId="4189"/>
    <cellStyle name="_Costs not in AURORA 2007 Rate Case_16.07E Wild Horse Wind Expansionwrkingfile SF 2" xfId="4190"/>
    <cellStyle name="_Costs not in AURORA 2007 Rate Case_16.07E Wild Horse Wind Expansionwrkingfile SF 2 2" xfId="4191"/>
    <cellStyle name="_Costs not in AURORA 2007 Rate Case_16.07E Wild Horse Wind Expansionwrkingfile SF 3" xfId="4192"/>
    <cellStyle name="_Costs not in AURORA 2007 Rate Case_16.07E Wild Horse Wind Expansionwrkingfile SF_DEM-WP(C) ENERG10C--ctn Mid-C_042010 2010GRC" xfId="4193"/>
    <cellStyle name="_Costs not in AURORA 2007 Rate Case_16.07E Wild Horse Wind Expansionwrkingfile_DEM-WP(C) ENERG10C--ctn Mid-C_042010 2010GRC" xfId="4194"/>
    <cellStyle name="_Costs not in AURORA 2007 Rate Case_16.37E Wild Horse Expansion DeferralRevwrkingfile SF" xfId="4195"/>
    <cellStyle name="_Costs not in AURORA 2007 Rate Case_16.37E Wild Horse Expansion DeferralRevwrkingfile SF 2" xfId="4196"/>
    <cellStyle name="_Costs not in AURORA 2007 Rate Case_16.37E Wild Horse Expansion DeferralRevwrkingfile SF 2 2" xfId="4197"/>
    <cellStyle name="_Costs not in AURORA 2007 Rate Case_16.37E Wild Horse Expansion DeferralRevwrkingfile SF 3" xfId="4198"/>
    <cellStyle name="_Costs not in AURORA 2007 Rate Case_16.37E Wild Horse Expansion DeferralRevwrkingfile SF_DEM-WP(C) ENERG10C--ctn Mid-C_042010 2010GRC" xfId="4199"/>
    <cellStyle name="_Costs not in AURORA 2007 Rate Case_2009 Compliance Filing PCA Exhibits for GRC" xfId="4200"/>
    <cellStyle name="_Costs not in AURORA 2007 Rate Case_2009 Compliance Filing PCA Exhibits for GRC 2" xfId="4201"/>
    <cellStyle name="_Costs not in AURORA 2007 Rate Case_2009 GRC Compl Filing - Exhibit D" xfId="4202"/>
    <cellStyle name="_Costs not in AURORA 2007 Rate Case_2009 GRC Compl Filing - Exhibit D 2" xfId="4203"/>
    <cellStyle name="_Costs not in AURORA 2007 Rate Case_2009 GRC Compl Filing - Exhibit D 2 2" xfId="4204"/>
    <cellStyle name="_Costs not in AURORA 2007 Rate Case_2009 GRC Compl Filing - Exhibit D 3" xfId="4205"/>
    <cellStyle name="_Costs not in AURORA 2007 Rate Case_2009 GRC Compl Filing - Exhibit D_DEM-WP(C) ENERG10C--ctn Mid-C_042010 2010GRC" xfId="4206"/>
    <cellStyle name="_Costs not in AURORA 2007 Rate Case_3.01 Income Statement" xfId="4207"/>
    <cellStyle name="_Costs not in AURORA 2007 Rate Case_4 31 Regulatory Assets and Liabilities  7 06- Exhibit D" xfId="4208"/>
    <cellStyle name="_Costs not in AURORA 2007 Rate Case_4 31 Regulatory Assets and Liabilities  7 06- Exhibit D 2" xfId="4209"/>
    <cellStyle name="_Costs not in AURORA 2007 Rate Case_4 31 Regulatory Assets and Liabilities  7 06- Exhibit D 2 2" xfId="4210"/>
    <cellStyle name="_Costs not in AURORA 2007 Rate Case_4 31 Regulatory Assets and Liabilities  7 06- Exhibit D 3" xfId="4211"/>
    <cellStyle name="_Costs not in AURORA 2007 Rate Case_4 31 Regulatory Assets and Liabilities  7 06- Exhibit D_DEM-WP(C) ENERG10C--ctn Mid-C_042010 2010GRC" xfId="4212"/>
    <cellStyle name="_Costs not in AURORA 2007 Rate Case_4 31 Regulatory Assets and Liabilities  7 06- Exhibit D_NIM Summary" xfId="4213"/>
    <cellStyle name="_Costs not in AURORA 2007 Rate Case_4 31 Regulatory Assets and Liabilities  7 06- Exhibit D_NIM Summary 2" xfId="4214"/>
    <cellStyle name="_Costs not in AURORA 2007 Rate Case_4 31 Regulatory Assets and Liabilities  7 06- Exhibit D_NIM Summary 2 2" xfId="4215"/>
    <cellStyle name="_Costs not in AURORA 2007 Rate Case_4 31 Regulatory Assets and Liabilities  7 06- Exhibit D_NIM Summary 3" xfId="4216"/>
    <cellStyle name="_Costs not in AURORA 2007 Rate Case_4 31 Regulatory Assets and Liabilities  7 06- Exhibit D_NIM Summary_DEM-WP(C) ENERG10C--ctn Mid-C_042010 2010GRC" xfId="4217"/>
    <cellStyle name="_Costs not in AURORA 2007 Rate Case_4 31E Reg Asset  Liab and EXH D" xfId="4218"/>
    <cellStyle name="_Costs not in AURORA 2007 Rate Case_4 31E Reg Asset  Liab and EXH D _ Aug 10 Filing (2)" xfId="4219"/>
    <cellStyle name="_Costs not in AURORA 2007 Rate Case_4 31E Reg Asset  Liab and EXH D _ Aug 10 Filing (2) 2" xfId="4220"/>
    <cellStyle name="_Costs not in AURORA 2007 Rate Case_4 31E Reg Asset  Liab and EXH D 2" xfId="4221"/>
    <cellStyle name="_Costs not in AURORA 2007 Rate Case_4 31E Reg Asset  Liab and EXH D 3" xfId="4222"/>
    <cellStyle name="_Costs not in AURORA 2007 Rate Case_4 32 Regulatory Assets and Liabilities  7 06- Exhibit D" xfId="4223"/>
    <cellStyle name="_Costs not in AURORA 2007 Rate Case_4 32 Regulatory Assets and Liabilities  7 06- Exhibit D 2" xfId="4224"/>
    <cellStyle name="_Costs not in AURORA 2007 Rate Case_4 32 Regulatory Assets and Liabilities  7 06- Exhibit D 2 2" xfId="4225"/>
    <cellStyle name="_Costs not in AURORA 2007 Rate Case_4 32 Regulatory Assets and Liabilities  7 06- Exhibit D 3" xfId="4226"/>
    <cellStyle name="_Costs not in AURORA 2007 Rate Case_4 32 Regulatory Assets and Liabilities  7 06- Exhibit D_DEM-WP(C) ENERG10C--ctn Mid-C_042010 2010GRC" xfId="4227"/>
    <cellStyle name="_Costs not in AURORA 2007 Rate Case_4 32 Regulatory Assets and Liabilities  7 06- Exhibit D_NIM Summary" xfId="4228"/>
    <cellStyle name="_Costs not in AURORA 2007 Rate Case_4 32 Regulatory Assets and Liabilities  7 06- Exhibit D_NIM Summary 2" xfId="4229"/>
    <cellStyle name="_Costs not in AURORA 2007 Rate Case_4 32 Regulatory Assets and Liabilities  7 06- Exhibit D_NIM Summary 2 2" xfId="4230"/>
    <cellStyle name="_Costs not in AURORA 2007 Rate Case_4 32 Regulatory Assets and Liabilities  7 06- Exhibit D_NIM Summary 3" xfId="4231"/>
    <cellStyle name="_Costs not in AURORA 2007 Rate Case_4 32 Regulatory Assets and Liabilities  7 06- Exhibit D_NIM Summary_DEM-WP(C) ENERG10C--ctn Mid-C_042010 2010GRC" xfId="4232"/>
    <cellStyle name="_Costs not in AURORA 2007 Rate Case_AURORA Total New" xfId="4233"/>
    <cellStyle name="_Costs not in AURORA 2007 Rate Case_AURORA Total New 2" xfId="4234"/>
    <cellStyle name="_Costs not in AURORA 2007 Rate Case_AURORA Total New 2 2" xfId="4235"/>
    <cellStyle name="_Costs not in AURORA 2007 Rate Case_AURORA Total New 3" xfId="4236"/>
    <cellStyle name="_Costs not in AURORA 2007 Rate Case_Book2" xfId="4237"/>
    <cellStyle name="_Costs not in AURORA 2007 Rate Case_Book2 2" xfId="4238"/>
    <cellStyle name="_Costs not in AURORA 2007 Rate Case_Book2 2 2" xfId="4239"/>
    <cellStyle name="_Costs not in AURORA 2007 Rate Case_Book2 3" xfId="4240"/>
    <cellStyle name="_Costs not in AURORA 2007 Rate Case_Book2_Adj Bench DR 3 for Initial Briefs (Electric)" xfId="4241"/>
    <cellStyle name="_Costs not in AURORA 2007 Rate Case_Book2_Adj Bench DR 3 for Initial Briefs (Electric) 2" xfId="4242"/>
    <cellStyle name="_Costs not in AURORA 2007 Rate Case_Book2_Adj Bench DR 3 for Initial Briefs (Electric) 2 2" xfId="4243"/>
    <cellStyle name="_Costs not in AURORA 2007 Rate Case_Book2_Adj Bench DR 3 for Initial Briefs (Electric) 3" xfId="4244"/>
    <cellStyle name="_Costs not in AURORA 2007 Rate Case_Book2_Adj Bench DR 3 for Initial Briefs (Electric)_DEM-WP(C) ENERG10C--ctn Mid-C_042010 2010GRC" xfId="4245"/>
    <cellStyle name="_Costs not in AURORA 2007 Rate Case_Book2_DEM-WP(C) ENERG10C--ctn Mid-C_042010 2010GRC" xfId="4246"/>
    <cellStyle name="_Costs not in AURORA 2007 Rate Case_Book2_Electric Rev Req Model (2009 GRC) Rebuttal" xfId="4247"/>
    <cellStyle name="_Costs not in AURORA 2007 Rate Case_Book2_Electric Rev Req Model (2009 GRC) Rebuttal 2" xfId="4248"/>
    <cellStyle name="_Costs not in AURORA 2007 Rate Case_Book2_Electric Rev Req Model (2009 GRC) Rebuttal REmoval of New  WH Solar AdjustMI" xfId="4249"/>
    <cellStyle name="_Costs not in AURORA 2007 Rate Case_Book2_Electric Rev Req Model (2009 GRC) Rebuttal REmoval of New  WH Solar AdjustMI 2" xfId="4250"/>
    <cellStyle name="_Costs not in AURORA 2007 Rate Case_Book2_Electric Rev Req Model (2009 GRC) Rebuttal REmoval of New  WH Solar AdjustMI 2 2" xfId="4251"/>
    <cellStyle name="_Costs not in AURORA 2007 Rate Case_Book2_Electric Rev Req Model (2009 GRC) Rebuttal REmoval of New  WH Solar AdjustMI 3" xfId="4252"/>
    <cellStyle name="_Costs not in AURORA 2007 Rate Case_Book2_Electric Rev Req Model (2009 GRC) Rebuttal REmoval of New  WH Solar AdjustMI_DEM-WP(C) ENERG10C--ctn Mid-C_042010 2010GRC" xfId="4253"/>
    <cellStyle name="_Costs not in AURORA 2007 Rate Case_Book2_Electric Rev Req Model (2009 GRC) Revised 01-18-2010" xfId="4254"/>
    <cellStyle name="_Costs not in AURORA 2007 Rate Case_Book2_Electric Rev Req Model (2009 GRC) Revised 01-18-2010 2" xfId="4255"/>
    <cellStyle name="_Costs not in AURORA 2007 Rate Case_Book2_Electric Rev Req Model (2009 GRC) Revised 01-18-2010 2 2" xfId="4256"/>
    <cellStyle name="_Costs not in AURORA 2007 Rate Case_Book2_Electric Rev Req Model (2009 GRC) Revised 01-18-2010 3" xfId="4257"/>
    <cellStyle name="_Costs not in AURORA 2007 Rate Case_Book2_Electric Rev Req Model (2009 GRC) Revised 01-18-2010_DEM-WP(C) ENERG10C--ctn Mid-C_042010 2010GRC" xfId="4258"/>
    <cellStyle name="_Costs not in AURORA 2007 Rate Case_Book2_Final Order Electric EXHIBIT A-1" xfId="4259"/>
    <cellStyle name="_Costs not in AURORA 2007 Rate Case_Book2_Final Order Electric EXHIBIT A-1 2" xfId="4260"/>
    <cellStyle name="_Costs not in AURORA 2007 Rate Case_Book4" xfId="4261"/>
    <cellStyle name="_Costs not in AURORA 2007 Rate Case_Book4 2" xfId="4262"/>
    <cellStyle name="_Costs not in AURORA 2007 Rate Case_Book4 2 2" xfId="4263"/>
    <cellStyle name="_Costs not in AURORA 2007 Rate Case_Book4 3" xfId="4264"/>
    <cellStyle name="_Costs not in AURORA 2007 Rate Case_Book4_DEM-WP(C) ENERG10C--ctn Mid-C_042010 2010GRC" xfId="4265"/>
    <cellStyle name="_Costs not in AURORA 2007 Rate Case_Book9" xfId="4266"/>
    <cellStyle name="_Costs not in AURORA 2007 Rate Case_Book9 2" xfId="4267"/>
    <cellStyle name="_Costs not in AURORA 2007 Rate Case_Book9 2 2" xfId="4268"/>
    <cellStyle name="_Costs not in AURORA 2007 Rate Case_Book9 3" xfId="4269"/>
    <cellStyle name="_Costs not in AURORA 2007 Rate Case_Book9_DEM-WP(C) ENERG10C--ctn Mid-C_042010 2010GRC" xfId="4270"/>
    <cellStyle name="_Costs not in AURORA 2007 Rate Case_Chelan PUD Power Costs (8-10)" xfId="4271"/>
    <cellStyle name="_Costs not in AURORA 2007 Rate Case_Chelan PUD Power Costs (8-10) 2" xfId="4272"/>
    <cellStyle name="_Costs not in AURORA 2007 Rate Case_DEM-WP(C) Chelan Power Costs" xfId="4273"/>
    <cellStyle name="_Costs not in AURORA 2007 Rate Case_DEM-WP(C) Chelan Power Costs 2" xfId="4274"/>
    <cellStyle name="_Costs not in AURORA 2007 Rate Case_DEM-WP(C) ENERG10C--ctn Mid-C_042010 2010GRC" xfId="4275"/>
    <cellStyle name="_Costs not in AURORA 2007 Rate Case_DEM-WP(C) Gas Transport 2010GRC" xfId="4276"/>
    <cellStyle name="_Costs not in AURORA 2007 Rate Case_DEM-WP(C) Gas Transport 2010GRC 2" xfId="4277"/>
    <cellStyle name="_Costs not in AURORA 2007 Rate Case_Exh A-1 resulting from UE-112050 effective Jan 1 2012" xfId="4278"/>
    <cellStyle name="_Costs not in AURORA 2007 Rate Case_Exh G - Klamath Peaker PPA fr C Locke 2-12" xfId="4279"/>
    <cellStyle name="_Costs not in AURORA 2007 Rate Case_Exhibit A-1 effective 4-1-11 fr S Free 12-11" xfId="4280"/>
    <cellStyle name="_Costs not in AURORA 2007 Rate Case_LSRWEP LGIA like Acctg Petition Aug 2010" xfId="4281"/>
    <cellStyle name="_Costs not in AURORA 2007 Rate Case_Mint Farm Generation BPA" xfId="4282"/>
    <cellStyle name="_Costs not in AURORA 2007 Rate Case_NIM Summary" xfId="4283"/>
    <cellStyle name="_Costs not in AURORA 2007 Rate Case_NIM Summary 09GRC" xfId="4284"/>
    <cellStyle name="_Costs not in AURORA 2007 Rate Case_NIM Summary 09GRC 2" xfId="4285"/>
    <cellStyle name="_Costs not in AURORA 2007 Rate Case_NIM Summary 09GRC 2 2" xfId="4286"/>
    <cellStyle name="_Costs not in AURORA 2007 Rate Case_NIM Summary 09GRC 3" xfId="4287"/>
    <cellStyle name="_Costs not in AURORA 2007 Rate Case_NIM Summary 09GRC_DEM-WP(C) ENERG10C--ctn Mid-C_042010 2010GRC" xfId="4288"/>
    <cellStyle name="_Costs not in AURORA 2007 Rate Case_NIM Summary 10" xfId="4289"/>
    <cellStyle name="_Costs not in AURORA 2007 Rate Case_NIM Summary 11" xfId="4290"/>
    <cellStyle name="_Costs not in AURORA 2007 Rate Case_NIM Summary 12" xfId="4291"/>
    <cellStyle name="_Costs not in AURORA 2007 Rate Case_NIM Summary 13" xfId="4292"/>
    <cellStyle name="_Costs not in AURORA 2007 Rate Case_NIM Summary 14" xfId="4293"/>
    <cellStyle name="_Costs not in AURORA 2007 Rate Case_NIM Summary 15" xfId="4294"/>
    <cellStyle name="_Costs not in AURORA 2007 Rate Case_NIM Summary 16" xfId="4295"/>
    <cellStyle name="_Costs not in AURORA 2007 Rate Case_NIM Summary 17" xfId="4296"/>
    <cellStyle name="_Costs not in AURORA 2007 Rate Case_NIM Summary 18" xfId="4297"/>
    <cellStyle name="_Costs not in AURORA 2007 Rate Case_NIM Summary 19" xfId="4298"/>
    <cellStyle name="_Costs not in AURORA 2007 Rate Case_NIM Summary 2" xfId="4299"/>
    <cellStyle name="_Costs not in AURORA 2007 Rate Case_NIM Summary 2 2" xfId="4300"/>
    <cellStyle name="_Costs not in AURORA 2007 Rate Case_NIM Summary 20" xfId="4301"/>
    <cellStyle name="_Costs not in AURORA 2007 Rate Case_NIM Summary 21" xfId="4302"/>
    <cellStyle name="_Costs not in AURORA 2007 Rate Case_NIM Summary 22" xfId="4303"/>
    <cellStyle name="_Costs not in AURORA 2007 Rate Case_NIM Summary 23" xfId="4304"/>
    <cellStyle name="_Costs not in AURORA 2007 Rate Case_NIM Summary 24" xfId="4305"/>
    <cellStyle name="_Costs not in AURORA 2007 Rate Case_NIM Summary 25" xfId="4306"/>
    <cellStyle name="_Costs not in AURORA 2007 Rate Case_NIM Summary 26" xfId="4307"/>
    <cellStyle name="_Costs not in AURORA 2007 Rate Case_NIM Summary 27" xfId="4308"/>
    <cellStyle name="_Costs not in AURORA 2007 Rate Case_NIM Summary 28" xfId="4309"/>
    <cellStyle name="_Costs not in AURORA 2007 Rate Case_NIM Summary 29" xfId="4310"/>
    <cellStyle name="_Costs not in AURORA 2007 Rate Case_NIM Summary 3" xfId="4311"/>
    <cellStyle name="_Costs not in AURORA 2007 Rate Case_NIM Summary 30" xfId="4312"/>
    <cellStyle name="_Costs not in AURORA 2007 Rate Case_NIM Summary 31" xfId="4313"/>
    <cellStyle name="_Costs not in AURORA 2007 Rate Case_NIM Summary 32" xfId="4314"/>
    <cellStyle name="_Costs not in AURORA 2007 Rate Case_NIM Summary 33" xfId="4315"/>
    <cellStyle name="_Costs not in AURORA 2007 Rate Case_NIM Summary 34" xfId="4316"/>
    <cellStyle name="_Costs not in AURORA 2007 Rate Case_NIM Summary 35" xfId="4317"/>
    <cellStyle name="_Costs not in AURORA 2007 Rate Case_NIM Summary 36" xfId="4318"/>
    <cellStyle name="_Costs not in AURORA 2007 Rate Case_NIM Summary 37" xfId="4319"/>
    <cellStyle name="_Costs not in AURORA 2007 Rate Case_NIM Summary 38" xfId="4320"/>
    <cellStyle name="_Costs not in AURORA 2007 Rate Case_NIM Summary 39" xfId="4321"/>
    <cellStyle name="_Costs not in AURORA 2007 Rate Case_NIM Summary 4" xfId="4322"/>
    <cellStyle name="_Costs not in AURORA 2007 Rate Case_NIM Summary 40" xfId="4323"/>
    <cellStyle name="_Costs not in AURORA 2007 Rate Case_NIM Summary 41" xfId="4324"/>
    <cellStyle name="_Costs not in AURORA 2007 Rate Case_NIM Summary 42" xfId="4325"/>
    <cellStyle name="_Costs not in AURORA 2007 Rate Case_NIM Summary 43" xfId="4326"/>
    <cellStyle name="_Costs not in AURORA 2007 Rate Case_NIM Summary 44" xfId="4327"/>
    <cellStyle name="_Costs not in AURORA 2007 Rate Case_NIM Summary 45" xfId="4328"/>
    <cellStyle name="_Costs not in AURORA 2007 Rate Case_NIM Summary 46" xfId="4329"/>
    <cellStyle name="_Costs not in AURORA 2007 Rate Case_NIM Summary 47" xfId="4330"/>
    <cellStyle name="_Costs not in AURORA 2007 Rate Case_NIM Summary 48" xfId="4331"/>
    <cellStyle name="_Costs not in AURORA 2007 Rate Case_NIM Summary 49" xfId="4332"/>
    <cellStyle name="_Costs not in AURORA 2007 Rate Case_NIM Summary 5" xfId="4333"/>
    <cellStyle name="_Costs not in AURORA 2007 Rate Case_NIM Summary 50" xfId="4334"/>
    <cellStyle name="_Costs not in AURORA 2007 Rate Case_NIM Summary 51" xfId="4335"/>
    <cellStyle name="_Costs not in AURORA 2007 Rate Case_NIM Summary 52" xfId="4336"/>
    <cellStyle name="_Costs not in AURORA 2007 Rate Case_NIM Summary 6" xfId="4337"/>
    <cellStyle name="_Costs not in AURORA 2007 Rate Case_NIM Summary 7" xfId="4338"/>
    <cellStyle name="_Costs not in AURORA 2007 Rate Case_NIM Summary 8" xfId="4339"/>
    <cellStyle name="_Costs not in AURORA 2007 Rate Case_NIM Summary 9" xfId="4340"/>
    <cellStyle name="_Costs not in AURORA 2007 Rate Case_NIM Summary_DEM-WP(C) ENERG10C--ctn Mid-C_042010 2010GRC" xfId="4341"/>
    <cellStyle name="_Costs not in AURORA 2007 Rate Case_PCA 10 -  Exhibit D Dec 2011" xfId="4342"/>
    <cellStyle name="_Costs not in AURORA 2007 Rate Case_PCA 10 -  Exhibit D from A Kellogg Jan 2011" xfId="4343"/>
    <cellStyle name="_Costs not in AURORA 2007 Rate Case_PCA 10 -  Exhibit D from A Kellogg July 2011" xfId="4344"/>
    <cellStyle name="_Costs not in AURORA 2007 Rate Case_PCA 10 -  Exhibit D from S Free Rcv'd 12-11" xfId="4345"/>
    <cellStyle name="_Costs not in AURORA 2007 Rate Case_PCA 11 -  Exhibit D Jan 2012 fr A Kellogg" xfId="4346"/>
    <cellStyle name="_Costs not in AURORA 2007 Rate Case_PCA 11 -  Exhibit D Jan 2012 WF" xfId="4347"/>
    <cellStyle name="_Costs not in AURORA 2007 Rate Case_PCA 9 -  Exhibit D April 2010" xfId="4348"/>
    <cellStyle name="_Costs not in AURORA 2007 Rate Case_PCA 9 -  Exhibit D April 2010 (3)" xfId="4349"/>
    <cellStyle name="_Costs not in AURORA 2007 Rate Case_PCA 9 -  Exhibit D April 2010 (3) 2" xfId="4350"/>
    <cellStyle name="_Costs not in AURORA 2007 Rate Case_PCA 9 -  Exhibit D April 2010 (3) 2 2" xfId="4351"/>
    <cellStyle name="_Costs not in AURORA 2007 Rate Case_PCA 9 -  Exhibit D April 2010 (3) 3" xfId="4352"/>
    <cellStyle name="_Costs not in AURORA 2007 Rate Case_PCA 9 -  Exhibit D April 2010 (3)_DEM-WP(C) ENERG10C--ctn Mid-C_042010 2010GRC" xfId="4353"/>
    <cellStyle name="_Costs not in AURORA 2007 Rate Case_PCA 9 -  Exhibit D April 2010 2" xfId="4354"/>
    <cellStyle name="_Costs not in AURORA 2007 Rate Case_PCA 9 -  Exhibit D April 2010 3" xfId="4355"/>
    <cellStyle name="_Costs not in AURORA 2007 Rate Case_PCA 9 -  Exhibit D April 2010 4" xfId="4356"/>
    <cellStyle name="_Costs not in AURORA 2007 Rate Case_PCA 9 -  Exhibit D April 2010 5" xfId="4357"/>
    <cellStyle name="_Costs not in AURORA 2007 Rate Case_PCA 9 -  Exhibit D April 2010 6" xfId="4358"/>
    <cellStyle name="_Costs not in AURORA 2007 Rate Case_PCA 9 -  Exhibit D Nov 2010" xfId="4359"/>
    <cellStyle name="_Costs not in AURORA 2007 Rate Case_PCA 9 -  Exhibit D Nov 2010 2" xfId="4360"/>
    <cellStyle name="_Costs not in AURORA 2007 Rate Case_PCA 9 - Exhibit D at August 2010" xfId="4361"/>
    <cellStyle name="_Costs not in AURORA 2007 Rate Case_PCA 9 - Exhibit D at August 2010 2" xfId="4362"/>
    <cellStyle name="_Costs not in AURORA 2007 Rate Case_PCA 9 - Exhibit D June 2010 GRC" xfId="4363"/>
    <cellStyle name="_Costs not in AURORA 2007 Rate Case_PCA 9 - Exhibit D June 2010 GRC 2" xfId="4364"/>
    <cellStyle name="_Costs not in AURORA 2007 Rate Case_Power Costs - Comparison bx Rbtl-Staff-Jt-PC" xfId="4365"/>
    <cellStyle name="_Costs not in AURORA 2007 Rate Case_Power Costs - Comparison bx Rbtl-Staff-Jt-PC 2" xfId="4366"/>
    <cellStyle name="_Costs not in AURORA 2007 Rate Case_Power Costs - Comparison bx Rbtl-Staff-Jt-PC 2 2" xfId="4367"/>
    <cellStyle name="_Costs not in AURORA 2007 Rate Case_Power Costs - Comparison bx Rbtl-Staff-Jt-PC 3" xfId="4368"/>
    <cellStyle name="_Costs not in AURORA 2007 Rate Case_Power Costs - Comparison bx Rbtl-Staff-Jt-PC_Adj Bench DR 3 for Initial Briefs (Electric)" xfId="4369"/>
    <cellStyle name="_Costs not in AURORA 2007 Rate Case_Power Costs - Comparison bx Rbtl-Staff-Jt-PC_Adj Bench DR 3 for Initial Briefs (Electric) 2" xfId="4370"/>
    <cellStyle name="_Costs not in AURORA 2007 Rate Case_Power Costs - Comparison bx Rbtl-Staff-Jt-PC_Adj Bench DR 3 for Initial Briefs (Electric) 2 2" xfId="4371"/>
    <cellStyle name="_Costs not in AURORA 2007 Rate Case_Power Costs - Comparison bx Rbtl-Staff-Jt-PC_Adj Bench DR 3 for Initial Briefs (Electric) 3" xfId="4372"/>
    <cellStyle name="_Costs not in AURORA 2007 Rate Case_Power Costs - Comparison bx Rbtl-Staff-Jt-PC_Adj Bench DR 3 for Initial Briefs (Electric)_DEM-WP(C) ENERG10C--ctn Mid-C_042010 2010GRC" xfId="4373"/>
    <cellStyle name="_Costs not in AURORA 2007 Rate Case_Power Costs - Comparison bx Rbtl-Staff-Jt-PC_DEM-WP(C) ENERG10C--ctn Mid-C_042010 2010GRC" xfId="4374"/>
    <cellStyle name="_Costs not in AURORA 2007 Rate Case_Power Costs - Comparison bx Rbtl-Staff-Jt-PC_Electric Rev Req Model (2009 GRC) Rebuttal" xfId="4375"/>
    <cellStyle name="_Costs not in AURORA 2007 Rate Case_Power Costs - Comparison bx Rbtl-Staff-Jt-PC_Electric Rev Req Model (2009 GRC) Rebuttal 2" xfId="4376"/>
    <cellStyle name="_Costs not in AURORA 2007 Rate Case_Power Costs - Comparison bx Rbtl-Staff-Jt-PC_Electric Rev Req Model (2009 GRC) Rebuttal REmoval of New  WH Solar AdjustMI" xfId="4377"/>
    <cellStyle name="_Costs not in AURORA 2007 Rate Case_Power Costs - Comparison bx Rbtl-Staff-Jt-PC_Electric Rev Req Model (2009 GRC) Rebuttal REmoval of New  WH Solar AdjustMI 2" xfId="4378"/>
    <cellStyle name="_Costs not in AURORA 2007 Rate Case_Power Costs - Comparison bx Rbtl-Staff-Jt-PC_Electric Rev Req Model (2009 GRC) Rebuttal REmoval of New  WH Solar AdjustMI 2 2" xfId="4379"/>
    <cellStyle name="_Costs not in AURORA 2007 Rate Case_Power Costs - Comparison bx Rbtl-Staff-Jt-PC_Electric Rev Req Model (2009 GRC) Rebuttal REmoval of New  WH Solar AdjustMI 3" xfId="4380"/>
    <cellStyle name="_Costs not in AURORA 2007 Rate Case_Power Costs - Comparison bx Rbtl-Staff-Jt-PC_Electric Rev Req Model (2009 GRC) Rebuttal REmoval of New  WH Solar AdjustMI_DEM-WP(C) ENERG10C--ctn Mid-C_042010 2010GRC" xfId="4381"/>
    <cellStyle name="_Costs not in AURORA 2007 Rate Case_Power Costs - Comparison bx Rbtl-Staff-Jt-PC_Electric Rev Req Model (2009 GRC) Revised 01-18-2010" xfId="4382"/>
    <cellStyle name="_Costs not in AURORA 2007 Rate Case_Power Costs - Comparison bx Rbtl-Staff-Jt-PC_Electric Rev Req Model (2009 GRC) Revised 01-18-2010 2" xfId="4383"/>
    <cellStyle name="_Costs not in AURORA 2007 Rate Case_Power Costs - Comparison bx Rbtl-Staff-Jt-PC_Electric Rev Req Model (2009 GRC) Revised 01-18-2010 2 2" xfId="4384"/>
    <cellStyle name="_Costs not in AURORA 2007 Rate Case_Power Costs - Comparison bx Rbtl-Staff-Jt-PC_Electric Rev Req Model (2009 GRC) Revised 01-18-2010 3" xfId="4385"/>
    <cellStyle name="_Costs not in AURORA 2007 Rate Case_Power Costs - Comparison bx Rbtl-Staff-Jt-PC_Electric Rev Req Model (2009 GRC) Revised 01-18-2010_DEM-WP(C) ENERG10C--ctn Mid-C_042010 2010GRC" xfId="4386"/>
    <cellStyle name="_Costs not in AURORA 2007 Rate Case_Power Costs - Comparison bx Rbtl-Staff-Jt-PC_Final Order Electric EXHIBIT A-1" xfId="4387"/>
    <cellStyle name="_Costs not in AURORA 2007 Rate Case_Power Costs - Comparison bx Rbtl-Staff-Jt-PC_Final Order Electric EXHIBIT A-1 2" xfId="4388"/>
    <cellStyle name="_Costs not in AURORA 2007 Rate Case_Production Adj 4.37" xfId="21258"/>
    <cellStyle name="_Costs not in AURORA 2007 Rate Case_Purchased Power Adj 4.03" xfId="21259"/>
    <cellStyle name="_Costs not in AURORA 2007 Rate Case_Rebuttal Power Costs" xfId="4389"/>
    <cellStyle name="_Costs not in AURORA 2007 Rate Case_Rebuttal Power Costs 2" xfId="4390"/>
    <cellStyle name="_Costs not in AURORA 2007 Rate Case_Rebuttal Power Costs 2 2" xfId="4391"/>
    <cellStyle name="_Costs not in AURORA 2007 Rate Case_Rebuttal Power Costs 3" xfId="4392"/>
    <cellStyle name="_Costs not in AURORA 2007 Rate Case_Rebuttal Power Costs_Adj Bench DR 3 for Initial Briefs (Electric)" xfId="4393"/>
    <cellStyle name="_Costs not in AURORA 2007 Rate Case_Rebuttal Power Costs_Adj Bench DR 3 for Initial Briefs (Electric) 2" xfId="4394"/>
    <cellStyle name="_Costs not in AURORA 2007 Rate Case_Rebuttal Power Costs_Adj Bench DR 3 for Initial Briefs (Electric) 2 2" xfId="4395"/>
    <cellStyle name="_Costs not in AURORA 2007 Rate Case_Rebuttal Power Costs_Adj Bench DR 3 for Initial Briefs (Electric) 3" xfId="4396"/>
    <cellStyle name="_Costs not in AURORA 2007 Rate Case_Rebuttal Power Costs_Adj Bench DR 3 for Initial Briefs (Electric)_DEM-WP(C) ENERG10C--ctn Mid-C_042010 2010GRC" xfId="4397"/>
    <cellStyle name="_Costs not in AURORA 2007 Rate Case_Rebuttal Power Costs_DEM-WP(C) ENERG10C--ctn Mid-C_042010 2010GRC" xfId="4398"/>
    <cellStyle name="_Costs not in AURORA 2007 Rate Case_Rebuttal Power Costs_Electric Rev Req Model (2009 GRC) Rebuttal" xfId="4399"/>
    <cellStyle name="_Costs not in AURORA 2007 Rate Case_Rebuttal Power Costs_Electric Rev Req Model (2009 GRC) Rebuttal 2" xfId="4400"/>
    <cellStyle name="_Costs not in AURORA 2007 Rate Case_Rebuttal Power Costs_Electric Rev Req Model (2009 GRC) Rebuttal REmoval of New  WH Solar AdjustMI" xfId="4401"/>
    <cellStyle name="_Costs not in AURORA 2007 Rate Case_Rebuttal Power Costs_Electric Rev Req Model (2009 GRC) Rebuttal REmoval of New  WH Solar AdjustMI 2" xfId="4402"/>
    <cellStyle name="_Costs not in AURORA 2007 Rate Case_Rebuttal Power Costs_Electric Rev Req Model (2009 GRC) Rebuttal REmoval of New  WH Solar AdjustMI 2 2" xfId="4403"/>
    <cellStyle name="_Costs not in AURORA 2007 Rate Case_Rebuttal Power Costs_Electric Rev Req Model (2009 GRC) Rebuttal REmoval of New  WH Solar AdjustMI 3" xfId="4404"/>
    <cellStyle name="_Costs not in AURORA 2007 Rate Case_Rebuttal Power Costs_Electric Rev Req Model (2009 GRC) Rebuttal REmoval of New  WH Solar AdjustMI_DEM-WP(C) ENERG10C--ctn Mid-C_042010 2010GRC" xfId="4405"/>
    <cellStyle name="_Costs not in AURORA 2007 Rate Case_Rebuttal Power Costs_Electric Rev Req Model (2009 GRC) Revised 01-18-2010" xfId="4406"/>
    <cellStyle name="_Costs not in AURORA 2007 Rate Case_Rebuttal Power Costs_Electric Rev Req Model (2009 GRC) Revised 01-18-2010 2" xfId="4407"/>
    <cellStyle name="_Costs not in AURORA 2007 Rate Case_Rebuttal Power Costs_Electric Rev Req Model (2009 GRC) Revised 01-18-2010 2 2" xfId="4408"/>
    <cellStyle name="_Costs not in AURORA 2007 Rate Case_Rebuttal Power Costs_Electric Rev Req Model (2009 GRC) Revised 01-18-2010 3" xfId="4409"/>
    <cellStyle name="_Costs not in AURORA 2007 Rate Case_Rebuttal Power Costs_Electric Rev Req Model (2009 GRC) Revised 01-18-2010_DEM-WP(C) ENERG10C--ctn Mid-C_042010 2010GRC" xfId="4410"/>
    <cellStyle name="_Costs not in AURORA 2007 Rate Case_Rebuttal Power Costs_Final Order Electric EXHIBIT A-1" xfId="4411"/>
    <cellStyle name="_Costs not in AURORA 2007 Rate Case_Rebuttal Power Costs_Final Order Electric EXHIBIT A-1 2" xfId="4412"/>
    <cellStyle name="_Costs not in AURORA 2007 Rate Case_ROR 5.02" xfId="21260"/>
    <cellStyle name="_Costs not in AURORA 2007 Rate Case_Transmission Workbook for May BOD" xfId="4413"/>
    <cellStyle name="_Costs not in AURORA 2007 Rate Case_Transmission Workbook for May BOD 2" xfId="4414"/>
    <cellStyle name="_Costs not in AURORA 2007 Rate Case_Transmission Workbook for May BOD 2 2" xfId="4415"/>
    <cellStyle name="_Costs not in AURORA 2007 Rate Case_Transmission Workbook for May BOD 3" xfId="4416"/>
    <cellStyle name="_Costs not in AURORA 2007 Rate Case_Transmission Workbook for May BOD_DEM-WP(C) ENERG10C--ctn Mid-C_042010 2010GRC" xfId="4417"/>
    <cellStyle name="_Costs not in AURORA 2007 Rate Case_Wind Integration 10GRC" xfId="4418"/>
    <cellStyle name="_Costs not in AURORA 2007 Rate Case_Wind Integration 10GRC 2" xfId="4419"/>
    <cellStyle name="_Costs not in AURORA 2007 Rate Case_Wind Integration 10GRC 2 2" xfId="4420"/>
    <cellStyle name="_Costs not in AURORA 2007 Rate Case_Wind Integration 10GRC 3" xfId="4421"/>
    <cellStyle name="_Costs not in AURORA 2007 Rate Case_Wind Integration 10GRC_DEM-WP(C) ENERG10C--ctn Mid-C_042010 2010GRC" xfId="4422"/>
    <cellStyle name="_Costs not in KWI3000 '06Budget" xfId="4423"/>
    <cellStyle name="_Costs not in KWI3000 '06Budget 2" xfId="4424"/>
    <cellStyle name="_Costs not in KWI3000 '06Budget 2 2" xfId="4425"/>
    <cellStyle name="_Costs not in KWI3000 '06Budget 2 2 2" xfId="4426"/>
    <cellStyle name="_Costs not in KWI3000 '06Budget 2 3" xfId="4427"/>
    <cellStyle name="_Costs not in KWI3000 '06Budget 3" xfId="4428"/>
    <cellStyle name="_Costs not in KWI3000 '06Budget 3 2" xfId="4429"/>
    <cellStyle name="_Costs not in KWI3000 '06Budget 4" xfId="4430"/>
    <cellStyle name="_Costs not in KWI3000 '06Budget 4 2" xfId="4431"/>
    <cellStyle name="_Costs not in KWI3000 '06Budget 4 3" xfId="4432"/>
    <cellStyle name="_Costs not in KWI3000 '06Budget 5" xfId="4433"/>
    <cellStyle name="_Costs not in KWI3000 '06Budget 5 2" xfId="4434"/>
    <cellStyle name="_Costs not in KWI3000 '06Budget 5 3" xfId="4435"/>
    <cellStyle name="_Costs not in KWI3000 '06Budget 6" xfId="4436"/>
    <cellStyle name="_Costs not in KWI3000 '06Budget 6 2" xfId="4437"/>
    <cellStyle name="_Costs not in KWI3000 '06Budget 7" xfId="4438"/>
    <cellStyle name="_Costs not in KWI3000 '06Budget 7 2" xfId="4439"/>
    <cellStyle name="_Costs not in KWI3000 '06Budget 8" xfId="4440"/>
    <cellStyle name="_Costs not in KWI3000 '06Budget 8 2" xfId="4441"/>
    <cellStyle name="_Costs not in KWI3000 '06Budget_(C) WHE Proforma with ITC cash grant 10 Yr Amort_for deferral_102809" xfId="4442"/>
    <cellStyle name="_Costs not in KWI3000 '06Budget_(C) WHE Proforma with ITC cash grant 10 Yr Amort_for deferral_102809 2" xfId="4443"/>
    <cellStyle name="_Costs not in KWI3000 '06Budget_(C) WHE Proforma with ITC cash grant 10 Yr Amort_for deferral_102809 2 2" xfId="4444"/>
    <cellStyle name="_Costs not in KWI3000 '06Budget_(C) WHE Proforma with ITC cash grant 10 Yr Amort_for deferral_102809 3" xfId="4445"/>
    <cellStyle name="_Costs not in KWI3000 '06Budget_(C) WHE Proforma with ITC cash grant 10 Yr Amort_for deferral_102809_16.07E Wild Horse Wind Expansionwrkingfile" xfId="4446"/>
    <cellStyle name="_Costs not in KWI3000 '06Budget_(C) WHE Proforma with ITC cash grant 10 Yr Amort_for deferral_102809_16.07E Wild Horse Wind Expansionwrkingfile 2" xfId="4447"/>
    <cellStyle name="_Costs not in KWI3000 '06Budget_(C) WHE Proforma with ITC cash grant 10 Yr Amort_for deferral_102809_16.07E Wild Horse Wind Expansionwrkingfile 2 2" xfId="4448"/>
    <cellStyle name="_Costs not in KWI3000 '06Budget_(C) WHE Proforma with ITC cash grant 10 Yr Amort_for deferral_102809_16.07E Wild Horse Wind Expansionwrkingfile 3" xfId="4449"/>
    <cellStyle name="_Costs not in KWI3000 '06Budget_(C) WHE Proforma with ITC cash grant 10 Yr Amort_for deferral_102809_16.07E Wild Horse Wind Expansionwrkingfile SF" xfId="4450"/>
    <cellStyle name="_Costs not in KWI3000 '06Budget_(C) WHE Proforma with ITC cash grant 10 Yr Amort_for deferral_102809_16.07E Wild Horse Wind Expansionwrkingfile SF 2" xfId="4451"/>
    <cellStyle name="_Costs not in KWI3000 '06Budget_(C) WHE Proforma with ITC cash grant 10 Yr Amort_for deferral_102809_16.07E Wild Horse Wind Expansionwrkingfile SF 2 2" xfId="4452"/>
    <cellStyle name="_Costs not in KWI3000 '06Budget_(C) WHE Proforma with ITC cash grant 10 Yr Amort_for deferral_102809_16.07E Wild Horse Wind Expansionwrkingfile SF 3" xfId="4453"/>
    <cellStyle name="_Costs not in KWI3000 '06Budget_(C) WHE Proforma with ITC cash grant 10 Yr Amort_for deferral_102809_16.07E Wild Horse Wind Expansionwrkingfile SF_DEM-WP(C) ENERG10C--ctn Mid-C_042010 2010GRC" xfId="4454"/>
    <cellStyle name="_Costs not in KWI3000 '06Budget_(C) WHE Proforma with ITC cash grant 10 Yr Amort_for deferral_102809_16.07E Wild Horse Wind Expansionwrkingfile_DEM-WP(C) ENERG10C--ctn Mid-C_042010 2010GRC" xfId="4455"/>
    <cellStyle name="_Costs not in KWI3000 '06Budget_(C) WHE Proforma with ITC cash grant 10 Yr Amort_for deferral_102809_16.37E Wild Horse Expansion DeferralRevwrkingfile SF" xfId="4456"/>
    <cellStyle name="_Costs not in KWI3000 '06Budget_(C) WHE Proforma with ITC cash grant 10 Yr Amort_for deferral_102809_16.37E Wild Horse Expansion DeferralRevwrkingfile SF 2" xfId="4457"/>
    <cellStyle name="_Costs not in KWI3000 '06Budget_(C) WHE Proforma with ITC cash grant 10 Yr Amort_for deferral_102809_16.37E Wild Horse Expansion DeferralRevwrkingfile SF 2 2" xfId="4458"/>
    <cellStyle name="_Costs not in KWI3000 '06Budget_(C) WHE Proforma with ITC cash grant 10 Yr Amort_for deferral_102809_16.37E Wild Horse Expansion DeferralRevwrkingfile SF 3" xfId="4459"/>
    <cellStyle name="_Costs not in KWI3000 '06Budget_(C) WHE Proforma with ITC cash grant 10 Yr Amort_for deferral_102809_16.37E Wild Horse Expansion DeferralRevwrkingfile SF_DEM-WP(C) ENERG10C--ctn Mid-C_042010 2010GRC" xfId="4460"/>
    <cellStyle name="_Costs not in KWI3000 '06Budget_(C) WHE Proforma with ITC cash grant 10 Yr Amort_for deferral_102809_DEM-WP(C) ENERG10C--ctn Mid-C_042010 2010GRC" xfId="4461"/>
    <cellStyle name="_Costs not in KWI3000 '06Budget_(C) WHE Proforma with ITC cash grant 10 Yr Amort_for rebuttal_120709" xfId="4462"/>
    <cellStyle name="_Costs not in KWI3000 '06Budget_(C) WHE Proforma with ITC cash grant 10 Yr Amort_for rebuttal_120709 2" xfId="4463"/>
    <cellStyle name="_Costs not in KWI3000 '06Budget_(C) WHE Proforma with ITC cash grant 10 Yr Amort_for rebuttal_120709 2 2" xfId="4464"/>
    <cellStyle name="_Costs not in KWI3000 '06Budget_(C) WHE Proforma with ITC cash grant 10 Yr Amort_for rebuttal_120709 3" xfId="4465"/>
    <cellStyle name="_Costs not in KWI3000 '06Budget_(C) WHE Proforma with ITC cash grant 10 Yr Amort_for rebuttal_120709_DEM-WP(C) ENERG10C--ctn Mid-C_042010 2010GRC" xfId="4466"/>
    <cellStyle name="_Costs not in KWI3000 '06Budget_04.07E Wild Horse Wind Expansion" xfId="4467"/>
    <cellStyle name="_Costs not in KWI3000 '06Budget_04.07E Wild Horse Wind Expansion 2" xfId="4468"/>
    <cellStyle name="_Costs not in KWI3000 '06Budget_04.07E Wild Horse Wind Expansion 2 2" xfId="4469"/>
    <cellStyle name="_Costs not in KWI3000 '06Budget_04.07E Wild Horse Wind Expansion 3" xfId="4470"/>
    <cellStyle name="_Costs not in KWI3000 '06Budget_04.07E Wild Horse Wind Expansion_16.07E Wild Horse Wind Expansionwrkingfile" xfId="4471"/>
    <cellStyle name="_Costs not in KWI3000 '06Budget_04.07E Wild Horse Wind Expansion_16.07E Wild Horse Wind Expansionwrkingfile 2" xfId="4472"/>
    <cellStyle name="_Costs not in KWI3000 '06Budget_04.07E Wild Horse Wind Expansion_16.07E Wild Horse Wind Expansionwrkingfile 2 2" xfId="4473"/>
    <cellStyle name="_Costs not in KWI3000 '06Budget_04.07E Wild Horse Wind Expansion_16.07E Wild Horse Wind Expansionwrkingfile 3" xfId="4474"/>
    <cellStyle name="_Costs not in KWI3000 '06Budget_04.07E Wild Horse Wind Expansion_16.07E Wild Horse Wind Expansionwrkingfile SF" xfId="4475"/>
    <cellStyle name="_Costs not in KWI3000 '06Budget_04.07E Wild Horse Wind Expansion_16.07E Wild Horse Wind Expansionwrkingfile SF 2" xfId="4476"/>
    <cellStyle name="_Costs not in KWI3000 '06Budget_04.07E Wild Horse Wind Expansion_16.07E Wild Horse Wind Expansionwrkingfile SF 2 2" xfId="4477"/>
    <cellStyle name="_Costs not in KWI3000 '06Budget_04.07E Wild Horse Wind Expansion_16.07E Wild Horse Wind Expansionwrkingfile SF 3" xfId="4478"/>
    <cellStyle name="_Costs not in KWI3000 '06Budget_04.07E Wild Horse Wind Expansion_16.07E Wild Horse Wind Expansionwrkingfile SF_DEM-WP(C) ENERG10C--ctn Mid-C_042010 2010GRC" xfId="4479"/>
    <cellStyle name="_Costs not in KWI3000 '06Budget_04.07E Wild Horse Wind Expansion_16.07E Wild Horse Wind Expansionwrkingfile_DEM-WP(C) ENERG10C--ctn Mid-C_042010 2010GRC" xfId="4480"/>
    <cellStyle name="_Costs not in KWI3000 '06Budget_04.07E Wild Horse Wind Expansion_16.37E Wild Horse Expansion DeferralRevwrkingfile SF" xfId="4481"/>
    <cellStyle name="_Costs not in KWI3000 '06Budget_04.07E Wild Horse Wind Expansion_16.37E Wild Horse Expansion DeferralRevwrkingfile SF 2" xfId="4482"/>
    <cellStyle name="_Costs not in KWI3000 '06Budget_04.07E Wild Horse Wind Expansion_16.37E Wild Horse Expansion DeferralRevwrkingfile SF 2 2" xfId="4483"/>
    <cellStyle name="_Costs not in KWI3000 '06Budget_04.07E Wild Horse Wind Expansion_16.37E Wild Horse Expansion DeferralRevwrkingfile SF 3" xfId="4484"/>
    <cellStyle name="_Costs not in KWI3000 '06Budget_04.07E Wild Horse Wind Expansion_16.37E Wild Horse Expansion DeferralRevwrkingfile SF_DEM-WP(C) ENERG10C--ctn Mid-C_042010 2010GRC" xfId="4485"/>
    <cellStyle name="_Costs not in KWI3000 '06Budget_04.07E Wild Horse Wind Expansion_DEM-WP(C) ENERG10C--ctn Mid-C_042010 2010GRC" xfId="4486"/>
    <cellStyle name="_Costs not in KWI3000 '06Budget_16.07E Wild Horse Wind Expansionwrkingfile" xfId="4487"/>
    <cellStyle name="_Costs not in KWI3000 '06Budget_16.07E Wild Horse Wind Expansionwrkingfile 2" xfId="4488"/>
    <cellStyle name="_Costs not in KWI3000 '06Budget_16.07E Wild Horse Wind Expansionwrkingfile 2 2" xfId="4489"/>
    <cellStyle name="_Costs not in KWI3000 '06Budget_16.07E Wild Horse Wind Expansionwrkingfile 3" xfId="4490"/>
    <cellStyle name="_Costs not in KWI3000 '06Budget_16.07E Wild Horse Wind Expansionwrkingfile SF" xfId="4491"/>
    <cellStyle name="_Costs not in KWI3000 '06Budget_16.07E Wild Horse Wind Expansionwrkingfile SF 2" xfId="4492"/>
    <cellStyle name="_Costs not in KWI3000 '06Budget_16.07E Wild Horse Wind Expansionwrkingfile SF 2 2" xfId="4493"/>
    <cellStyle name="_Costs not in KWI3000 '06Budget_16.07E Wild Horse Wind Expansionwrkingfile SF 3" xfId="4494"/>
    <cellStyle name="_Costs not in KWI3000 '06Budget_16.07E Wild Horse Wind Expansionwrkingfile SF_DEM-WP(C) ENERG10C--ctn Mid-C_042010 2010GRC" xfId="4495"/>
    <cellStyle name="_Costs not in KWI3000 '06Budget_16.07E Wild Horse Wind Expansionwrkingfile_DEM-WP(C) ENERG10C--ctn Mid-C_042010 2010GRC" xfId="4496"/>
    <cellStyle name="_Costs not in KWI3000 '06Budget_16.37E Wild Horse Expansion DeferralRevwrkingfile SF" xfId="4497"/>
    <cellStyle name="_Costs not in KWI3000 '06Budget_16.37E Wild Horse Expansion DeferralRevwrkingfile SF 2" xfId="4498"/>
    <cellStyle name="_Costs not in KWI3000 '06Budget_16.37E Wild Horse Expansion DeferralRevwrkingfile SF 2 2" xfId="4499"/>
    <cellStyle name="_Costs not in KWI3000 '06Budget_16.37E Wild Horse Expansion DeferralRevwrkingfile SF 3" xfId="4500"/>
    <cellStyle name="_Costs not in KWI3000 '06Budget_16.37E Wild Horse Expansion DeferralRevwrkingfile SF_DEM-WP(C) ENERG10C--ctn Mid-C_042010 2010GRC" xfId="4501"/>
    <cellStyle name="_Costs not in KWI3000 '06Budget_2009 Compliance Filing PCA Exhibits for GRC" xfId="4502"/>
    <cellStyle name="_Costs not in KWI3000 '06Budget_2009 Compliance Filing PCA Exhibits for GRC 2" xfId="4503"/>
    <cellStyle name="_Costs not in KWI3000 '06Budget_2009 GRC Compl Filing - Exhibit D" xfId="4504"/>
    <cellStyle name="_Costs not in KWI3000 '06Budget_2009 GRC Compl Filing - Exhibit D 2" xfId="4505"/>
    <cellStyle name="_Costs not in KWI3000 '06Budget_2009 GRC Compl Filing - Exhibit D 2 2" xfId="4506"/>
    <cellStyle name="_Costs not in KWI3000 '06Budget_2009 GRC Compl Filing - Exhibit D 3" xfId="4507"/>
    <cellStyle name="_Costs not in KWI3000 '06Budget_2009 GRC Compl Filing - Exhibit D_DEM-WP(C) ENERG10C--ctn Mid-C_042010 2010GRC" xfId="4508"/>
    <cellStyle name="_Costs not in KWI3000 '06Budget_3.01 Income Statement" xfId="4509"/>
    <cellStyle name="_Costs not in KWI3000 '06Budget_4 31 Regulatory Assets and Liabilities  7 06- Exhibit D" xfId="4510"/>
    <cellStyle name="_Costs not in KWI3000 '06Budget_4 31 Regulatory Assets and Liabilities  7 06- Exhibit D 2" xfId="4511"/>
    <cellStyle name="_Costs not in KWI3000 '06Budget_4 31 Regulatory Assets and Liabilities  7 06- Exhibit D 2 2" xfId="4512"/>
    <cellStyle name="_Costs not in KWI3000 '06Budget_4 31 Regulatory Assets and Liabilities  7 06- Exhibit D 2 2 2" xfId="4513"/>
    <cellStyle name="_Costs not in KWI3000 '06Budget_4 31 Regulatory Assets and Liabilities  7 06- Exhibit D 3" xfId="4514"/>
    <cellStyle name="_Costs not in KWI3000 '06Budget_4 31 Regulatory Assets and Liabilities  7 06- Exhibit D_DEM-WP(C) ENERG10C--ctn Mid-C_042010 2010GRC" xfId="4515"/>
    <cellStyle name="_Costs not in KWI3000 '06Budget_4 31 Regulatory Assets and Liabilities  7 06- Exhibit D_NIM Summary" xfId="4516"/>
    <cellStyle name="_Costs not in KWI3000 '06Budget_4 31 Regulatory Assets and Liabilities  7 06- Exhibit D_NIM Summary 2" xfId="4517"/>
    <cellStyle name="_Costs not in KWI3000 '06Budget_4 31 Regulatory Assets and Liabilities  7 06- Exhibit D_NIM Summary 2 2" xfId="4518"/>
    <cellStyle name="_Costs not in KWI3000 '06Budget_4 31 Regulatory Assets and Liabilities  7 06- Exhibit D_NIM Summary 3" xfId="4519"/>
    <cellStyle name="_Costs not in KWI3000 '06Budget_4 31 Regulatory Assets and Liabilities  7 06- Exhibit D_NIM Summary_DEM-WP(C) ENERG10C--ctn Mid-C_042010 2010GRC" xfId="4520"/>
    <cellStyle name="_Costs not in KWI3000 '06Budget_4 31 Regulatory Assets and Liabilities  7 06- Exhibit D_NIM+O&amp;M" xfId="4521"/>
    <cellStyle name="_Costs not in KWI3000 '06Budget_4 31 Regulatory Assets and Liabilities  7 06- Exhibit D_NIM+O&amp;M Monthly" xfId="4522"/>
    <cellStyle name="_Costs not in KWI3000 '06Budget_4 31E Reg Asset  Liab and EXH D" xfId="4523"/>
    <cellStyle name="_Costs not in KWI3000 '06Budget_4 31E Reg Asset  Liab and EXH D _ Aug 10 Filing (2)" xfId="4524"/>
    <cellStyle name="_Costs not in KWI3000 '06Budget_4 31E Reg Asset  Liab and EXH D _ Aug 10 Filing (2) 2" xfId="4525"/>
    <cellStyle name="_Costs not in KWI3000 '06Budget_4 31E Reg Asset  Liab and EXH D 2" xfId="4526"/>
    <cellStyle name="_Costs not in KWI3000 '06Budget_4 31E Reg Asset  Liab and EXH D 3" xfId="4527"/>
    <cellStyle name="_Costs not in KWI3000 '06Budget_4 32 Regulatory Assets and Liabilities  7 06- Exhibit D" xfId="4528"/>
    <cellStyle name="_Costs not in KWI3000 '06Budget_4 32 Regulatory Assets and Liabilities  7 06- Exhibit D 2" xfId="4529"/>
    <cellStyle name="_Costs not in KWI3000 '06Budget_4 32 Regulatory Assets and Liabilities  7 06- Exhibit D 2 2" xfId="4530"/>
    <cellStyle name="_Costs not in KWI3000 '06Budget_4 32 Regulatory Assets and Liabilities  7 06- Exhibit D 2 2 2" xfId="4531"/>
    <cellStyle name="_Costs not in KWI3000 '06Budget_4 32 Regulatory Assets and Liabilities  7 06- Exhibit D 3" xfId="4532"/>
    <cellStyle name="_Costs not in KWI3000 '06Budget_4 32 Regulatory Assets and Liabilities  7 06- Exhibit D_DEM-WP(C) ENERG10C--ctn Mid-C_042010 2010GRC" xfId="4533"/>
    <cellStyle name="_Costs not in KWI3000 '06Budget_4 32 Regulatory Assets and Liabilities  7 06- Exhibit D_NIM Summary" xfId="4534"/>
    <cellStyle name="_Costs not in KWI3000 '06Budget_4 32 Regulatory Assets and Liabilities  7 06- Exhibit D_NIM Summary 2" xfId="4535"/>
    <cellStyle name="_Costs not in KWI3000 '06Budget_4 32 Regulatory Assets and Liabilities  7 06- Exhibit D_NIM Summary 2 2" xfId="4536"/>
    <cellStyle name="_Costs not in KWI3000 '06Budget_4 32 Regulatory Assets and Liabilities  7 06- Exhibit D_NIM Summary 3" xfId="4537"/>
    <cellStyle name="_Costs not in KWI3000 '06Budget_4 32 Regulatory Assets and Liabilities  7 06- Exhibit D_NIM Summary_DEM-WP(C) ENERG10C--ctn Mid-C_042010 2010GRC" xfId="4538"/>
    <cellStyle name="_Costs not in KWI3000 '06Budget_4 32 Regulatory Assets and Liabilities  7 06- Exhibit D_NIM+O&amp;M" xfId="4539"/>
    <cellStyle name="_Costs not in KWI3000 '06Budget_4 32 Regulatory Assets and Liabilities  7 06- Exhibit D_NIM+O&amp;M Monthly" xfId="4540"/>
    <cellStyle name="_Costs not in KWI3000 '06Budget_AURORA Total New" xfId="4541"/>
    <cellStyle name="_Costs not in KWI3000 '06Budget_AURORA Total New 2" xfId="4542"/>
    <cellStyle name="_Costs not in KWI3000 '06Budget_AURORA Total New 2 2" xfId="4543"/>
    <cellStyle name="_Costs not in KWI3000 '06Budget_AURORA Total New 3" xfId="4544"/>
    <cellStyle name="_Costs not in KWI3000 '06Budget_Book2" xfId="4545"/>
    <cellStyle name="_Costs not in KWI3000 '06Budget_Book2 2" xfId="4546"/>
    <cellStyle name="_Costs not in KWI3000 '06Budget_Book2 2 2" xfId="4547"/>
    <cellStyle name="_Costs not in KWI3000 '06Budget_Book2 3" xfId="4548"/>
    <cellStyle name="_Costs not in KWI3000 '06Budget_Book2_Adj Bench DR 3 for Initial Briefs (Electric)" xfId="4549"/>
    <cellStyle name="_Costs not in KWI3000 '06Budget_Book2_Adj Bench DR 3 for Initial Briefs (Electric) 2" xfId="4550"/>
    <cellStyle name="_Costs not in KWI3000 '06Budget_Book2_Adj Bench DR 3 for Initial Briefs (Electric) 2 2" xfId="4551"/>
    <cellStyle name="_Costs not in KWI3000 '06Budget_Book2_Adj Bench DR 3 for Initial Briefs (Electric) 3" xfId="4552"/>
    <cellStyle name="_Costs not in KWI3000 '06Budget_Book2_Adj Bench DR 3 for Initial Briefs (Electric)_DEM-WP(C) ENERG10C--ctn Mid-C_042010 2010GRC" xfId="4553"/>
    <cellStyle name="_Costs not in KWI3000 '06Budget_Book2_DEM-WP(C) ENERG10C--ctn Mid-C_042010 2010GRC" xfId="4554"/>
    <cellStyle name="_Costs not in KWI3000 '06Budget_Book2_Electric Rev Req Model (2009 GRC) Rebuttal" xfId="4555"/>
    <cellStyle name="_Costs not in KWI3000 '06Budget_Book2_Electric Rev Req Model (2009 GRC) Rebuttal 2" xfId="4556"/>
    <cellStyle name="_Costs not in KWI3000 '06Budget_Book2_Electric Rev Req Model (2009 GRC) Rebuttal REmoval of New  WH Solar AdjustMI" xfId="4557"/>
    <cellStyle name="_Costs not in KWI3000 '06Budget_Book2_Electric Rev Req Model (2009 GRC) Rebuttal REmoval of New  WH Solar AdjustMI 2" xfId="4558"/>
    <cellStyle name="_Costs not in KWI3000 '06Budget_Book2_Electric Rev Req Model (2009 GRC) Rebuttal REmoval of New  WH Solar AdjustMI 2 2" xfId="4559"/>
    <cellStyle name="_Costs not in KWI3000 '06Budget_Book2_Electric Rev Req Model (2009 GRC) Rebuttal REmoval of New  WH Solar AdjustMI 3" xfId="4560"/>
    <cellStyle name="_Costs not in KWI3000 '06Budget_Book2_Electric Rev Req Model (2009 GRC) Rebuttal REmoval of New  WH Solar AdjustMI_DEM-WP(C) ENERG10C--ctn Mid-C_042010 2010GRC" xfId="4561"/>
    <cellStyle name="_Costs not in KWI3000 '06Budget_Book2_Electric Rev Req Model (2009 GRC) Revised 01-18-2010" xfId="4562"/>
    <cellStyle name="_Costs not in KWI3000 '06Budget_Book2_Electric Rev Req Model (2009 GRC) Revised 01-18-2010 2" xfId="4563"/>
    <cellStyle name="_Costs not in KWI3000 '06Budget_Book2_Electric Rev Req Model (2009 GRC) Revised 01-18-2010 2 2" xfId="4564"/>
    <cellStyle name="_Costs not in KWI3000 '06Budget_Book2_Electric Rev Req Model (2009 GRC) Revised 01-18-2010 3" xfId="4565"/>
    <cellStyle name="_Costs not in KWI3000 '06Budget_Book2_Electric Rev Req Model (2009 GRC) Revised 01-18-2010_DEM-WP(C) ENERG10C--ctn Mid-C_042010 2010GRC" xfId="4566"/>
    <cellStyle name="_Costs not in KWI3000 '06Budget_Book2_Final Order Electric EXHIBIT A-1" xfId="4567"/>
    <cellStyle name="_Costs not in KWI3000 '06Budget_Book2_Final Order Electric EXHIBIT A-1 2" xfId="4568"/>
    <cellStyle name="_Costs not in KWI3000 '06Budget_Book4" xfId="4569"/>
    <cellStyle name="_Costs not in KWI3000 '06Budget_Book4 2" xfId="4570"/>
    <cellStyle name="_Costs not in KWI3000 '06Budget_Book4 2 2" xfId="4571"/>
    <cellStyle name="_Costs not in KWI3000 '06Budget_Book4 3" xfId="4572"/>
    <cellStyle name="_Costs not in KWI3000 '06Budget_Book4_DEM-WP(C) ENERG10C--ctn Mid-C_042010 2010GRC" xfId="4573"/>
    <cellStyle name="_Costs not in KWI3000 '06Budget_Book9" xfId="4574"/>
    <cellStyle name="_Costs not in KWI3000 '06Budget_Book9 2" xfId="4575"/>
    <cellStyle name="_Costs not in KWI3000 '06Budget_Book9 2 2" xfId="4576"/>
    <cellStyle name="_Costs not in KWI3000 '06Budget_Book9 3" xfId="4577"/>
    <cellStyle name="_Costs not in KWI3000 '06Budget_Book9_DEM-WP(C) ENERG10C--ctn Mid-C_042010 2010GRC" xfId="4578"/>
    <cellStyle name="_Costs not in KWI3000 '06Budget_Check the Interest Calculation" xfId="4579"/>
    <cellStyle name="_Costs not in KWI3000 '06Budget_Check the Interest Calculation_Scenario 1 REC vs PTC Offset" xfId="4580"/>
    <cellStyle name="_Costs not in KWI3000 '06Budget_Check the Interest Calculation_Scenario 3" xfId="4581"/>
    <cellStyle name="_Costs not in KWI3000 '06Budget_Chelan PUD Power Costs (8-10)" xfId="4582"/>
    <cellStyle name="_Costs not in KWI3000 '06Budget_Chelan PUD Power Costs (8-10) 2" xfId="4583"/>
    <cellStyle name="_Costs not in KWI3000 '06Budget_DEM-WP(C) Chelan Power Costs" xfId="4584"/>
    <cellStyle name="_Costs not in KWI3000 '06Budget_DEM-WP(C) Chelan Power Costs 2" xfId="4585"/>
    <cellStyle name="_Costs not in KWI3000 '06Budget_DEM-WP(C) ENERG10C--ctn Mid-C_042010 2010GRC" xfId="4586"/>
    <cellStyle name="_Costs not in KWI3000 '06Budget_DEM-WP(C) Gas Transport 2010GRC" xfId="4587"/>
    <cellStyle name="_Costs not in KWI3000 '06Budget_DEM-WP(C) Gas Transport 2010GRC 2" xfId="4588"/>
    <cellStyle name="_Costs not in KWI3000 '06Budget_Exh A-1 resulting from UE-112050 effective Jan 1 2012" xfId="4589"/>
    <cellStyle name="_Costs not in KWI3000 '06Budget_Exh G - Klamath Peaker PPA fr C Locke 2-12" xfId="4590"/>
    <cellStyle name="_Costs not in KWI3000 '06Budget_Exhibit A-1 effective 4-1-11 fr S Free 12-11" xfId="4591"/>
    <cellStyle name="_Costs not in KWI3000 '06Budget_Exhibit D fr R Gho 12-31-08" xfId="4592"/>
    <cellStyle name="_Costs not in KWI3000 '06Budget_Exhibit D fr R Gho 12-31-08 2" xfId="4593"/>
    <cellStyle name="_Costs not in KWI3000 '06Budget_Exhibit D fr R Gho 12-31-08 2 2" xfId="4594"/>
    <cellStyle name="_Costs not in KWI3000 '06Budget_Exhibit D fr R Gho 12-31-08 3" xfId="4595"/>
    <cellStyle name="_Costs not in KWI3000 '06Budget_Exhibit D fr R Gho 12-31-08 v2" xfId="4596"/>
    <cellStyle name="_Costs not in KWI3000 '06Budget_Exhibit D fr R Gho 12-31-08 v2 2" xfId="4597"/>
    <cellStyle name="_Costs not in KWI3000 '06Budget_Exhibit D fr R Gho 12-31-08 v2 2 2" xfId="4598"/>
    <cellStyle name="_Costs not in KWI3000 '06Budget_Exhibit D fr R Gho 12-31-08 v2 3" xfId="4599"/>
    <cellStyle name="_Costs not in KWI3000 '06Budget_Exhibit D fr R Gho 12-31-08 v2_DEM-WP(C) ENERG10C--ctn Mid-C_042010 2010GRC" xfId="4600"/>
    <cellStyle name="_Costs not in KWI3000 '06Budget_Exhibit D fr R Gho 12-31-08 v2_NIM Summary" xfId="4601"/>
    <cellStyle name="_Costs not in KWI3000 '06Budget_Exhibit D fr R Gho 12-31-08 v2_NIM Summary 2" xfId="4602"/>
    <cellStyle name="_Costs not in KWI3000 '06Budget_Exhibit D fr R Gho 12-31-08 v2_NIM Summary 2 2" xfId="4603"/>
    <cellStyle name="_Costs not in KWI3000 '06Budget_Exhibit D fr R Gho 12-31-08 v2_NIM Summary 3" xfId="4604"/>
    <cellStyle name="_Costs not in KWI3000 '06Budget_Exhibit D fr R Gho 12-31-08 v2_NIM Summary_DEM-WP(C) ENERG10C--ctn Mid-C_042010 2010GRC" xfId="4605"/>
    <cellStyle name="_Costs not in KWI3000 '06Budget_Exhibit D fr R Gho 12-31-08_DEM-WP(C) ENERG10C--ctn Mid-C_042010 2010GRC" xfId="4606"/>
    <cellStyle name="_Costs not in KWI3000 '06Budget_Exhibit D fr R Gho 12-31-08_NIM Summary" xfId="4607"/>
    <cellStyle name="_Costs not in KWI3000 '06Budget_Exhibit D fr R Gho 12-31-08_NIM Summary 2" xfId="4608"/>
    <cellStyle name="_Costs not in KWI3000 '06Budget_Exhibit D fr R Gho 12-31-08_NIM Summary 2 2" xfId="4609"/>
    <cellStyle name="_Costs not in KWI3000 '06Budget_Exhibit D fr R Gho 12-31-08_NIM Summary 3" xfId="4610"/>
    <cellStyle name="_Costs not in KWI3000 '06Budget_Exhibit D fr R Gho 12-31-08_NIM Summary_DEM-WP(C) ENERG10C--ctn Mid-C_042010 2010GRC" xfId="4611"/>
    <cellStyle name="_Costs not in KWI3000 '06Budget_Hopkins Ridge Prepaid Tran - Interest Earned RY 12ME Feb  '11" xfId="4612"/>
    <cellStyle name="_Costs not in KWI3000 '06Budget_Hopkins Ridge Prepaid Tran - Interest Earned RY 12ME Feb  '11 2" xfId="4613"/>
    <cellStyle name="_Costs not in KWI3000 '06Budget_Hopkins Ridge Prepaid Tran - Interest Earned RY 12ME Feb  '11 2 2" xfId="4614"/>
    <cellStyle name="_Costs not in KWI3000 '06Budget_Hopkins Ridge Prepaid Tran - Interest Earned RY 12ME Feb  '11 3" xfId="4615"/>
    <cellStyle name="_Costs not in KWI3000 '06Budget_Hopkins Ridge Prepaid Tran - Interest Earned RY 12ME Feb  '11_DEM-WP(C) ENERG10C--ctn Mid-C_042010 2010GRC" xfId="4616"/>
    <cellStyle name="_Costs not in KWI3000 '06Budget_Hopkins Ridge Prepaid Tran - Interest Earned RY 12ME Feb  '11_NIM Summary" xfId="4617"/>
    <cellStyle name="_Costs not in KWI3000 '06Budget_Hopkins Ridge Prepaid Tran - Interest Earned RY 12ME Feb  '11_NIM Summary 2" xfId="4618"/>
    <cellStyle name="_Costs not in KWI3000 '06Budget_Hopkins Ridge Prepaid Tran - Interest Earned RY 12ME Feb  '11_NIM Summary 2 2" xfId="4619"/>
    <cellStyle name="_Costs not in KWI3000 '06Budget_Hopkins Ridge Prepaid Tran - Interest Earned RY 12ME Feb  '11_NIM Summary 3" xfId="4620"/>
    <cellStyle name="_Costs not in KWI3000 '06Budget_Hopkins Ridge Prepaid Tran - Interest Earned RY 12ME Feb  '11_NIM Summary_DEM-WP(C) ENERG10C--ctn Mid-C_042010 2010GRC" xfId="4621"/>
    <cellStyle name="_Costs not in KWI3000 '06Budget_Hopkins Ridge Prepaid Tran - Interest Earned RY 12ME Feb  '11_Transmission Workbook for May BOD" xfId="4622"/>
    <cellStyle name="_Costs not in KWI3000 '06Budget_Hopkins Ridge Prepaid Tran - Interest Earned RY 12ME Feb  '11_Transmission Workbook for May BOD 2" xfId="4623"/>
    <cellStyle name="_Costs not in KWI3000 '06Budget_Hopkins Ridge Prepaid Tran - Interest Earned RY 12ME Feb  '11_Transmission Workbook for May BOD 2 2" xfId="4624"/>
    <cellStyle name="_Costs not in KWI3000 '06Budget_Hopkins Ridge Prepaid Tran - Interest Earned RY 12ME Feb  '11_Transmission Workbook for May BOD 3" xfId="4625"/>
    <cellStyle name="_Costs not in KWI3000 '06Budget_Hopkins Ridge Prepaid Tran - Interest Earned RY 12ME Feb  '11_Transmission Workbook for May BOD_DEM-WP(C) ENERG10C--ctn Mid-C_042010 2010GRC" xfId="4626"/>
    <cellStyle name="_Costs not in KWI3000 '06Budget_LSRWEP LGIA like Acctg Petition Aug 2010" xfId="4627"/>
    <cellStyle name="_Costs not in KWI3000 '06Budget_Mint Farm Generation BPA" xfId="4628"/>
    <cellStyle name="_Costs not in KWI3000 '06Budget_NIM Summary" xfId="4629"/>
    <cellStyle name="_Costs not in KWI3000 '06Budget_NIM Summary 09GRC" xfId="4630"/>
    <cellStyle name="_Costs not in KWI3000 '06Budget_NIM Summary 09GRC 2" xfId="4631"/>
    <cellStyle name="_Costs not in KWI3000 '06Budget_NIM Summary 09GRC 2 2" xfId="4632"/>
    <cellStyle name="_Costs not in KWI3000 '06Budget_NIM Summary 09GRC 3" xfId="4633"/>
    <cellStyle name="_Costs not in KWI3000 '06Budget_NIM Summary 09GRC_DEM-WP(C) ENERG10C--ctn Mid-C_042010 2010GRC" xfId="4634"/>
    <cellStyle name="_Costs not in KWI3000 '06Budget_NIM Summary 10" xfId="4635"/>
    <cellStyle name="_Costs not in KWI3000 '06Budget_NIM Summary 11" xfId="4636"/>
    <cellStyle name="_Costs not in KWI3000 '06Budget_NIM Summary 12" xfId="4637"/>
    <cellStyle name="_Costs not in KWI3000 '06Budget_NIM Summary 13" xfId="4638"/>
    <cellStyle name="_Costs not in KWI3000 '06Budget_NIM Summary 14" xfId="4639"/>
    <cellStyle name="_Costs not in KWI3000 '06Budget_NIM Summary 15" xfId="4640"/>
    <cellStyle name="_Costs not in KWI3000 '06Budget_NIM Summary 16" xfId="4641"/>
    <cellStyle name="_Costs not in KWI3000 '06Budget_NIM Summary 17" xfId="4642"/>
    <cellStyle name="_Costs not in KWI3000 '06Budget_NIM Summary 18" xfId="4643"/>
    <cellStyle name="_Costs not in KWI3000 '06Budget_NIM Summary 19" xfId="4644"/>
    <cellStyle name="_Costs not in KWI3000 '06Budget_NIM Summary 2" xfId="4645"/>
    <cellStyle name="_Costs not in KWI3000 '06Budget_NIM Summary 2 2" xfId="4646"/>
    <cellStyle name="_Costs not in KWI3000 '06Budget_NIM Summary 20" xfId="4647"/>
    <cellStyle name="_Costs not in KWI3000 '06Budget_NIM Summary 21" xfId="4648"/>
    <cellStyle name="_Costs not in KWI3000 '06Budget_NIM Summary 22" xfId="4649"/>
    <cellStyle name="_Costs not in KWI3000 '06Budget_NIM Summary 23" xfId="4650"/>
    <cellStyle name="_Costs not in KWI3000 '06Budget_NIM Summary 24" xfId="4651"/>
    <cellStyle name="_Costs not in KWI3000 '06Budget_NIM Summary 25" xfId="4652"/>
    <cellStyle name="_Costs not in KWI3000 '06Budget_NIM Summary 26" xfId="4653"/>
    <cellStyle name="_Costs not in KWI3000 '06Budget_NIM Summary 27" xfId="4654"/>
    <cellStyle name="_Costs not in KWI3000 '06Budget_NIM Summary 28" xfId="4655"/>
    <cellStyle name="_Costs not in KWI3000 '06Budget_NIM Summary 29" xfId="4656"/>
    <cellStyle name="_Costs not in KWI3000 '06Budget_NIM Summary 3" xfId="4657"/>
    <cellStyle name="_Costs not in KWI3000 '06Budget_NIM Summary 30" xfId="4658"/>
    <cellStyle name="_Costs not in KWI3000 '06Budget_NIM Summary 31" xfId="4659"/>
    <cellStyle name="_Costs not in KWI3000 '06Budget_NIM Summary 32" xfId="4660"/>
    <cellStyle name="_Costs not in KWI3000 '06Budget_NIM Summary 33" xfId="4661"/>
    <cellStyle name="_Costs not in KWI3000 '06Budget_NIM Summary 34" xfId="4662"/>
    <cellStyle name="_Costs not in KWI3000 '06Budget_NIM Summary 35" xfId="4663"/>
    <cellStyle name="_Costs not in KWI3000 '06Budget_NIM Summary 36" xfId="4664"/>
    <cellStyle name="_Costs not in KWI3000 '06Budget_NIM Summary 37" xfId="4665"/>
    <cellStyle name="_Costs not in KWI3000 '06Budget_NIM Summary 38" xfId="4666"/>
    <cellStyle name="_Costs not in KWI3000 '06Budget_NIM Summary 39" xfId="4667"/>
    <cellStyle name="_Costs not in KWI3000 '06Budget_NIM Summary 4" xfId="4668"/>
    <cellStyle name="_Costs not in KWI3000 '06Budget_NIM Summary 40" xfId="4669"/>
    <cellStyle name="_Costs not in KWI3000 '06Budget_NIM Summary 41" xfId="4670"/>
    <cellStyle name="_Costs not in KWI3000 '06Budget_NIM Summary 42" xfId="4671"/>
    <cellStyle name="_Costs not in KWI3000 '06Budget_NIM Summary 43" xfId="4672"/>
    <cellStyle name="_Costs not in KWI3000 '06Budget_NIM Summary 44" xfId="4673"/>
    <cellStyle name="_Costs not in KWI3000 '06Budget_NIM Summary 45" xfId="4674"/>
    <cellStyle name="_Costs not in KWI3000 '06Budget_NIM Summary 46" xfId="4675"/>
    <cellStyle name="_Costs not in KWI3000 '06Budget_NIM Summary 47" xfId="4676"/>
    <cellStyle name="_Costs not in KWI3000 '06Budget_NIM Summary 48" xfId="4677"/>
    <cellStyle name="_Costs not in KWI3000 '06Budget_NIM Summary 49" xfId="4678"/>
    <cellStyle name="_Costs not in KWI3000 '06Budget_NIM Summary 5" xfId="4679"/>
    <cellStyle name="_Costs not in KWI3000 '06Budget_NIM Summary 50" xfId="4680"/>
    <cellStyle name="_Costs not in KWI3000 '06Budget_NIM Summary 51" xfId="4681"/>
    <cellStyle name="_Costs not in KWI3000 '06Budget_NIM Summary 52" xfId="4682"/>
    <cellStyle name="_Costs not in KWI3000 '06Budget_NIM Summary 6" xfId="4683"/>
    <cellStyle name="_Costs not in KWI3000 '06Budget_NIM Summary 7" xfId="4684"/>
    <cellStyle name="_Costs not in KWI3000 '06Budget_NIM Summary 8" xfId="4685"/>
    <cellStyle name="_Costs not in KWI3000 '06Budget_NIM Summary 9" xfId="4686"/>
    <cellStyle name="_Costs not in KWI3000 '06Budget_NIM Summary_DEM-WP(C) ENERG10C--ctn Mid-C_042010 2010GRC" xfId="4687"/>
    <cellStyle name="_Costs not in KWI3000 '06Budget_NIM+O&amp;M" xfId="4688"/>
    <cellStyle name="_Costs not in KWI3000 '06Budget_NIM+O&amp;M 2" xfId="4689"/>
    <cellStyle name="_Costs not in KWI3000 '06Budget_NIM+O&amp;M Monthly" xfId="4690"/>
    <cellStyle name="_Costs not in KWI3000 '06Budget_NIM+O&amp;M Monthly 2" xfId="4691"/>
    <cellStyle name="_Costs not in KWI3000 '06Budget_PCA 10 -  Exhibit D Dec 2011" xfId="4692"/>
    <cellStyle name="_Costs not in KWI3000 '06Budget_PCA 10 -  Exhibit D from A Kellogg Jan 2011" xfId="4693"/>
    <cellStyle name="_Costs not in KWI3000 '06Budget_PCA 10 -  Exhibit D from A Kellogg July 2011" xfId="4694"/>
    <cellStyle name="_Costs not in KWI3000 '06Budget_PCA 10 -  Exhibit D from S Free Rcv'd 12-11" xfId="4695"/>
    <cellStyle name="_Costs not in KWI3000 '06Budget_PCA 11 -  Exhibit D Jan 2012 fr A Kellogg" xfId="4696"/>
    <cellStyle name="_Costs not in KWI3000 '06Budget_PCA 11 -  Exhibit D Jan 2012 WF" xfId="4697"/>
    <cellStyle name="_Costs not in KWI3000 '06Budget_PCA 7 - Exhibit D update 11_30_08 (2)" xfId="4698"/>
    <cellStyle name="_Costs not in KWI3000 '06Budget_PCA 7 - Exhibit D update 11_30_08 (2) 2" xfId="4699"/>
    <cellStyle name="_Costs not in KWI3000 '06Budget_PCA 7 - Exhibit D update 11_30_08 (2) 2 2" xfId="4700"/>
    <cellStyle name="_Costs not in KWI3000 '06Budget_PCA 7 - Exhibit D update 11_30_08 (2) 2 2 2" xfId="4701"/>
    <cellStyle name="_Costs not in KWI3000 '06Budget_PCA 7 - Exhibit D update 11_30_08 (2) 2 3" xfId="4702"/>
    <cellStyle name="_Costs not in KWI3000 '06Budget_PCA 7 - Exhibit D update 11_30_08 (2) 3" xfId="4703"/>
    <cellStyle name="_Costs not in KWI3000 '06Budget_PCA 7 - Exhibit D update 11_30_08 (2) 3 2" xfId="4704"/>
    <cellStyle name="_Costs not in KWI3000 '06Budget_PCA 7 - Exhibit D update 11_30_08 (2) 4" xfId="4705"/>
    <cellStyle name="_Costs not in KWI3000 '06Budget_PCA 7 - Exhibit D update 11_30_08 (2)_DEM-WP(C) ENERG10C--ctn Mid-C_042010 2010GRC" xfId="4706"/>
    <cellStyle name="_Costs not in KWI3000 '06Budget_PCA 7 - Exhibit D update 11_30_08 (2)_NIM Summary" xfId="4707"/>
    <cellStyle name="_Costs not in KWI3000 '06Budget_PCA 7 - Exhibit D update 11_30_08 (2)_NIM Summary 2" xfId="4708"/>
    <cellStyle name="_Costs not in KWI3000 '06Budget_PCA 7 - Exhibit D update 11_30_08 (2)_NIM Summary 2 2" xfId="4709"/>
    <cellStyle name="_Costs not in KWI3000 '06Budget_PCA 7 - Exhibit D update 11_30_08 (2)_NIM Summary 3" xfId="4710"/>
    <cellStyle name="_Costs not in KWI3000 '06Budget_PCA 7 - Exhibit D update 11_30_08 (2)_NIM Summary_DEM-WP(C) ENERG10C--ctn Mid-C_042010 2010GRC" xfId="4711"/>
    <cellStyle name="_Costs not in KWI3000 '06Budget_PCA 8 - Exhibit D update 12_31_09" xfId="4712"/>
    <cellStyle name="_Costs not in KWI3000 '06Budget_PCA 8 - Exhibit D update 12_31_09 2" xfId="4713"/>
    <cellStyle name="_Costs not in KWI3000 '06Budget_PCA 9 -  Exhibit D April 2010" xfId="4714"/>
    <cellStyle name="_Costs not in KWI3000 '06Budget_PCA 9 -  Exhibit D April 2010 (3)" xfId="4715"/>
    <cellStyle name="_Costs not in KWI3000 '06Budget_PCA 9 -  Exhibit D April 2010 (3) 2" xfId="4716"/>
    <cellStyle name="_Costs not in KWI3000 '06Budget_PCA 9 -  Exhibit D April 2010 (3) 2 2" xfId="4717"/>
    <cellStyle name="_Costs not in KWI3000 '06Budget_PCA 9 -  Exhibit D April 2010 (3) 3" xfId="4718"/>
    <cellStyle name="_Costs not in KWI3000 '06Budget_PCA 9 -  Exhibit D April 2010 (3)_DEM-WP(C) ENERG10C--ctn Mid-C_042010 2010GRC" xfId="4719"/>
    <cellStyle name="_Costs not in KWI3000 '06Budget_PCA 9 -  Exhibit D April 2010 2" xfId="4720"/>
    <cellStyle name="_Costs not in KWI3000 '06Budget_PCA 9 -  Exhibit D April 2010 3" xfId="4721"/>
    <cellStyle name="_Costs not in KWI3000 '06Budget_PCA 9 -  Exhibit D April 2010 4" xfId="4722"/>
    <cellStyle name="_Costs not in KWI3000 '06Budget_PCA 9 -  Exhibit D April 2010 5" xfId="4723"/>
    <cellStyle name="_Costs not in KWI3000 '06Budget_PCA 9 -  Exhibit D April 2010 6" xfId="4724"/>
    <cellStyle name="_Costs not in KWI3000 '06Budget_PCA 9 -  Exhibit D Feb 2010" xfId="4725"/>
    <cellStyle name="_Costs not in KWI3000 '06Budget_PCA 9 -  Exhibit D Feb 2010 2" xfId="4726"/>
    <cellStyle name="_Costs not in KWI3000 '06Budget_PCA 9 -  Exhibit D Feb 2010 v2" xfId="4727"/>
    <cellStyle name="_Costs not in KWI3000 '06Budget_PCA 9 -  Exhibit D Feb 2010 v2 2" xfId="4728"/>
    <cellStyle name="_Costs not in KWI3000 '06Budget_PCA 9 -  Exhibit D Feb 2010 WF" xfId="4729"/>
    <cellStyle name="_Costs not in KWI3000 '06Budget_PCA 9 -  Exhibit D Feb 2010 WF 2" xfId="4730"/>
    <cellStyle name="_Costs not in KWI3000 '06Budget_PCA 9 -  Exhibit D Jan 2010" xfId="4731"/>
    <cellStyle name="_Costs not in KWI3000 '06Budget_PCA 9 -  Exhibit D Jan 2010 2" xfId="4732"/>
    <cellStyle name="_Costs not in KWI3000 '06Budget_PCA 9 -  Exhibit D March 2010 (2)" xfId="4733"/>
    <cellStyle name="_Costs not in KWI3000 '06Budget_PCA 9 -  Exhibit D March 2010 (2) 2" xfId="4734"/>
    <cellStyle name="_Costs not in KWI3000 '06Budget_PCA 9 -  Exhibit D Nov 2010" xfId="4735"/>
    <cellStyle name="_Costs not in KWI3000 '06Budget_PCA 9 -  Exhibit D Nov 2010 2" xfId="4736"/>
    <cellStyle name="_Costs not in KWI3000 '06Budget_PCA 9 - Exhibit D at August 2010" xfId="4737"/>
    <cellStyle name="_Costs not in KWI3000 '06Budget_PCA 9 - Exhibit D at August 2010 2" xfId="4738"/>
    <cellStyle name="_Costs not in KWI3000 '06Budget_PCA 9 - Exhibit D June 2010 GRC" xfId="4739"/>
    <cellStyle name="_Costs not in KWI3000 '06Budget_PCA 9 - Exhibit D June 2010 GRC 2" xfId="4740"/>
    <cellStyle name="_Costs not in KWI3000 '06Budget_Power Costs - Comparison bx Rbtl-Staff-Jt-PC" xfId="4741"/>
    <cellStyle name="_Costs not in KWI3000 '06Budget_Power Costs - Comparison bx Rbtl-Staff-Jt-PC 2" xfId="4742"/>
    <cellStyle name="_Costs not in KWI3000 '06Budget_Power Costs - Comparison bx Rbtl-Staff-Jt-PC 2 2" xfId="4743"/>
    <cellStyle name="_Costs not in KWI3000 '06Budget_Power Costs - Comparison bx Rbtl-Staff-Jt-PC 3" xfId="4744"/>
    <cellStyle name="_Costs not in KWI3000 '06Budget_Power Costs - Comparison bx Rbtl-Staff-Jt-PC_Adj Bench DR 3 for Initial Briefs (Electric)" xfId="4745"/>
    <cellStyle name="_Costs not in KWI3000 '06Budget_Power Costs - Comparison bx Rbtl-Staff-Jt-PC_Adj Bench DR 3 for Initial Briefs (Electric) 2" xfId="4746"/>
    <cellStyle name="_Costs not in KWI3000 '06Budget_Power Costs - Comparison bx Rbtl-Staff-Jt-PC_Adj Bench DR 3 for Initial Briefs (Electric) 2 2" xfId="4747"/>
    <cellStyle name="_Costs not in KWI3000 '06Budget_Power Costs - Comparison bx Rbtl-Staff-Jt-PC_Adj Bench DR 3 for Initial Briefs (Electric) 3" xfId="4748"/>
    <cellStyle name="_Costs not in KWI3000 '06Budget_Power Costs - Comparison bx Rbtl-Staff-Jt-PC_Adj Bench DR 3 for Initial Briefs (Electric)_DEM-WP(C) ENERG10C--ctn Mid-C_042010 2010GRC" xfId="4749"/>
    <cellStyle name="_Costs not in KWI3000 '06Budget_Power Costs - Comparison bx Rbtl-Staff-Jt-PC_DEM-WP(C) ENERG10C--ctn Mid-C_042010 2010GRC" xfId="4750"/>
    <cellStyle name="_Costs not in KWI3000 '06Budget_Power Costs - Comparison bx Rbtl-Staff-Jt-PC_Electric Rev Req Model (2009 GRC) Rebuttal" xfId="4751"/>
    <cellStyle name="_Costs not in KWI3000 '06Budget_Power Costs - Comparison bx Rbtl-Staff-Jt-PC_Electric Rev Req Model (2009 GRC) Rebuttal 2" xfId="4752"/>
    <cellStyle name="_Costs not in KWI3000 '06Budget_Power Costs - Comparison bx Rbtl-Staff-Jt-PC_Electric Rev Req Model (2009 GRC) Rebuttal REmoval of New  WH Solar AdjustMI" xfId="4753"/>
    <cellStyle name="_Costs not in KWI3000 '06Budget_Power Costs - Comparison bx Rbtl-Staff-Jt-PC_Electric Rev Req Model (2009 GRC) Rebuttal REmoval of New  WH Solar AdjustMI 2" xfId="4754"/>
    <cellStyle name="_Costs not in KWI3000 '06Budget_Power Costs - Comparison bx Rbtl-Staff-Jt-PC_Electric Rev Req Model (2009 GRC) Rebuttal REmoval of New  WH Solar AdjustMI 2 2" xfId="4755"/>
    <cellStyle name="_Costs not in KWI3000 '06Budget_Power Costs - Comparison bx Rbtl-Staff-Jt-PC_Electric Rev Req Model (2009 GRC) Rebuttal REmoval of New  WH Solar AdjustMI 3" xfId="4756"/>
    <cellStyle name="_Costs not in KWI3000 '06Budget_Power Costs - Comparison bx Rbtl-Staff-Jt-PC_Electric Rev Req Model (2009 GRC) Rebuttal REmoval of New  WH Solar AdjustMI_DEM-WP(C) ENERG10C--ctn Mid-C_042010 2010GRC" xfId="4757"/>
    <cellStyle name="_Costs not in KWI3000 '06Budget_Power Costs - Comparison bx Rbtl-Staff-Jt-PC_Electric Rev Req Model (2009 GRC) Revised 01-18-2010" xfId="4758"/>
    <cellStyle name="_Costs not in KWI3000 '06Budget_Power Costs - Comparison bx Rbtl-Staff-Jt-PC_Electric Rev Req Model (2009 GRC) Revised 01-18-2010 2" xfId="4759"/>
    <cellStyle name="_Costs not in KWI3000 '06Budget_Power Costs - Comparison bx Rbtl-Staff-Jt-PC_Electric Rev Req Model (2009 GRC) Revised 01-18-2010 2 2" xfId="4760"/>
    <cellStyle name="_Costs not in KWI3000 '06Budget_Power Costs - Comparison bx Rbtl-Staff-Jt-PC_Electric Rev Req Model (2009 GRC) Revised 01-18-2010 3" xfId="4761"/>
    <cellStyle name="_Costs not in KWI3000 '06Budget_Power Costs - Comparison bx Rbtl-Staff-Jt-PC_Electric Rev Req Model (2009 GRC) Revised 01-18-2010_DEM-WP(C) ENERG10C--ctn Mid-C_042010 2010GRC" xfId="4762"/>
    <cellStyle name="_Costs not in KWI3000 '06Budget_Power Costs - Comparison bx Rbtl-Staff-Jt-PC_Final Order Electric EXHIBIT A-1" xfId="4763"/>
    <cellStyle name="_Costs not in KWI3000 '06Budget_Power Costs - Comparison bx Rbtl-Staff-Jt-PC_Final Order Electric EXHIBIT A-1 2" xfId="4764"/>
    <cellStyle name="_Costs not in KWI3000 '06Budget_Production Adj 4.37" xfId="21261"/>
    <cellStyle name="_Costs not in KWI3000 '06Budget_Purchased Power Adj 4.03" xfId="21262"/>
    <cellStyle name="_Costs not in KWI3000 '06Budget_Rebuttal Power Costs" xfId="4765"/>
    <cellStyle name="_Costs not in KWI3000 '06Budget_Rebuttal Power Costs 2" xfId="4766"/>
    <cellStyle name="_Costs not in KWI3000 '06Budget_Rebuttal Power Costs 2 2" xfId="4767"/>
    <cellStyle name="_Costs not in KWI3000 '06Budget_Rebuttal Power Costs 3" xfId="4768"/>
    <cellStyle name="_Costs not in KWI3000 '06Budget_Rebuttal Power Costs_Adj Bench DR 3 for Initial Briefs (Electric)" xfId="4769"/>
    <cellStyle name="_Costs not in KWI3000 '06Budget_Rebuttal Power Costs_Adj Bench DR 3 for Initial Briefs (Electric) 2" xfId="4770"/>
    <cellStyle name="_Costs not in KWI3000 '06Budget_Rebuttal Power Costs_Adj Bench DR 3 for Initial Briefs (Electric) 2 2" xfId="4771"/>
    <cellStyle name="_Costs not in KWI3000 '06Budget_Rebuttal Power Costs_Adj Bench DR 3 for Initial Briefs (Electric) 3" xfId="4772"/>
    <cellStyle name="_Costs not in KWI3000 '06Budget_Rebuttal Power Costs_Adj Bench DR 3 for Initial Briefs (Electric)_DEM-WP(C) ENERG10C--ctn Mid-C_042010 2010GRC" xfId="4773"/>
    <cellStyle name="_Costs not in KWI3000 '06Budget_Rebuttal Power Costs_DEM-WP(C) ENERG10C--ctn Mid-C_042010 2010GRC" xfId="4774"/>
    <cellStyle name="_Costs not in KWI3000 '06Budget_Rebuttal Power Costs_Electric Rev Req Model (2009 GRC) Rebuttal" xfId="4775"/>
    <cellStyle name="_Costs not in KWI3000 '06Budget_Rebuttal Power Costs_Electric Rev Req Model (2009 GRC) Rebuttal 2" xfId="4776"/>
    <cellStyle name="_Costs not in KWI3000 '06Budget_Rebuttal Power Costs_Electric Rev Req Model (2009 GRC) Rebuttal REmoval of New  WH Solar AdjustMI" xfId="4777"/>
    <cellStyle name="_Costs not in KWI3000 '06Budget_Rebuttal Power Costs_Electric Rev Req Model (2009 GRC) Rebuttal REmoval of New  WH Solar AdjustMI 2" xfId="4778"/>
    <cellStyle name="_Costs not in KWI3000 '06Budget_Rebuttal Power Costs_Electric Rev Req Model (2009 GRC) Rebuttal REmoval of New  WH Solar AdjustMI 2 2" xfId="4779"/>
    <cellStyle name="_Costs not in KWI3000 '06Budget_Rebuttal Power Costs_Electric Rev Req Model (2009 GRC) Rebuttal REmoval of New  WH Solar AdjustMI 3" xfId="4780"/>
    <cellStyle name="_Costs not in KWI3000 '06Budget_Rebuttal Power Costs_Electric Rev Req Model (2009 GRC) Rebuttal REmoval of New  WH Solar AdjustMI_DEM-WP(C) ENERG10C--ctn Mid-C_042010 2010GRC" xfId="4781"/>
    <cellStyle name="_Costs not in KWI3000 '06Budget_Rebuttal Power Costs_Electric Rev Req Model (2009 GRC) Revised 01-18-2010" xfId="4782"/>
    <cellStyle name="_Costs not in KWI3000 '06Budget_Rebuttal Power Costs_Electric Rev Req Model (2009 GRC) Revised 01-18-2010 2" xfId="4783"/>
    <cellStyle name="_Costs not in KWI3000 '06Budget_Rebuttal Power Costs_Electric Rev Req Model (2009 GRC) Revised 01-18-2010 2 2" xfId="4784"/>
    <cellStyle name="_Costs not in KWI3000 '06Budget_Rebuttal Power Costs_Electric Rev Req Model (2009 GRC) Revised 01-18-2010 3" xfId="4785"/>
    <cellStyle name="_Costs not in KWI3000 '06Budget_Rebuttal Power Costs_Electric Rev Req Model (2009 GRC) Revised 01-18-2010_DEM-WP(C) ENERG10C--ctn Mid-C_042010 2010GRC" xfId="4786"/>
    <cellStyle name="_Costs not in KWI3000 '06Budget_Rebuttal Power Costs_Final Order Electric EXHIBIT A-1" xfId="4787"/>
    <cellStyle name="_Costs not in KWI3000 '06Budget_Rebuttal Power Costs_Final Order Electric EXHIBIT A-1 2" xfId="4788"/>
    <cellStyle name="_Costs not in KWI3000 '06Budget_ROR 5.02" xfId="21263"/>
    <cellStyle name="_Costs not in KWI3000 '06Budget_Transmission Workbook for May BOD" xfId="4789"/>
    <cellStyle name="_Costs not in KWI3000 '06Budget_Transmission Workbook for May BOD 2" xfId="4790"/>
    <cellStyle name="_Costs not in KWI3000 '06Budget_Transmission Workbook for May BOD 2 2" xfId="4791"/>
    <cellStyle name="_Costs not in KWI3000 '06Budget_Transmission Workbook for May BOD 3" xfId="4792"/>
    <cellStyle name="_Costs not in KWI3000 '06Budget_Transmission Workbook for May BOD_DEM-WP(C) ENERG10C--ctn Mid-C_042010 2010GRC" xfId="4793"/>
    <cellStyle name="_Costs not in KWI3000 '06Budget_Wind Integration 10GRC" xfId="4794"/>
    <cellStyle name="_Costs not in KWI3000 '06Budget_Wind Integration 10GRC 2" xfId="4795"/>
    <cellStyle name="_Costs not in KWI3000 '06Budget_Wind Integration 10GRC 2 2" xfId="4796"/>
    <cellStyle name="_Costs not in KWI3000 '06Budget_Wind Integration 10GRC 3" xfId="4797"/>
    <cellStyle name="_Costs not in KWI3000 '06Budget_Wind Integration 10GRC_DEM-WP(C) ENERG10C--ctn Mid-C_042010 2010GRC" xfId="4798"/>
    <cellStyle name="_DEM-08C Power Cost Comparison" xfId="4799"/>
    <cellStyle name="_DEM-WP (C) Costs not in AURORA 2006GRC Order 11.30.06 Gas" xfId="4800"/>
    <cellStyle name="_DEM-WP (C) Costs not in AURORA 2006GRC Order 11.30.06 Gas 2" xfId="4801"/>
    <cellStyle name="_DEM-WP (C) Costs not in AURORA 2006GRC Order 11.30.06 Gas 2 2" xfId="4802"/>
    <cellStyle name="_DEM-WP (C) Costs not in AURORA 2006GRC Order 11.30.06 Gas 3" xfId="4803"/>
    <cellStyle name="_DEM-WP (C) Costs not in AURORA 2006GRC Order 11.30.06 Gas_Chelan PUD Power Costs (8-10)" xfId="4804"/>
    <cellStyle name="_DEM-WP (C) Costs not in AURORA 2006GRC Order 11.30.06 Gas_Chelan PUD Power Costs (8-10) 2" xfId="4805"/>
    <cellStyle name="_DEM-WP (C) Costs not in AURORA 2006GRC Order 11.30.06 Gas_DEM-WP(C) ENERG10C--ctn Mid-C_042010 2010GRC" xfId="4806"/>
    <cellStyle name="_DEM-WP (C) Costs not in AURORA 2006GRC Order 11.30.06 Gas_NIM Summary" xfId="4807"/>
    <cellStyle name="_DEM-WP (C) Costs not in AURORA 2006GRC Order 11.30.06 Gas_NIM Summary 2" xfId="4808"/>
    <cellStyle name="_DEM-WP (C) Costs not in AURORA 2006GRC Order 11.30.06 Gas_NIM Summary 2 2" xfId="4809"/>
    <cellStyle name="_DEM-WP (C) Costs not in AURORA 2006GRC Order 11.30.06 Gas_NIM Summary 3" xfId="4810"/>
    <cellStyle name="_DEM-WP (C) Costs not in AURORA 2006GRC Order 11.30.06 Gas_NIM Summary_DEM-WP(C) ENERG10C--ctn Mid-C_042010 2010GRC" xfId="4811"/>
    <cellStyle name="_DEM-WP (C) Power Cost 2006GRC Order" xfId="4812"/>
    <cellStyle name="_DEM-WP (C) Power Cost 2006GRC Order 2" xfId="4813"/>
    <cellStyle name="_DEM-WP (C) Power Cost 2006GRC Order 2 2" xfId="4814"/>
    <cellStyle name="_DEM-WP (C) Power Cost 2006GRC Order 2 2 2" xfId="4815"/>
    <cellStyle name="_DEM-WP (C) Power Cost 2006GRC Order 2 3" xfId="4816"/>
    <cellStyle name="_DEM-WP (C) Power Cost 2006GRC Order 3" xfId="4817"/>
    <cellStyle name="_DEM-WP (C) Power Cost 2006GRC Order 3 2" xfId="4818"/>
    <cellStyle name="_DEM-WP (C) Power Cost 2006GRC Order 4" xfId="4819"/>
    <cellStyle name="_DEM-WP (C) Power Cost 2006GRC Order 4 2" xfId="4820"/>
    <cellStyle name="_DEM-WP (C) Power Cost 2006GRC Order 4 3" xfId="4821"/>
    <cellStyle name="_DEM-WP (C) Power Cost 2006GRC Order 5" xfId="4822"/>
    <cellStyle name="_DEM-WP (C) Power Cost 2006GRC Order 5 2" xfId="4823"/>
    <cellStyle name="_DEM-WP (C) Power Cost 2006GRC Order 5 3" xfId="4824"/>
    <cellStyle name="_DEM-WP (C) Power Cost 2006GRC Order 6" xfId="4825"/>
    <cellStyle name="_DEM-WP (C) Power Cost 2006GRC Order 6 2" xfId="4826"/>
    <cellStyle name="_DEM-WP (C) Power Cost 2006GRC Order 7" xfId="4827"/>
    <cellStyle name="_DEM-WP (C) Power Cost 2006GRC Order 7 2" xfId="4828"/>
    <cellStyle name="_DEM-WP (C) Power Cost 2006GRC Order 8" xfId="4829"/>
    <cellStyle name="_DEM-WP (C) Power Cost 2006GRC Order 8 2" xfId="4830"/>
    <cellStyle name="_DEM-WP (C) Power Cost 2006GRC Order_04 07E Wild Horse Wind Expansion (C) (2)" xfId="4831"/>
    <cellStyle name="_DEM-WP (C) Power Cost 2006GRC Order_04 07E Wild Horse Wind Expansion (C) (2) 2" xfId="4832"/>
    <cellStyle name="_DEM-WP (C) Power Cost 2006GRC Order_04 07E Wild Horse Wind Expansion (C) (2) 2 2" xfId="4833"/>
    <cellStyle name="_DEM-WP (C) Power Cost 2006GRC Order_04 07E Wild Horse Wind Expansion (C) (2) 3" xfId="4834"/>
    <cellStyle name="_DEM-WP (C) Power Cost 2006GRC Order_04 07E Wild Horse Wind Expansion (C) (2)_Adj Bench DR 3 for Initial Briefs (Electric)" xfId="4835"/>
    <cellStyle name="_DEM-WP (C) Power Cost 2006GRC Order_04 07E Wild Horse Wind Expansion (C) (2)_Adj Bench DR 3 for Initial Briefs (Electric) 2" xfId="4836"/>
    <cellStyle name="_DEM-WP (C) Power Cost 2006GRC Order_04 07E Wild Horse Wind Expansion (C) (2)_Adj Bench DR 3 for Initial Briefs (Electric) 2 2" xfId="4837"/>
    <cellStyle name="_DEM-WP (C) Power Cost 2006GRC Order_04 07E Wild Horse Wind Expansion (C) (2)_Adj Bench DR 3 for Initial Briefs (Electric) 3" xfId="4838"/>
    <cellStyle name="_DEM-WP (C) Power Cost 2006GRC Order_04 07E Wild Horse Wind Expansion (C) (2)_Adj Bench DR 3 for Initial Briefs (Electric)_DEM-WP(C) ENERG10C--ctn Mid-C_042010 2010GRC" xfId="4839"/>
    <cellStyle name="_DEM-WP (C) Power Cost 2006GRC Order_04 07E Wild Horse Wind Expansion (C) (2)_Book1" xfId="4840"/>
    <cellStyle name="_DEM-WP (C) Power Cost 2006GRC Order_04 07E Wild Horse Wind Expansion (C) (2)_DEM-WP(C) ENERG10C--ctn Mid-C_042010 2010GRC" xfId="4841"/>
    <cellStyle name="_DEM-WP (C) Power Cost 2006GRC Order_04 07E Wild Horse Wind Expansion (C) (2)_Electric Rev Req Model (2009 GRC) " xfId="4842"/>
    <cellStyle name="_DEM-WP (C) Power Cost 2006GRC Order_04 07E Wild Horse Wind Expansion (C) (2)_Electric Rev Req Model (2009 GRC)  2" xfId="4843"/>
    <cellStyle name="_DEM-WP (C) Power Cost 2006GRC Order_04 07E Wild Horse Wind Expansion (C) (2)_Electric Rev Req Model (2009 GRC)  2 2" xfId="4844"/>
    <cellStyle name="_DEM-WP (C) Power Cost 2006GRC Order_04 07E Wild Horse Wind Expansion (C) (2)_Electric Rev Req Model (2009 GRC)  3" xfId="4845"/>
    <cellStyle name="_DEM-WP (C) Power Cost 2006GRC Order_04 07E Wild Horse Wind Expansion (C) (2)_Electric Rev Req Model (2009 GRC) _DEM-WP(C) ENERG10C--ctn Mid-C_042010 2010GRC" xfId="4846"/>
    <cellStyle name="_DEM-WP (C) Power Cost 2006GRC Order_04 07E Wild Horse Wind Expansion (C) (2)_Electric Rev Req Model (2009 GRC) Rebuttal" xfId="4847"/>
    <cellStyle name="_DEM-WP (C) Power Cost 2006GRC Order_04 07E Wild Horse Wind Expansion (C) (2)_Electric Rev Req Model (2009 GRC) Rebuttal 2" xfId="4848"/>
    <cellStyle name="_DEM-WP (C) Power Cost 2006GRC Order_04 07E Wild Horse Wind Expansion (C) (2)_Electric Rev Req Model (2009 GRC) Rebuttal REmoval of New  WH Solar AdjustMI" xfId="4849"/>
    <cellStyle name="_DEM-WP (C) Power Cost 2006GRC Order_04 07E Wild Horse Wind Expansion (C) (2)_Electric Rev Req Model (2009 GRC) Rebuttal REmoval of New  WH Solar AdjustMI 2" xfId="4850"/>
    <cellStyle name="_DEM-WP (C) Power Cost 2006GRC Order_04 07E Wild Horse Wind Expansion (C) (2)_Electric Rev Req Model (2009 GRC) Rebuttal REmoval of New  WH Solar AdjustMI 2 2" xfId="4851"/>
    <cellStyle name="_DEM-WP (C) Power Cost 2006GRC Order_04 07E Wild Horse Wind Expansion (C) (2)_Electric Rev Req Model (2009 GRC) Rebuttal REmoval of New  WH Solar AdjustMI 3" xfId="4852"/>
    <cellStyle name="_DEM-WP (C) Power Cost 2006GRC Order_04 07E Wild Horse Wind Expansion (C) (2)_Electric Rev Req Model (2009 GRC) Rebuttal REmoval of New  WH Solar AdjustMI_DEM-WP(C) ENERG10C--ctn Mid-C_042010 2010GRC" xfId="4853"/>
    <cellStyle name="_DEM-WP (C) Power Cost 2006GRC Order_04 07E Wild Horse Wind Expansion (C) (2)_Electric Rev Req Model (2009 GRC) Revised 01-18-2010" xfId="4854"/>
    <cellStyle name="_DEM-WP (C) Power Cost 2006GRC Order_04 07E Wild Horse Wind Expansion (C) (2)_Electric Rev Req Model (2009 GRC) Revised 01-18-2010 2" xfId="4855"/>
    <cellStyle name="_DEM-WP (C) Power Cost 2006GRC Order_04 07E Wild Horse Wind Expansion (C) (2)_Electric Rev Req Model (2009 GRC) Revised 01-18-2010 2 2" xfId="4856"/>
    <cellStyle name="_DEM-WP (C) Power Cost 2006GRC Order_04 07E Wild Horse Wind Expansion (C) (2)_Electric Rev Req Model (2009 GRC) Revised 01-18-2010 3" xfId="4857"/>
    <cellStyle name="_DEM-WP (C) Power Cost 2006GRC Order_04 07E Wild Horse Wind Expansion (C) (2)_Electric Rev Req Model (2009 GRC) Revised 01-18-2010_DEM-WP(C) ENERG10C--ctn Mid-C_042010 2010GRC" xfId="4858"/>
    <cellStyle name="_DEM-WP (C) Power Cost 2006GRC Order_04 07E Wild Horse Wind Expansion (C) (2)_Electric Rev Req Model (2010 GRC)" xfId="4859"/>
    <cellStyle name="_DEM-WP (C) Power Cost 2006GRC Order_04 07E Wild Horse Wind Expansion (C) (2)_Electric Rev Req Model (2010 GRC) SF" xfId="4860"/>
    <cellStyle name="_DEM-WP (C) Power Cost 2006GRC Order_04 07E Wild Horse Wind Expansion (C) (2)_Final Order Electric EXHIBIT A-1" xfId="4861"/>
    <cellStyle name="_DEM-WP (C) Power Cost 2006GRC Order_04 07E Wild Horse Wind Expansion (C) (2)_Final Order Electric EXHIBIT A-1 2" xfId="4862"/>
    <cellStyle name="_DEM-WP (C) Power Cost 2006GRC Order_04 07E Wild Horse Wind Expansion (C) (2)_TENASKA REGULATORY ASSET" xfId="4863"/>
    <cellStyle name="_DEM-WP (C) Power Cost 2006GRC Order_04 07E Wild Horse Wind Expansion (C) (2)_TENASKA REGULATORY ASSET 2" xfId="4864"/>
    <cellStyle name="_DEM-WP (C) Power Cost 2006GRC Order_16.37E Wild Horse Expansion DeferralRevwrkingfile SF" xfId="4865"/>
    <cellStyle name="_DEM-WP (C) Power Cost 2006GRC Order_16.37E Wild Horse Expansion DeferralRevwrkingfile SF 2" xfId="4866"/>
    <cellStyle name="_DEM-WP (C) Power Cost 2006GRC Order_16.37E Wild Horse Expansion DeferralRevwrkingfile SF 2 2" xfId="4867"/>
    <cellStyle name="_DEM-WP (C) Power Cost 2006GRC Order_16.37E Wild Horse Expansion DeferralRevwrkingfile SF 3" xfId="4868"/>
    <cellStyle name="_DEM-WP (C) Power Cost 2006GRC Order_16.37E Wild Horse Expansion DeferralRevwrkingfile SF_DEM-WP(C) ENERG10C--ctn Mid-C_042010 2010GRC" xfId="4869"/>
    <cellStyle name="_DEM-WP (C) Power Cost 2006GRC Order_2009 Compliance Filing PCA Exhibits for GRC" xfId="4870"/>
    <cellStyle name="_DEM-WP (C) Power Cost 2006GRC Order_2009 Compliance Filing PCA Exhibits for GRC 2" xfId="4871"/>
    <cellStyle name="_DEM-WP (C) Power Cost 2006GRC Order_2009 GRC Compl Filing - Exhibit D" xfId="4872"/>
    <cellStyle name="_DEM-WP (C) Power Cost 2006GRC Order_2009 GRC Compl Filing - Exhibit D 2" xfId="4873"/>
    <cellStyle name="_DEM-WP (C) Power Cost 2006GRC Order_2009 GRC Compl Filing - Exhibit D 2 2" xfId="4874"/>
    <cellStyle name="_DEM-WP (C) Power Cost 2006GRC Order_2009 GRC Compl Filing - Exhibit D 3" xfId="4875"/>
    <cellStyle name="_DEM-WP (C) Power Cost 2006GRC Order_2009 GRC Compl Filing - Exhibit D_DEM-WP(C) ENERG10C--ctn Mid-C_042010 2010GRC" xfId="4876"/>
    <cellStyle name="_DEM-WP (C) Power Cost 2006GRC Order_3.01 Income Statement" xfId="4877"/>
    <cellStyle name="_DEM-WP (C) Power Cost 2006GRC Order_4 31 Regulatory Assets and Liabilities  7 06- Exhibit D" xfId="4878"/>
    <cellStyle name="_DEM-WP (C) Power Cost 2006GRC Order_4 31 Regulatory Assets and Liabilities  7 06- Exhibit D 2" xfId="4879"/>
    <cellStyle name="_DEM-WP (C) Power Cost 2006GRC Order_4 31 Regulatory Assets and Liabilities  7 06- Exhibit D 2 2" xfId="4880"/>
    <cellStyle name="_DEM-WP (C) Power Cost 2006GRC Order_4 31 Regulatory Assets and Liabilities  7 06- Exhibit D 2 2 2" xfId="4881"/>
    <cellStyle name="_DEM-WP (C) Power Cost 2006GRC Order_4 31 Regulatory Assets and Liabilities  7 06- Exhibit D 3" xfId="4882"/>
    <cellStyle name="_DEM-WP (C) Power Cost 2006GRC Order_4 31 Regulatory Assets and Liabilities  7 06- Exhibit D_DEM-WP(C) ENERG10C--ctn Mid-C_042010 2010GRC" xfId="4883"/>
    <cellStyle name="_DEM-WP (C) Power Cost 2006GRC Order_4 31 Regulatory Assets and Liabilities  7 06- Exhibit D_NIM Summary" xfId="4884"/>
    <cellStyle name="_DEM-WP (C) Power Cost 2006GRC Order_4 31 Regulatory Assets and Liabilities  7 06- Exhibit D_NIM Summary 2" xfId="4885"/>
    <cellStyle name="_DEM-WP (C) Power Cost 2006GRC Order_4 31 Regulatory Assets and Liabilities  7 06- Exhibit D_NIM Summary 2 2" xfId="4886"/>
    <cellStyle name="_DEM-WP (C) Power Cost 2006GRC Order_4 31 Regulatory Assets and Liabilities  7 06- Exhibit D_NIM Summary 3" xfId="4887"/>
    <cellStyle name="_DEM-WP (C) Power Cost 2006GRC Order_4 31 Regulatory Assets and Liabilities  7 06- Exhibit D_NIM Summary_DEM-WP(C) ENERG10C--ctn Mid-C_042010 2010GRC" xfId="4888"/>
    <cellStyle name="_DEM-WP (C) Power Cost 2006GRC Order_4 31 Regulatory Assets and Liabilities  7 06- Exhibit D_NIM+O&amp;M" xfId="4889"/>
    <cellStyle name="_DEM-WP (C) Power Cost 2006GRC Order_4 31 Regulatory Assets and Liabilities  7 06- Exhibit D_NIM+O&amp;M Monthly" xfId="4890"/>
    <cellStyle name="_DEM-WP (C) Power Cost 2006GRC Order_4 31E Reg Asset  Liab and EXH D" xfId="4891"/>
    <cellStyle name="_DEM-WP (C) Power Cost 2006GRC Order_4 31E Reg Asset  Liab and EXH D _ Aug 10 Filing (2)" xfId="4892"/>
    <cellStyle name="_DEM-WP (C) Power Cost 2006GRC Order_4 31E Reg Asset  Liab and EXH D _ Aug 10 Filing (2) 2" xfId="4893"/>
    <cellStyle name="_DEM-WP (C) Power Cost 2006GRC Order_4 31E Reg Asset  Liab and EXH D 2" xfId="4894"/>
    <cellStyle name="_DEM-WP (C) Power Cost 2006GRC Order_4 31E Reg Asset  Liab and EXH D 3" xfId="4895"/>
    <cellStyle name="_DEM-WP (C) Power Cost 2006GRC Order_4 32 Regulatory Assets and Liabilities  7 06- Exhibit D" xfId="4896"/>
    <cellStyle name="_DEM-WP (C) Power Cost 2006GRC Order_4 32 Regulatory Assets and Liabilities  7 06- Exhibit D 2" xfId="4897"/>
    <cellStyle name="_DEM-WP (C) Power Cost 2006GRC Order_4 32 Regulatory Assets and Liabilities  7 06- Exhibit D 2 2" xfId="4898"/>
    <cellStyle name="_DEM-WP (C) Power Cost 2006GRC Order_4 32 Regulatory Assets and Liabilities  7 06- Exhibit D 2 2 2" xfId="4899"/>
    <cellStyle name="_DEM-WP (C) Power Cost 2006GRC Order_4 32 Regulatory Assets and Liabilities  7 06- Exhibit D 3" xfId="4900"/>
    <cellStyle name="_DEM-WP (C) Power Cost 2006GRC Order_4 32 Regulatory Assets and Liabilities  7 06- Exhibit D_DEM-WP(C) ENERG10C--ctn Mid-C_042010 2010GRC" xfId="4901"/>
    <cellStyle name="_DEM-WP (C) Power Cost 2006GRC Order_4 32 Regulatory Assets and Liabilities  7 06- Exhibit D_NIM Summary" xfId="4902"/>
    <cellStyle name="_DEM-WP (C) Power Cost 2006GRC Order_4 32 Regulatory Assets and Liabilities  7 06- Exhibit D_NIM Summary 2" xfId="4903"/>
    <cellStyle name="_DEM-WP (C) Power Cost 2006GRC Order_4 32 Regulatory Assets and Liabilities  7 06- Exhibit D_NIM Summary 2 2" xfId="4904"/>
    <cellStyle name="_DEM-WP (C) Power Cost 2006GRC Order_4 32 Regulatory Assets and Liabilities  7 06- Exhibit D_NIM Summary 3" xfId="4905"/>
    <cellStyle name="_DEM-WP (C) Power Cost 2006GRC Order_4 32 Regulatory Assets and Liabilities  7 06- Exhibit D_NIM Summary_DEM-WP(C) ENERG10C--ctn Mid-C_042010 2010GRC" xfId="4906"/>
    <cellStyle name="_DEM-WP (C) Power Cost 2006GRC Order_4 32 Regulatory Assets and Liabilities  7 06- Exhibit D_NIM+O&amp;M" xfId="4907"/>
    <cellStyle name="_DEM-WP (C) Power Cost 2006GRC Order_4 32 Regulatory Assets and Liabilities  7 06- Exhibit D_NIM+O&amp;M Monthly" xfId="4908"/>
    <cellStyle name="_DEM-WP (C) Power Cost 2006GRC Order_AURORA Total New" xfId="4909"/>
    <cellStyle name="_DEM-WP (C) Power Cost 2006GRC Order_AURORA Total New 2" xfId="4910"/>
    <cellStyle name="_DEM-WP (C) Power Cost 2006GRC Order_AURORA Total New 2 2" xfId="4911"/>
    <cellStyle name="_DEM-WP (C) Power Cost 2006GRC Order_AURORA Total New 3" xfId="4912"/>
    <cellStyle name="_DEM-WP (C) Power Cost 2006GRC Order_Book2" xfId="4913"/>
    <cellStyle name="_DEM-WP (C) Power Cost 2006GRC Order_Book2 2" xfId="4914"/>
    <cellStyle name="_DEM-WP (C) Power Cost 2006GRC Order_Book2 2 2" xfId="4915"/>
    <cellStyle name="_DEM-WP (C) Power Cost 2006GRC Order_Book2 3" xfId="4916"/>
    <cellStyle name="_DEM-WP (C) Power Cost 2006GRC Order_Book2_Adj Bench DR 3 for Initial Briefs (Electric)" xfId="4917"/>
    <cellStyle name="_DEM-WP (C) Power Cost 2006GRC Order_Book2_Adj Bench DR 3 for Initial Briefs (Electric) 2" xfId="4918"/>
    <cellStyle name="_DEM-WP (C) Power Cost 2006GRC Order_Book2_Adj Bench DR 3 for Initial Briefs (Electric) 2 2" xfId="4919"/>
    <cellStyle name="_DEM-WP (C) Power Cost 2006GRC Order_Book2_Adj Bench DR 3 for Initial Briefs (Electric) 3" xfId="4920"/>
    <cellStyle name="_DEM-WP (C) Power Cost 2006GRC Order_Book2_Adj Bench DR 3 for Initial Briefs (Electric)_DEM-WP(C) ENERG10C--ctn Mid-C_042010 2010GRC" xfId="4921"/>
    <cellStyle name="_DEM-WP (C) Power Cost 2006GRC Order_Book2_DEM-WP(C) ENERG10C--ctn Mid-C_042010 2010GRC" xfId="4922"/>
    <cellStyle name="_DEM-WP (C) Power Cost 2006GRC Order_Book2_Electric Rev Req Model (2009 GRC) Rebuttal" xfId="4923"/>
    <cellStyle name="_DEM-WP (C) Power Cost 2006GRC Order_Book2_Electric Rev Req Model (2009 GRC) Rebuttal 2" xfId="4924"/>
    <cellStyle name="_DEM-WP (C) Power Cost 2006GRC Order_Book2_Electric Rev Req Model (2009 GRC) Rebuttal REmoval of New  WH Solar AdjustMI" xfId="4925"/>
    <cellStyle name="_DEM-WP (C) Power Cost 2006GRC Order_Book2_Electric Rev Req Model (2009 GRC) Rebuttal REmoval of New  WH Solar AdjustMI 2" xfId="4926"/>
    <cellStyle name="_DEM-WP (C) Power Cost 2006GRC Order_Book2_Electric Rev Req Model (2009 GRC) Rebuttal REmoval of New  WH Solar AdjustMI 2 2" xfId="4927"/>
    <cellStyle name="_DEM-WP (C) Power Cost 2006GRC Order_Book2_Electric Rev Req Model (2009 GRC) Rebuttal REmoval of New  WH Solar AdjustMI 3" xfId="4928"/>
    <cellStyle name="_DEM-WP (C) Power Cost 2006GRC Order_Book2_Electric Rev Req Model (2009 GRC) Rebuttal REmoval of New  WH Solar AdjustMI_DEM-WP(C) ENERG10C--ctn Mid-C_042010 2010GRC" xfId="4929"/>
    <cellStyle name="_DEM-WP (C) Power Cost 2006GRC Order_Book2_Electric Rev Req Model (2009 GRC) Revised 01-18-2010" xfId="4930"/>
    <cellStyle name="_DEM-WP (C) Power Cost 2006GRC Order_Book2_Electric Rev Req Model (2009 GRC) Revised 01-18-2010 2" xfId="4931"/>
    <cellStyle name="_DEM-WP (C) Power Cost 2006GRC Order_Book2_Electric Rev Req Model (2009 GRC) Revised 01-18-2010 2 2" xfId="4932"/>
    <cellStyle name="_DEM-WP (C) Power Cost 2006GRC Order_Book2_Electric Rev Req Model (2009 GRC) Revised 01-18-2010 3" xfId="4933"/>
    <cellStyle name="_DEM-WP (C) Power Cost 2006GRC Order_Book2_Electric Rev Req Model (2009 GRC) Revised 01-18-2010_DEM-WP(C) ENERG10C--ctn Mid-C_042010 2010GRC" xfId="4934"/>
    <cellStyle name="_DEM-WP (C) Power Cost 2006GRC Order_Book2_Final Order Electric EXHIBIT A-1" xfId="4935"/>
    <cellStyle name="_DEM-WP (C) Power Cost 2006GRC Order_Book2_Final Order Electric EXHIBIT A-1 2" xfId="4936"/>
    <cellStyle name="_DEM-WP (C) Power Cost 2006GRC Order_Book4" xfId="4937"/>
    <cellStyle name="_DEM-WP (C) Power Cost 2006GRC Order_Book4 2" xfId="4938"/>
    <cellStyle name="_DEM-WP (C) Power Cost 2006GRC Order_Book4 2 2" xfId="4939"/>
    <cellStyle name="_DEM-WP (C) Power Cost 2006GRC Order_Book4 3" xfId="4940"/>
    <cellStyle name="_DEM-WP (C) Power Cost 2006GRC Order_Book4_DEM-WP(C) ENERG10C--ctn Mid-C_042010 2010GRC" xfId="4941"/>
    <cellStyle name="_DEM-WP (C) Power Cost 2006GRC Order_Book9" xfId="4942"/>
    <cellStyle name="_DEM-WP (C) Power Cost 2006GRC Order_Book9 2" xfId="4943"/>
    <cellStyle name="_DEM-WP (C) Power Cost 2006GRC Order_Book9 2 2" xfId="4944"/>
    <cellStyle name="_DEM-WP (C) Power Cost 2006GRC Order_Book9 3" xfId="4945"/>
    <cellStyle name="_DEM-WP (C) Power Cost 2006GRC Order_Book9_DEM-WP(C) ENERG10C--ctn Mid-C_042010 2010GRC" xfId="4946"/>
    <cellStyle name="_DEM-WP (C) Power Cost 2006GRC Order_Chelan PUD Power Costs (8-10)" xfId="4947"/>
    <cellStyle name="_DEM-WP (C) Power Cost 2006GRC Order_Chelan PUD Power Costs (8-10) 2" xfId="4948"/>
    <cellStyle name="_DEM-WP (C) Power Cost 2006GRC Order_DEM-WP(C) Chelan Power Costs" xfId="4949"/>
    <cellStyle name="_DEM-WP (C) Power Cost 2006GRC Order_DEM-WP(C) Chelan Power Costs 2" xfId="4950"/>
    <cellStyle name="_DEM-WP (C) Power Cost 2006GRC Order_DEM-WP(C) ENERG10C--ctn Mid-C_042010 2010GRC" xfId="4951"/>
    <cellStyle name="_DEM-WP (C) Power Cost 2006GRC Order_DEM-WP(C) Gas Transport 2010GRC" xfId="4952"/>
    <cellStyle name="_DEM-WP (C) Power Cost 2006GRC Order_DEM-WP(C) Gas Transport 2010GRC 2" xfId="4953"/>
    <cellStyle name="_DEM-WP (C) Power Cost 2006GRC Order_Exh A-1 resulting from UE-112050 effective Jan 1 2012" xfId="4954"/>
    <cellStyle name="_DEM-WP (C) Power Cost 2006GRC Order_Exh G - Klamath Peaker PPA fr C Locke 2-12" xfId="4955"/>
    <cellStyle name="_DEM-WP (C) Power Cost 2006GRC Order_Exhibit A-1 effective 4-1-11 fr S Free 12-11" xfId="4956"/>
    <cellStyle name="_DEM-WP (C) Power Cost 2006GRC Order_Mint Farm Generation BPA" xfId="4957"/>
    <cellStyle name="_DEM-WP (C) Power Cost 2006GRC Order_NIM Summary" xfId="4958"/>
    <cellStyle name="_DEM-WP (C) Power Cost 2006GRC Order_NIM Summary 09GRC" xfId="4959"/>
    <cellStyle name="_DEM-WP (C) Power Cost 2006GRC Order_NIM Summary 09GRC 2" xfId="4960"/>
    <cellStyle name="_DEM-WP (C) Power Cost 2006GRC Order_NIM Summary 09GRC 2 2" xfId="4961"/>
    <cellStyle name="_DEM-WP (C) Power Cost 2006GRC Order_NIM Summary 09GRC 3" xfId="4962"/>
    <cellStyle name="_DEM-WP (C) Power Cost 2006GRC Order_NIM Summary 09GRC_DEM-WP(C) ENERG10C--ctn Mid-C_042010 2010GRC" xfId="4963"/>
    <cellStyle name="_DEM-WP (C) Power Cost 2006GRC Order_NIM Summary 10" xfId="4964"/>
    <cellStyle name="_DEM-WP (C) Power Cost 2006GRC Order_NIM Summary 11" xfId="4965"/>
    <cellStyle name="_DEM-WP (C) Power Cost 2006GRC Order_NIM Summary 12" xfId="4966"/>
    <cellStyle name="_DEM-WP (C) Power Cost 2006GRC Order_NIM Summary 13" xfId="4967"/>
    <cellStyle name="_DEM-WP (C) Power Cost 2006GRC Order_NIM Summary 14" xfId="4968"/>
    <cellStyle name="_DEM-WP (C) Power Cost 2006GRC Order_NIM Summary 15" xfId="4969"/>
    <cellStyle name="_DEM-WP (C) Power Cost 2006GRC Order_NIM Summary 16" xfId="4970"/>
    <cellStyle name="_DEM-WP (C) Power Cost 2006GRC Order_NIM Summary 17" xfId="4971"/>
    <cellStyle name="_DEM-WP (C) Power Cost 2006GRC Order_NIM Summary 18" xfId="4972"/>
    <cellStyle name="_DEM-WP (C) Power Cost 2006GRC Order_NIM Summary 19" xfId="4973"/>
    <cellStyle name="_DEM-WP (C) Power Cost 2006GRC Order_NIM Summary 2" xfId="4974"/>
    <cellStyle name="_DEM-WP (C) Power Cost 2006GRC Order_NIM Summary 2 2" xfId="4975"/>
    <cellStyle name="_DEM-WP (C) Power Cost 2006GRC Order_NIM Summary 20" xfId="4976"/>
    <cellStyle name="_DEM-WP (C) Power Cost 2006GRC Order_NIM Summary 21" xfId="4977"/>
    <cellStyle name="_DEM-WP (C) Power Cost 2006GRC Order_NIM Summary 22" xfId="4978"/>
    <cellStyle name="_DEM-WP (C) Power Cost 2006GRC Order_NIM Summary 23" xfId="4979"/>
    <cellStyle name="_DEM-WP (C) Power Cost 2006GRC Order_NIM Summary 24" xfId="4980"/>
    <cellStyle name="_DEM-WP (C) Power Cost 2006GRC Order_NIM Summary 25" xfId="4981"/>
    <cellStyle name="_DEM-WP (C) Power Cost 2006GRC Order_NIM Summary 26" xfId="4982"/>
    <cellStyle name="_DEM-WP (C) Power Cost 2006GRC Order_NIM Summary 27" xfId="4983"/>
    <cellStyle name="_DEM-WP (C) Power Cost 2006GRC Order_NIM Summary 28" xfId="4984"/>
    <cellStyle name="_DEM-WP (C) Power Cost 2006GRC Order_NIM Summary 29" xfId="4985"/>
    <cellStyle name="_DEM-WP (C) Power Cost 2006GRC Order_NIM Summary 3" xfId="4986"/>
    <cellStyle name="_DEM-WP (C) Power Cost 2006GRC Order_NIM Summary 30" xfId="4987"/>
    <cellStyle name="_DEM-WP (C) Power Cost 2006GRC Order_NIM Summary 31" xfId="4988"/>
    <cellStyle name="_DEM-WP (C) Power Cost 2006GRC Order_NIM Summary 32" xfId="4989"/>
    <cellStyle name="_DEM-WP (C) Power Cost 2006GRC Order_NIM Summary 33" xfId="4990"/>
    <cellStyle name="_DEM-WP (C) Power Cost 2006GRC Order_NIM Summary 34" xfId="4991"/>
    <cellStyle name="_DEM-WP (C) Power Cost 2006GRC Order_NIM Summary 35" xfId="4992"/>
    <cellStyle name="_DEM-WP (C) Power Cost 2006GRC Order_NIM Summary 36" xfId="4993"/>
    <cellStyle name="_DEM-WP (C) Power Cost 2006GRC Order_NIM Summary 37" xfId="4994"/>
    <cellStyle name="_DEM-WP (C) Power Cost 2006GRC Order_NIM Summary 38" xfId="4995"/>
    <cellStyle name="_DEM-WP (C) Power Cost 2006GRC Order_NIM Summary 39" xfId="4996"/>
    <cellStyle name="_DEM-WP (C) Power Cost 2006GRC Order_NIM Summary 4" xfId="4997"/>
    <cellStyle name="_DEM-WP (C) Power Cost 2006GRC Order_NIM Summary 40" xfId="4998"/>
    <cellStyle name="_DEM-WP (C) Power Cost 2006GRC Order_NIM Summary 41" xfId="4999"/>
    <cellStyle name="_DEM-WP (C) Power Cost 2006GRC Order_NIM Summary 42" xfId="5000"/>
    <cellStyle name="_DEM-WP (C) Power Cost 2006GRC Order_NIM Summary 43" xfId="5001"/>
    <cellStyle name="_DEM-WP (C) Power Cost 2006GRC Order_NIM Summary 44" xfId="5002"/>
    <cellStyle name="_DEM-WP (C) Power Cost 2006GRC Order_NIM Summary 45" xfId="5003"/>
    <cellStyle name="_DEM-WP (C) Power Cost 2006GRC Order_NIM Summary 46" xfId="5004"/>
    <cellStyle name="_DEM-WP (C) Power Cost 2006GRC Order_NIM Summary 47" xfId="5005"/>
    <cellStyle name="_DEM-WP (C) Power Cost 2006GRC Order_NIM Summary 48" xfId="5006"/>
    <cellStyle name="_DEM-WP (C) Power Cost 2006GRC Order_NIM Summary 49" xfId="5007"/>
    <cellStyle name="_DEM-WP (C) Power Cost 2006GRC Order_NIM Summary 5" xfId="5008"/>
    <cellStyle name="_DEM-WP (C) Power Cost 2006GRC Order_NIM Summary 50" xfId="5009"/>
    <cellStyle name="_DEM-WP (C) Power Cost 2006GRC Order_NIM Summary 51" xfId="5010"/>
    <cellStyle name="_DEM-WP (C) Power Cost 2006GRC Order_NIM Summary 52" xfId="5011"/>
    <cellStyle name="_DEM-WP (C) Power Cost 2006GRC Order_NIM Summary 6" xfId="5012"/>
    <cellStyle name="_DEM-WP (C) Power Cost 2006GRC Order_NIM Summary 7" xfId="5013"/>
    <cellStyle name="_DEM-WP (C) Power Cost 2006GRC Order_NIM Summary 8" xfId="5014"/>
    <cellStyle name="_DEM-WP (C) Power Cost 2006GRC Order_NIM Summary 9" xfId="5015"/>
    <cellStyle name="_DEM-WP (C) Power Cost 2006GRC Order_NIM Summary_DEM-WP(C) ENERG10C--ctn Mid-C_042010 2010GRC" xfId="5016"/>
    <cellStyle name="_DEM-WP (C) Power Cost 2006GRC Order_NIM+O&amp;M" xfId="5017"/>
    <cellStyle name="_DEM-WP (C) Power Cost 2006GRC Order_NIM+O&amp;M 2" xfId="5018"/>
    <cellStyle name="_DEM-WP (C) Power Cost 2006GRC Order_NIM+O&amp;M Monthly" xfId="5019"/>
    <cellStyle name="_DEM-WP (C) Power Cost 2006GRC Order_NIM+O&amp;M Monthly 2" xfId="5020"/>
    <cellStyle name="_DEM-WP (C) Power Cost 2006GRC Order_PCA 10 -  Exhibit D Dec 2011" xfId="5021"/>
    <cellStyle name="_DEM-WP (C) Power Cost 2006GRC Order_PCA 10 -  Exhibit D from A Kellogg Jan 2011" xfId="5022"/>
    <cellStyle name="_DEM-WP (C) Power Cost 2006GRC Order_PCA 10 -  Exhibit D from A Kellogg July 2011" xfId="5023"/>
    <cellStyle name="_DEM-WP (C) Power Cost 2006GRC Order_PCA 10 -  Exhibit D from S Free Rcv'd 12-11" xfId="5024"/>
    <cellStyle name="_DEM-WP (C) Power Cost 2006GRC Order_PCA 11 -  Exhibit D Jan 2012 fr A Kellogg" xfId="5025"/>
    <cellStyle name="_DEM-WP (C) Power Cost 2006GRC Order_PCA 11 -  Exhibit D Jan 2012 WF" xfId="5026"/>
    <cellStyle name="_DEM-WP (C) Power Cost 2006GRC Order_PCA 9 -  Exhibit D April 2010" xfId="5027"/>
    <cellStyle name="_DEM-WP (C) Power Cost 2006GRC Order_PCA 9 -  Exhibit D April 2010 (3)" xfId="5028"/>
    <cellStyle name="_DEM-WP (C) Power Cost 2006GRC Order_PCA 9 -  Exhibit D April 2010 (3) 2" xfId="5029"/>
    <cellStyle name="_DEM-WP (C) Power Cost 2006GRC Order_PCA 9 -  Exhibit D April 2010 (3) 2 2" xfId="5030"/>
    <cellStyle name="_DEM-WP (C) Power Cost 2006GRC Order_PCA 9 -  Exhibit D April 2010 (3) 3" xfId="5031"/>
    <cellStyle name="_DEM-WP (C) Power Cost 2006GRC Order_PCA 9 -  Exhibit D April 2010 (3)_DEM-WP(C) ENERG10C--ctn Mid-C_042010 2010GRC" xfId="5032"/>
    <cellStyle name="_DEM-WP (C) Power Cost 2006GRC Order_PCA 9 -  Exhibit D April 2010 2" xfId="5033"/>
    <cellStyle name="_DEM-WP (C) Power Cost 2006GRC Order_PCA 9 -  Exhibit D April 2010 3" xfId="5034"/>
    <cellStyle name="_DEM-WP (C) Power Cost 2006GRC Order_PCA 9 -  Exhibit D April 2010 4" xfId="5035"/>
    <cellStyle name="_DEM-WP (C) Power Cost 2006GRC Order_PCA 9 -  Exhibit D April 2010 5" xfId="5036"/>
    <cellStyle name="_DEM-WP (C) Power Cost 2006GRC Order_PCA 9 -  Exhibit D April 2010 6" xfId="5037"/>
    <cellStyle name="_DEM-WP (C) Power Cost 2006GRC Order_PCA 9 -  Exhibit D Nov 2010" xfId="5038"/>
    <cellStyle name="_DEM-WP (C) Power Cost 2006GRC Order_PCA 9 -  Exhibit D Nov 2010 2" xfId="5039"/>
    <cellStyle name="_DEM-WP (C) Power Cost 2006GRC Order_PCA 9 - Exhibit D at August 2010" xfId="5040"/>
    <cellStyle name="_DEM-WP (C) Power Cost 2006GRC Order_PCA 9 - Exhibit D at August 2010 2" xfId="5041"/>
    <cellStyle name="_DEM-WP (C) Power Cost 2006GRC Order_PCA 9 - Exhibit D June 2010 GRC" xfId="5042"/>
    <cellStyle name="_DEM-WP (C) Power Cost 2006GRC Order_PCA 9 - Exhibit D June 2010 GRC 2" xfId="5043"/>
    <cellStyle name="_DEM-WP (C) Power Cost 2006GRC Order_Power Costs - Comparison bx Rbtl-Staff-Jt-PC" xfId="5044"/>
    <cellStyle name="_DEM-WP (C) Power Cost 2006GRC Order_Power Costs - Comparison bx Rbtl-Staff-Jt-PC 2" xfId="5045"/>
    <cellStyle name="_DEM-WP (C) Power Cost 2006GRC Order_Power Costs - Comparison bx Rbtl-Staff-Jt-PC 2 2" xfId="5046"/>
    <cellStyle name="_DEM-WP (C) Power Cost 2006GRC Order_Power Costs - Comparison bx Rbtl-Staff-Jt-PC 3" xfId="5047"/>
    <cellStyle name="_DEM-WP (C) Power Cost 2006GRC Order_Power Costs - Comparison bx Rbtl-Staff-Jt-PC_Adj Bench DR 3 for Initial Briefs (Electric)" xfId="5048"/>
    <cellStyle name="_DEM-WP (C) Power Cost 2006GRC Order_Power Costs - Comparison bx Rbtl-Staff-Jt-PC_Adj Bench DR 3 for Initial Briefs (Electric) 2" xfId="5049"/>
    <cellStyle name="_DEM-WP (C) Power Cost 2006GRC Order_Power Costs - Comparison bx Rbtl-Staff-Jt-PC_Adj Bench DR 3 for Initial Briefs (Electric) 2 2" xfId="5050"/>
    <cellStyle name="_DEM-WP (C) Power Cost 2006GRC Order_Power Costs - Comparison bx Rbtl-Staff-Jt-PC_Adj Bench DR 3 for Initial Briefs (Electric) 3" xfId="5051"/>
    <cellStyle name="_DEM-WP (C) Power Cost 2006GRC Order_Power Costs - Comparison bx Rbtl-Staff-Jt-PC_Adj Bench DR 3 for Initial Briefs (Electric)_DEM-WP(C) ENERG10C--ctn Mid-C_042010 2010GRC" xfId="5052"/>
    <cellStyle name="_DEM-WP (C) Power Cost 2006GRC Order_Power Costs - Comparison bx Rbtl-Staff-Jt-PC_DEM-WP(C) ENERG10C--ctn Mid-C_042010 2010GRC" xfId="5053"/>
    <cellStyle name="_DEM-WP (C) Power Cost 2006GRC Order_Power Costs - Comparison bx Rbtl-Staff-Jt-PC_Electric Rev Req Model (2009 GRC) Rebuttal" xfId="5054"/>
    <cellStyle name="_DEM-WP (C) Power Cost 2006GRC Order_Power Costs - Comparison bx Rbtl-Staff-Jt-PC_Electric Rev Req Model (2009 GRC) Rebuttal 2" xfId="5055"/>
    <cellStyle name="_DEM-WP (C) Power Cost 2006GRC Order_Power Costs - Comparison bx Rbtl-Staff-Jt-PC_Electric Rev Req Model (2009 GRC) Rebuttal REmoval of New  WH Solar AdjustMI" xfId="5056"/>
    <cellStyle name="_DEM-WP (C) Power Cost 2006GRC Order_Power Costs - Comparison bx Rbtl-Staff-Jt-PC_Electric Rev Req Model (2009 GRC) Rebuttal REmoval of New  WH Solar AdjustMI 2" xfId="5057"/>
    <cellStyle name="_DEM-WP (C) Power Cost 2006GRC Order_Power Costs - Comparison bx Rbtl-Staff-Jt-PC_Electric Rev Req Model (2009 GRC) Rebuttal REmoval of New  WH Solar AdjustMI 2 2" xfId="5058"/>
    <cellStyle name="_DEM-WP (C) Power Cost 2006GRC Order_Power Costs - Comparison bx Rbtl-Staff-Jt-PC_Electric Rev Req Model (2009 GRC) Rebuttal REmoval of New  WH Solar AdjustMI 3" xfId="5059"/>
    <cellStyle name="_DEM-WP (C) Power Cost 2006GRC Order_Power Costs - Comparison bx Rbtl-Staff-Jt-PC_Electric Rev Req Model (2009 GRC) Rebuttal REmoval of New  WH Solar AdjustMI_DEM-WP(C) ENERG10C--ctn Mid-C_042010 2010GRC" xfId="5060"/>
    <cellStyle name="_DEM-WP (C) Power Cost 2006GRC Order_Power Costs - Comparison bx Rbtl-Staff-Jt-PC_Electric Rev Req Model (2009 GRC) Revised 01-18-2010" xfId="5061"/>
    <cellStyle name="_DEM-WP (C) Power Cost 2006GRC Order_Power Costs - Comparison bx Rbtl-Staff-Jt-PC_Electric Rev Req Model (2009 GRC) Revised 01-18-2010 2" xfId="5062"/>
    <cellStyle name="_DEM-WP (C) Power Cost 2006GRC Order_Power Costs - Comparison bx Rbtl-Staff-Jt-PC_Electric Rev Req Model (2009 GRC) Revised 01-18-2010 2 2" xfId="5063"/>
    <cellStyle name="_DEM-WP (C) Power Cost 2006GRC Order_Power Costs - Comparison bx Rbtl-Staff-Jt-PC_Electric Rev Req Model (2009 GRC) Revised 01-18-2010 3" xfId="5064"/>
    <cellStyle name="_DEM-WP (C) Power Cost 2006GRC Order_Power Costs - Comparison bx Rbtl-Staff-Jt-PC_Electric Rev Req Model (2009 GRC) Revised 01-18-2010_DEM-WP(C) ENERG10C--ctn Mid-C_042010 2010GRC" xfId="5065"/>
    <cellStyle name="_DEM-WP (C) Power Cost 2006GRC Order_Power Costs - Comparison bx Rbtl-Staff-Jt-PC_Final Order Electric EXHIBIT A-1" xfId="5066"/>
    <cellStyle name="_DEM-WP (C) Power Cost 2006GRC Order_Power Costs - Comparison bx Rbtl-Staff-Jt-PC_Final Order Electric EXHIBIT A-1 2" xfId="5067"/>
    <cellStyle name="_DEM-WP (C) Power Cost 2006GRC Order_Production Adj 4.37" xfId="21264"/>
    <cellStyle name="_DEM-WP (C) Power Cost 2006GRC Order_Purchased Power Adj 4.03" xfId="21265"/>
    <cellStyle name="_DEM-WP (C) Power Cost 2006GRC Order_Rebuttal Power Costs" xfId="5068"/>
    <cellStyle name="_DEM-WP (C) Power Cost 2006GRC Order_Rebuttal Power Costs 2" xfId="5069"/>
    <cellStyle name="_DEM-WP (C) Power Cost 2006GRC Order_Rebuttal Power Costs 2 2" xfId="5070"/>
    <cellStyle name="_DEM-WP (C) Power Cost 2006GRC Order_Rebuttal Power Costs 3" xfId="5071"/>
    <cellStyle name="_DEM-WP (C) Power Cost 2006GRC Order_Rebuttal Power Costs_Adj Bench DR 3 for Initial Briefs (Electric)" xfId="5072"/>
    <cellStyle name="_DEM-WP (C) Power Cost 2006GRC Order_Rebuttal Power Costs_Adj Bench DR 3 for Initial Briefs (Electric) 2" xfId="5073"/>
    <cellStyle name="_DEM-WP (C) Power Cost 2006GRC Order_Rebuttal Power Costs_Adj Bench DR 3 for Initial Briefs (Electric) 2 2" xfId="5074"/>
    <cellStyle name="_DEM-WP (C) Power Cost 2006GRC Order_Rebuttal Power Costs_Adj Bench DR 3 for Initial Briefs (Electric) 3" xfId="5075"/>
    <cellStyle name="_DEM-WP (C) Power Cost 2006GRC Order_Rebuttal Power Costs_Adj Bench DR 3 for Initial Briefs (Electric)_DEM-WP(C) ENERG10C--ctn Mid-C_042010 2010GRC" xfId="5076"/>
    <cellStyle name="_DEM-WP (C) Power Cost 2006GRC Order_Rebuttal Power Costs_DEM-WP(C) ENERG10C--ctn Mid-C_042010 2010GRC" xfId="5077"/>
    <cellStyle name="_DEM-WP (C) Power Cost 2006GRC Order_Rebuttal Power Costs_Electric Rev Req Model (2009 GRC) Rebuttal" xfId="5078"/>
    <cellStyle name="_DEM-WP (C) Power Cost 2006GRC Order_Rebuttal Power Costs_Electric Rev Req Model (2009 GRC) Rebuttal 2" xfId="5079"/>
    <cellStyle name="_DEM-WP (C) Power Cost 2006GRC Order_Rebuttal Power Costs_Electric Rev Req Model (2009 GRC) Rebuttal REmoval of New  WH Solar AdjustMI" xfId="5080"/>
    <cellStyle name="_DEM-WP (C) Power Cost 2006GRC Order_Rebuttal Power Costs_Electric Rev Req Model (2009 GRC) Rebuttal REmoval of New  WH Solar AdjustMI 2" xfId="5081"/>
    <cellStyle name="_DEM-WP (C) Power Cost 2006GRC Order_Rebuttal Power Costs_Electric Rev Req Model (2009 GRC) Rebuttal REmoval of New  WH Solar AdjustMI 2 2" xfId="5082"/>
    <cellStyle name="_DEM-WP (C) Power Cost 2006GRC Order_Rebuttal Power Costs_Electric Rev Req Model (2009 GRC) Rebuttal REmoval of New  WH Solar AdjustMI 3" xfId="5083"/>
    <cellStyle name="_DEM-WP (C) Power Cost 2006GRC Order_Rebuttal Power Costs_Electric Rev Req Model (2009 GRC) Rebuttal REmoval of New  WH Solar AdjustMI_DEM-WP(C) ENERG10C--ctn Mid-C_042010 2010GRC" xfId="5084"/>
    <cellStyle name="_DEM-WP (C) Power Cost 2006GRC Order_Rebuttal Power Costs_Electric Rev Req Model (2009 GRC) Revised 01-18-2010" xfId="5085"/>
    <cellStyle name="_DEM-WP (C) Power Cost 2006GRC Order_Rebuttal Power Costs_Electric Rev Req Model (2009 GRC) Revised 01-18-2010 2" xfId="5086"/>
    <cellStyle name="_DEM-WP (C) Power Cost 2006GRC Order_Rebuttal Power Costs_Electric Rev Req Model (2009 GRC) Revised 01-18-2010 2 2" xfId="5087"/>
    <cellStyle name="_DEM-WP (C) Power Cost 2006GRC Order_Rebuttal Power Costs_Electric Rev Req Model (2009 GRC) Revised 01-18-2010 3" xfId="5088"/>
    <cellStyle name="_DEM-WP (C) Power Cost 2006GRC Order_Rebuttal Power Costs_Electric Rev Req Model (2009 GRC) Revised 01-18-2010_DEM-WP(C) ENERG10C--ctn Mid-C_042010 2010GRC" xfId="5089"/>
    <cellStyle name="_DEM-WP (C) Power Cost 2006GRC Order_Rebuttal Power Costs_Final Order Electric EXHIBIT A-1" xfId="5090"/>
    <cellStyle name="_DEM-WP (C) Power Cost 2006GRC Order_Rebuttal Power Costs_Final Order Electric EXHIBIT A-1 2" xfId="5091"/>
    <cellStyle name="_DEM-WP (C) Power Cost 2006GRC Order_ROR 5.02" xfId="21266"/>
    <cellStyle name="_DEM-WP (C) Power Cost 2006GRC Order_Scenario 1 REC vs PTC Offset" xfId="5092"/>
    <cellStyle name="_DEM-WP (C) Power Cost 2006GRC Order_Scenario 3" xfId="5093"/>
    <cellStyle name="_DEM-WP (C) Power Cost 2006GRC Order_Wind Integration 10GRC" xfId="5094"/>
    <cellStyle name="_DEM-WP (C) Power Cost 2006GRC Order_Wind Integration 10GRC 2" xfId="5095"/>
    <cellStyle name="_DEM-WP (C) Power Cost 2006GRC Order_Wind Integration 10GRC 2 2" xfId="5096"/>
    <cellStyle name="_DEM-WP (C) Power Cost 2006GRC Order_Wind Integration 10GRC 3" xfId="5097"/>
    <cellStyle name="_DEM-WP (C) Power Cost 2006GRC Order_Wind Integration 10GRC_DEM-WP(C) ENERG10C--ctn Mid-C_042010 2010GRC" xfId="5098"/>
    <cellStyle name="_DEM-WP Revised (HC) Wild Horse 2006GRC" xfId="5099"/>
    <cellStyle name="_DEM-WP Revised (HC) Wild Horse 2006GRC 2" xfId="5100"/>
    <cellStyle name="_DEM-WP Revised (HC) Wild Horse 2006GRC 2 2" xfId="5101"/>
    <cellStyle name="_DEM-WP Revised (HC) Wild Horse 2006GRC 3" xfId="5102"/>
    <cellStyle name="_DEM-WP Revised (HC) Wild Horse 2006GRC_16.37E Wild Horse Expansion DeferralRevwrkingfile SF" xfId="5103"/>
    <cellStyle name="_DEM-WP Revised (HC) Wild Horse 2006GRC_16.37E Wild Horse Expansion DeferralRevwrkingfile SF 2" xfId="5104"/>
    <cellStyle name="_DEM-WP Revised (HC) Wild Horse 2006GRC_16.37E Wild Horse Expansion DeferralRevwrkingfile SF 2 2" xfId="5105"/>
    <cellStyle name="_DEM-WP Revised (HC) Wild Horse 2006GRC_16.37E Wild Horse Expansion DeferralRevwrkingfile SF 3" xfId="5106"/>
    <cellStyle name="_DEM-WP Revised (HC) Wild Horse 2006GRC_16.37E Wild Horse Expansion DeferralRevwrkingfile SF_DEM-WP(C) ENERG10C--ctn Mid-C_042010 2010GRC" xfId="5107"/>
    <cellStyle name="_DEM-WP Revised (HC) Wild Horse 2006GRC_2009 GRC Compl Filing - Exhibit D" xfId="5108"/>
    <cellStyle name="_DEM-WP Revised (HC) Wild Horse 2006GRC_2009 GRC Compl Filing - Exhibit D 2" xfId="5109"/>
    <cellStyle name="_DEM-WP Revised (HC) Wild Horse 2006GRC_2009 GRC Compl Filing - Exhibit D 2 2" xfId="5110"/>
    <cellStyle name="_DEM-WP Revised (HC) Wild Horse 2006GRC_2009 GRC Compl Filing - Exhibit D 3" xfId="5111"/>
    <cellStyle name="_DEM-WP Revised (HC) Wild Horse 2006GRC_2009 GRC Compl Filing - Exhibit D_DEM-WP(C) ENERG10C--ctn Mid-C_042010 2010GRC" xfId="5112"/>
    <cellStyle name="_DEM-WP Revised (HC) Wild Horse 2006GRC_Adj Bench DR 3 for Initial Briefs (Electric)" xfId="5113"/>
    <cellStyle name="_DEM-WP Revised (HC) Wild Horse 2006GRC_Adj Bench DR 3 for Initial Briefs (Electric) 2" xfId="5114"/>
    <cellStyle name="_DEM-WP Revised (HC) Wild Horse 2006GRC_Adj Bench DR 3 for Initial Briefs (Electric) 2 2" xfId="5115"/>
    <cellStyle name="_DEM-WP Revised (HC) Wild Horse 2006GRC_Adj Bench DR 3 for Initial Briefs (Electric) 3" xfId="5116"/>
    <cellStyle name="_DEM-WP Revised (HC) Wild Horse 2006GRC_Adj Bench DR 3 for Initial Briefs (Electric)_DEM-WP(C) ENERG10C--ctn Mid-C_042010 2010GRC" xfId="5117"/>
    <cellStyle name="_DEM-WP Revised (HC) Wild Horse 2006GRC_Book1" xfId="5118"/>
    <cellStyle name="_DEM-WP Revised (HC) Wild Horse 2006GRC_Book2" xfId="5119"/>
    <cellStyle name="_DEM-WP Revised (HC) Wild Horse 2006GRC_Book2 2" xfId="5120"/>
    <cellStyle name="_DEM-WP Revised (HC) Wild Horse 2006GRC_Book2 2 2" xfId="5121"/>
    <cellStyle name="_DEM-WP Revised (HC) Wild Horse 2006GRC_Book2 3" xfId="5122"/>
    <cellStyle name="_DEM-WP Revised (HC) Wild Horse 2006GRC_Book2_DEM-WP(C) ENERG10C--ctn Mid-C_042010 2010GRC" xfId="5123"/>
    <cellStyle name="_DEM-WP Revised (HC) Wild Horse 2006GRC_Book4" xfId="5124"/>
    <cellStyle name="_DEM-WP Revised (HC) Wild Horse 2006GRC_Book4 2" xfId="5125"/>
    <cellStyle name="_DEM-WP Revised (HC) Wild Horse 2006GRC_Book4 2 2" xfId="5126"/>
    <cellStyle name="_DEM-WP Revised (HC) Wild Horse 2006GRC_Book4 3" xfId="5127"/>
    <cellStyle name="_DEM-WP Revised (HC) Wild Horse 2006GRC_Book4_DEM-WP(C) ENERG10C--ctn Mid-C_042010 2010GRC" xfId="5128"/>
    <cellStyle name="_DEM-WP Revised (HC) Wild Horse 2006GRC_DEM-WP(C) ENERG10C--ctn Mid-C_042010 2010GRC" xfId="5129"/>
    <cellStyle name="_DEM-WP Revised (HC) Wild Horse 2006GRC_Electric Rev Req Model (2009 GRC) " xfId="5130"/>
    <cellStyle name="_DEM-WP Revised (HC) Wild Horse 2006GRC_Electric Rev Req Model (2009 GRC)  2" xfId="5131"/>
    <cellStyle name="_DEM-WP Revised (HC) Wild Horse 2006GRC_Electric Rev Req Model (2009 GRC)  2 2" xfId="5132"/>
    <cellStyle name="_DEM-WP Revised (HC) Wild Horse 2006GRC_Electric Rev Req Model (2009 GRC)  3" xfId="5133"/>
    <cellStyle name="_DEM-WP Revised (HC) Wild Horse 2006GRC_Electric Rev Req Model (2009 GRC) _DEM-WP(C) ENERG10C--ctn Mid-C_042010 2010GRC" xfId="5134"/>
    <cellStyle name="_DEM-WP Revised (HC) Wild Horse 2006GRC_Electric Rev Req Model (2009 GRC) Rebuttal" xfId="5135"/>
    <cellStyle name="_DEM-WP Revised (HC) Wild Horse 2006GRC_Electric Rev Req Model (2009 GRC) Rebuttal 2" xfId="5136"/>
    <cellStyle name="_DEM-WP Revised (HC) Wild Horse 2006GRC_Electric Rev Req Model (2009 GRC) Rebuttal REmoval of New  WH Solar AdjustMI" xfId="5137"/>
    <cellStyle name="_DEM-WP Revised (HC) Wild Horse 2006GRC_Electric Rev Req Model (2009 GRC) Rebuttal REmoval of New  WH Solar AdjustMI 2" xfId="5138"/>
    <cellStyle name="_DEM-WP Revised (HC) Wild Horse 2006GRC_Electric Rev Req Model (2009 GRC) Rebuttal REmoval of New  WH Solar AdjustMI 2 2" xfId="5139"/>
    <cellStyle name="_DEM-WP Revised (HC) Wild Horse 2006GRC_Electric Rev Req Model (2009 GRC) Rebuttal REmoval of New  WH Solar AdjustMI 3" xfId="5140"/>
    <cellStyle name="_DEM-WP Revised (HC) Wild Horse 2006GRC_Electric Rev Req Model (2009 GRC) Rebuttal REmoval of New  WH Solar AdjustMI_DEM-WP(C) ENERG10C--ctn Mid-C_042010 2010GRC" xfId="5141"/>
    <cellStyle name="_DEM-WP Revised (HC) Wild Horse 2006GRC_Electric Rev Req Model (2009 GRC) Revised 01-18-2010" xfId="5142"/>
    <cellStyle name="_DEM-WP Revised (HC) Wild Horse 2006GRC_Electric Rev Req Model (2009 GRC) Revised 01-18-2010 2" xfId="5143"/>
    <cellStyle name="_DEM-WP Revised (HC) Wild Horse 2006GRC_Electric Rev Req Model (2009 GRC) Revised 01-18-2010 2 2" xfId="5144"/>
    <cellStyle name="_DEM-WP Revised (HC) Wild Horse 2006GRC_Electric Rev Req Model (2009 GRC) Revised 01-18-2010 3" xfId="5145"/>
    <cellStyle name="_DEM-WP Revised (HC) Wild Horse 2006GRC_Electric Rev Req Model (2009 GRC) Revised 01-18-2010_DEM-WP(C) ENERG10C--ctn Mid-C_042010 2010GRC" xfId="5146"/>
    <cellStyle name="_DEM-WP Revised (HC) Wild Horse 2006GRC_Electric Rev Req Model (2010 GRC)" xfId="5147"/>
    <cellStyle name="_DEM-WP Revised (HC) Wild Horse 2006GRC_Electric Rev Req Model (2010 GRC) SF" xfId="5148"/>
    <cellStyle name="_DEM-WP Revised (HC) Wild Horse 2006GRC_Final Order Electric EXHIBIT A-1" xfId="5149"/>
    <cellStyle name="_DEM-WP Revised (HC) Wild Horse 2006GRC_Final Order Electric EXHIBIT A-1 2" xfId="5150"/>
    <cellStyle name="_DEM-WP Revised (HC) Wild Horse 2006GRC_NIM Summary" xfId="5151"/>
    <cellStyle name="_DEM-WP Revised (HC) Wild Horse 2006GRC_NIM Summary 2" xfId="5152"/>
    <cellStyle name="_DEM-WP Revised (HC) Wild Horse 2006GRC_NIM Summary 2 2" xfId="5153"/>
    <cellStyle name="_DEM-WP Revised (HC) Wild Horse 2006GRC_NIM Summary 3" xfId="5154"/>
    <cellStyle name="_DEM-WP Revised (HC) Wild Horse 2006GRC_NIM Summary_DEM-WP(C) ENERG10C--ctn Mid-C_042010 2010GRC" xfId="5155"/>
    <cellStyle name="_DEM-WP Revised (HC) Wild Horse 2006GRC_Power Costs - Comparison bx Rbtl-Staff-Jt-PC" xfId="5156"/>
    <cellStyle name="_DEM-WP Revised (HC) Wild Horse 2006GRC_Power Costs - Comparison bx Rbtl-Staff-Jt-PC 2" xfId="5157"/>
    <cellStyle name="_DEM-WP Revised (HC) Wild Horse 2006GRC_Power Costs - Comparison bx Rbtl-Staff-Jt-PC 2 2" xfId="5158"/>
    <cellStyle name="_DEM-WP Revised (HC) Wild Horse 2006GRC_Power Costs - Comparison bx Rbtl-Staff-Jt-PC 3" xfId="5159"/>
    <cellStyle name="_DEM-WP Revised (HC) Wild Horse 2006GRC_Power Costs - Comparison bx Rbtl-Staff-Jt-PC_DEM-WP(C) ENERG10C--ctn Mid-C_042010 2010GRC" xfId="5160"/>
    <cellStyle name="_DEM-WP Revised (HC) Wild Horse 2006GRC_Rebuttal Power Costs" xfId="5161"/>
    <cellStyle name="_DEM-WP Revised (HC) Wild Horse 2006GRC_Rebuttal Power Costs 2" xfId="5162"/>
    <cellStyle name="_DEM-WP Revised (HC) Wild Horse 2006GRC_Rebuttal Power Costs 2 2" xfId="5163"/>
    <cellStyle name="_DEM-WP Revised (HC) Wild Horse 2006GRC_Rebuttal Power Costs 3" xfId="5164"/>
    <cellStyle name="_DEM-WP Revised (HC) Wild Horse 2006GRC_Rebuttal Power Costs_DEM-WP(C) ENERG10C--ctn Mid-C_042010 2010GRC" xfId="5165"/>
    <cellStyle name="_DEM-WP Revised (HC) Wild Horse 2006GRC_TENASKA REGULATORY ASSET" xfId="5166"/>
    <cellStyle name="_DEM-WP Revised (HC) Wild Horse 2006GRC_TENASKA REGULATORY ASSET 2" xfId="5167"/>
    <cellStyle name="_x0013__DEM-WP(C) Colstrip 12 Coal Cost Forecast 2010GRC" xfId="5168"/>
    <cellStyle name="_x0013__DEM-WP(C) Colstrip 12 Coal Cost Forecast 2010GRC 2" xfId="5169"/>
    <cellStyle name="_DEM-WP(C) Colstrip FOR" xfId="5170"/>
    <cellStyle name="_DEM-WP(C) Colstrip FOR 2" xfId="5171"/>
    <cellStyle name="_DEM-WP(C) Colstrip FOR 2 2" xfId="5172"/>
    <cellStyle name="_DEM-WP(C) Colstrip FOR 3" xfId="5173"/>
    <cellStyle name="_DEM-WP(C) Colstrip FOR 3 2" xfId="5174"/>
    <cellStyle name="_DEM-WP(C) Colstrip FOR 4" xfId="5175"/>
    <cellStyle name="_DEM-WP(C) Colstrip FOR 4 2" xfId="5176"/>
    <cellStyle name="_DEM-WP(C) Colstrip FOR 5" xfId="5177"/>
    <cellStyle name="_DEM-WP(C) Colstrip FOR 5 2" xfId="5178"/>
    <cellStyle name="_DEM-WP(C) Colstrip FOR 6" xfId="5179"/>
    <cellStyle name="_DEM-WP(C) Colstrip FOR 6 2" xfId="5180"/>
    <cellStyle name="_DEM-WP(C) Colstrip FOR_(C) WHE Proforma with ITC cash grant 10 Yr Amort_for rebuttal_120709" xfId="5181"/>
    <cellStyle name="_DEM-WP(C) Colstrip FOR_(C) WHE Proforma with ITC cash grant 10 Yr Amort_for rebuttal_120709 2" xfId="5182"/>
    <cellStyle name="_DEM-WP(C) Colstrip FOR_(C) WHE Proforma with ITC cash grant 10 Yr Amort_for rebuttal_120709 2 2" xfId="5183"/>
    <cellStyle name="_DEM-WP(C) Colstrip FOR_(C) WHE Proforma with ITC cash grant 10 Yr Amort_for rebuttal_120709 3" xfId="5184"/>
    <cellStyle name="_DEM-WP(C) Colstrip FOR_(C) WHE Proforma with ITC cash grant 10 Yr Amort_for rebuttal_120709_DEM-WP(C) ENERG10C--ctn Mid-C_042010 2010GRC" xfId="5185"/>
    <cellStyle name="_DEM-WP(C) Colstrip FOR_16.07E Wild Horse Wind Expansionwrkingfile" xfId="5186"/>
    <cellStyle name="_DEM-WP(C) Colstrip FOR_16.07E Wild Horse Wind Expansionwrkingfile 2" xfId="5187"/>
    <cellStyle name="_DEM-WP(C) Colstrip FOR_16.07E Wild Horse Wind Expansionwrkingfile 2 2" xfId="5188"/>
    <cellStyle name="_DEM-WP(C) Colstrip FOR_16.07E Wild Horse Wind Expansionwrkingfile 3" xfId="5189"/>
    <cellStyle name="_DEM-WP(C) Colstrip FOR_16.07E Wild Horse Wind Expansionwrkingfile SF" xfId="5190"/>
    <cellStyle name="_DEM-WP(C) Colstrip FOR_16.07E Wild Horse Wind Expansionwrkingfile SF 2" xfId="5191"/>
    <cellStyle name="_DEM-WP(C) Colstrip FOR_16.07E Wild Horse Wind Expansionwrkingfile SF 2 2" xfId="5192"/>
    <cellStyle name="_DEM-WP(C) Colstrip FOR_16.07E Wild Horse Wind Expansionwrkingfile SF 3" xfId="5193"/>
    <cellStyle name="_DEM-WP(C) Colstrip FOR_16.07E Wild Horse Wind Expansionwrkingfile SF_DEM-WP(C) ENERG10C--ctn Mid-C_042010 2010GRC" xfId="5194"/>
    <cellStyle name="_DEM-WP(C) Colstrip FOR_16.07E Wild Horse Wind Expansionwrkingfile_DEM-WP(C) ENERG10C--ctn Mid-C_042010 2010GRC" xfId="5195"/>
    <cellStyle name="_DEM-WP(C) Colstrip FOR_16.37E Wild Horse Expansion DeferralRevwrkingfile SF" xfId="5196"/>
    <cellStyle name="_DEM-WP(C) Colstrip FOR_16.37E Wild Horse Expansion DeferralRevwrkingfile SF 2" xfId="5197"/>
    <cellStyle name="_DEM-WP(C) Colstrip FOR_16.37E Wild Horse Expansion DeferralRevwrkingfile SF 2 2" xfId="5198"/>
    <cellStyle name="_DEM-WP(C) Colstrip FOR_16.37E Wild Horse Expansion DeferralRevwrkingfile SF 3" xfId="5199"/>
    <cellStyle name="_DEM-WP(C) Colstrip FOR_16.37E Wild Horse Expansion DeferralRevwrkingfile SF_DEM-WP(C) ENERG10C--ctn Mid-C_042010 2010GRC" xfId="5200"/>
    <cellStyle name="_DEM-WP(C) Colstrip FOR_Adj Bench DR 3 for Initial Briefs (Electric)" xfId="5201"/>
    <cellStyle name="_DEM-WP(C) Colstrip FOR_Adj Bench DR 3 for Initial Briefs (Electric) 2" xfId="5202"/>
    <cellStyle name="_DEM-WP(C) Colstrip FOR_Adj Bench DR 3 for Initial Briefs (Electric) 2 2" xfId="5203"/>
    <cellStyle name="_DEM-WP(C) Colstrip FOR_Adj Bench DR 3 for Initial Briefs (Electric) 3" xfId="5204"/>
    <cellStyle name="_DEM-WP(C) Colstrip FOR_Adj Bench DR 3 for Initial Briefs (Electric)_DEM-WP(C) ENERG10C--ctn Mid-C_042010 2010GRC" xfId="5205"/>
    <cellStyle name="_DEM-WP(C) Colstrip FOR_Book2" xfId="5206"/>
    <cellStyle name="_DEM-WP(C) Colstrip FOR_Book2 2" xfId="5207"/>
    <cellStyle name="_DEM-WP(C) Colstrip FOR_Book2 2 2" xfId="5208"/>
    <cellStyle name="_DEM-WP(C) Colstrip FOR_Book2 3" xfId="5209"/>
    <cellStyle name="_DEM-WP(C) Colstrip FOR_Book2_Adj Bench DR 3 for Initial Briefs (Electric)" xfId="5210"/>
    <cellStyle name="_DEM-WP(C) Colstrip FOR_Book2_Adj Bench DR 3 for Initial Briefs (Electric) 2" xfId="5211"/>
    <cellStyle name="_DEM-WP(C) Colstrip FOR_Book2_Adj Bench DR 3 for Initial Briefs (Electric) 2 2" xfId="5212"/>
    <cellStyle name="_DEM-WP(C) Colstrip FOR_Book2_Adj Bench DR 3 for Initial Briefs (Electric) 3" xfId="5213"/>
    <cellStyle name="_DEM-WP(C) Colstrip FOR_Book2_Adj Bench DR 3 for Initial Briefs (Electric)_DEM-WP(C) ENERG10C--ctn Mid-C_042010 2010GRC" xfId="5214"/>
    <cellStyle name="_DEM-WP(C) Colstrip FOR_Book2_DEM-WP(C) ENERG10C--ctn Mid-C_042010 2010GRC" xfId="5215"/>
    <cellStyle name="_DEM-WP(C) Colstrip FOR_Book2_Electric Rev Req Model (2009 GRC) Rebuttal" xfId="5216"/>
    <cellStyle name="_DEM-WP(C) Colstrip FOR_Book2_Electric Rev Req Model (2009 GRC) Rebuttal 2" xfId="5217"/>
    <cellStyle name="_DEM-WP(C) Colstrip FOR_Book2_Electric Rev Req Model (2009 GRC) Rebuttal REmoval of New  WH Solar AdjustMI" xfId="5218"/>
    <cellStyle name="_DEM-WP(C) Colstrip FOR_Book2_Electric Rev Req Model (2009 GRC) Rebuttal REmoval of New  WH Solar AdjustMI 2" xfId="5219"/>
    <cellStyle name="_DEM-WP(C) Colstrip FOR_Book2_Electric Rev Req Model (2009 GRC) Rebuttal REmoval of New  WH Solar AdjustMI 2 2" xfId="5220"/>
    <cellStyle name="_DEM-WP(C) Colstrip FOR_Book2_Electric Rev Req Model (2009 GRC) Rebuttal REmoval of New  WH Solar AdjustMI 3" xfId="5221"/>
    <cellStyle name="_DEM-WP(C) Colstrip FOR_Book2_Electric Rev Req Model (2009 GRC) Rebuttal REmoval of New  WH Solar AdjustMI_DEM-WP(C) ENERG10C--ctn Mid-C_042010 2010GRC" xfId="5222"/>
    <cellStyle name="_DEM-WP(C) Colstrip FOR_Book2_Electric Rev Req Model (2009 GRC) Revised 01-18-2010" xfId="5223"/>
    <cellStyle name="_DEM-WP(C) Colstrip FOR_Book2_Electric Rev Req Model (2009 GRC) Revised 01-18-2010 2" xfId="5224"/>
    <cellStyle name="_DEM-WP(C) Colstrip FOR_Book2_Electric Rev Req Model (2009 GRC) Revised 01-18-2010 2 2" xfId="5225"/>
    <cellStyle name="_DEM-WP(C) Colstrip FOR_Book2_Electric Rev Req Model (2009 GRC) Revised 01-18-2010 3" xfId="5226"/>
    <cellStyle name="_DEM-WP(C) Colstrip FOR_Book2_Electric Rev Req Model (2009 GRC) Revised 01-18-2010_DEM-WP(C) ENERG10C--ctn Mid-C_042010 2010GRC" xfId="5227"/>
    <cellStyle name="_DEM-WP(C) Colstrip FOR_Book2_Final Order Electric EXHIBIT A-1" xfId="5228"/>
    <cellStyle name="_DEM-WP(C) Colstrip FOR_Book2_Final Order Electric EXHIBIT A-1 2" xfId="5229"/>
    <cellStyle name="_DEM-WP(C) Colstrip FOR_Colstrip 1&amp;2 Annual O&amp;M Budgets" xfId="5230"/>
    <cellStyle name="_DEM-WP(C) Colstrip FOR_Colstrip 1&amp;2 Annual O&amp;M Budgets 2" xfId="5231"/>
    <cellStyle name="_DEM-WP(C) Colstrip FOR_Colstrip 1&amp;2 Annual O&amp;M Budgets 3" xfId="5232"/>
    <cellStyle name="_DEM-WP(C) Colstrip FOR_Confidential Material" xfId="5233"/>
    <cellStyle name="_DEM-WP(C) Colstrip FOR_Confidential Material 2" xfId="5234"/>
    <cellStyle name="_DEM-WP(C) Colstrip FOR_DEM-WP(C) Colstrip 12 Coal Cost Forecast 2010GRC" xfId="5235"/>
    <cellStyle name="_DEM-WP(C) Colstrip FOR_DEM-WP(C) Colstrip 12 Coal Cost Forecast 2010GRC 2" xfId="5236"/>
    <cellStyle name="_DEM-WP(C) Colstrip FOR_DEM-WP(C) ENERG10C--ctn Mid-C_042010 2010GRC" xfId="5237"/>
    <cellStyle name="_DEM-WP(C) Colstrip FOR_DEM-WP(C) Production O&amp;M 2010GRC As-Filed" xfId="5238"/>
    <cellStyle name="_DEM-WP(C) Colstrip FOR_DEM-WP(C) Production O&amp;M 2010GRC As-Filed 2" xfId="5239"/>
    <cellStyle name="_DEM-WP(C) Colstrip FOR_DEM-WP(C) Production O&amp;M 2010GRC As-Filed 2 2" xfId="5240"/>
    <cellStyle name="_DEM-WP(C) Colstrip FOR_DEM-WP(C) Production O&amp;M 2010GRC As-Filed 2 3" xfId="5241"/>
    <cellStyle name="_DEM-WP(C) Colstrip FOR_DEM-WP(C) Production O&amp;M 2010GRC As-Filed 3" xfId="5242"/>
    <cellStyle name="_DEM-WP(C) Colstrip FOR_DEM-WP(C) Production O&amp;M 2010GRC As-Filed 3 2" xfId="5243"/>
    <cellStyle name="_DEM-WP(C) Colstrip FOR_DEM-WP(C) Production O&amp;M 2010GRC As-Filed 4" xfId="5244"/>
    <cellStyle name="_DEM-WP(C) Colstrip FOR_DEM-WP(C) Production O&amp;M 2010GRC As-Filed 4 2" xfId="5245"/>
    <cellStyle name="_DEM-WP(C) Colstrip FOR_DEM-WP(C) Production O&amp;M 2010GRC As-Filed 5" xfId="5246"/>
    <cellStyle name="_DEM-WP(C) Colstrip FOR_DEM-WP(C) Production O&amp;M 2010GRC As-Filed 5 2" xfId="5247"/>
    <cellStyle name="_DEM-WP(C) Colstrip FOR_DEM-WP(C) Production O&amp;M 2010GRC As-Filed 6" xfId="5248"/>
    <cellStyle name="_DEM-WP(C) Colstrip FOR_DEM-WP(C) Production O&amp;M 2010GRC As-Filed 6 2" xfId="5249"/>
    <cellStyle name="_DEM-WP(C) Colstrip FOR_Electric Rev Req Model (2009 GRC) Rebuttal" xfId="5250"/>
    <cellStyle name="_DEM-WP(C) Colstrip FOR_Electric Rev Req Model (2009 GRC) Rebuttal 2" xfId="5251"/>
    <cellStyle name="_DEM-WP(C) Colstrip FOR_Electric Rev Req Model (2009 GRC) Rebuttal REmoval of New  WH Solar AdjustMI" xfId="5252"/>
    <cellStyle name="_DEM-WP(C) Colstrip FOR_Electric Rev Req Model (2009 GRC) Rebuttal REmoval of New  WH Solar AdjustMI 2" xfId="5253"/>
    <cellStyle name="_DEM-WP(C) Colstrip FOR_Electric Rev Req Model (2009 GRC) Rebuttal REmoval of New  WH Solar AdjustMI 2 2" xfId="5254"/>
    <cellStyle name="_DEM-WP(C) Colstrip FOR_Electric Rev Req Model (2009 GRC) Rebuttal REmoval of New  WH Solar AdjustMI 3" xfId="5255"/>
    <cellStyle name="_DEM-WP(C) Colstrip FOR_Electric Rev Req Model (2009 GRC) Rebuttal REmoval of New  WH Solar AdjustMI_DEM-WP(C) ENERG10C--ctn Mid-C_042010 2010GRC" xfId="5256"/>
    <cellStyle name="_DEM-WP(C) Colstrip FOR_Electric Rev Req Model (2009 GRC) Revised 01-18-2010" xfId="5257"/>
    <cellStyle name="_DEM-WP(C) Colstrip FOR_Electric Rev Req Model (2009 GRC) Revised 01-18-2010 2" xfId="5258"/>
    <cellStyle name="_DEM-WP(C) Colstrip FOR_Electric Rev Req Model (2009 GRC) Revised 01-18-2010 2 2" xfId="5259"/>
    <cellStyle name="_DEM-WP(C) Colstrip FOR_Electric Rev Req Model (2009 GRC) Revised 01-18-2010 3" xfId="5260"/>
    <cellStyle name="_DEM-WP(C) Colstrip FOR_Electric Rev Req Model (2009 GRC) Revised 01-18-2010_DEM-WP(C) ENERG10C--ctn Mid-C_042010 2010GRC" xfId="5261"/>
    <cellStyle name="_DEM-WP(C) Colstrip FOR_Final Order Electric EXHIBIT A-1" xfId="5262"/>
    <cellStyle name="_DEM-WP(C) Colstrip FOR_Final Order Electric EXHIBIT A-1 2" xfId="5263"/>
    <cellStyle name="_DEM-WP(C) Colstrip FOR_Rebuttal Power Costs" xfId="5264"/>
    <cellStyle name="_DEM-WP(C) Colstrip FOR_Rebuttal Power Costs 2" xfId="5265"/>
    <cellStyle name="_DEM-WP(C) Colstrip FOR_Rebuttal Power Costs 2 2" xfId="5266"/>
    <cellStyle name="_DEM-WP(C) Colstrip FOR_Rebuttal Power Costs 3" xfId="5267"/>
    <cellStyle name="_DEM-WP(C) Colstrip FOR_Rebuttal Power Costs_Adj Bench DR 3 for Initial Briefs (Electric)" xfId="5268"/>
    <cellStyle name="_DEM-WP(C) Colstrip FOR_Rebuttal Power Costs_Adj Bench DR 3 for Initial Briefs (Electric) 2" xfId="5269"/>
    <cellStyle name="_DEM-WP(C) Colstrip FOR_Rebuttal Power Costs_Adj Bench DR 3 for Initial Briefs (Electric) 2 2" xfId="5270"/>
    <cellStyle name="_DEM-WP(C) Colstrip FOR_Rebuttal Power Costs_Adj Bench DR 3 for Initial Briefs (Electric) 3" xfId="5271"/>
    <cellStyle name="_DEM-WP(C) Colstrip FOR_Rebuttal Power Costs_Adj Bench DR 3 for Initial Briefs (Electric)_DEM-WP(C) ENERG10C--ctn Mid-C_042010 2010GRC" xfId="5272"/>
    <cellStyle name="_DEM-WP(C) Colstrip FOR_Rebuttal Power Costs_DEM-WP(C) ENERG10C--ctn Mid-C_042010 2010GRC" xfId="5273"/>
    <cellStyle name="_DEM-WP(C) Colstrip FOR_Rebuttal Power Costs_Electric Rev Req Model (2009 GRC) Rebuttal" xfId="5274"/>
    <cellStyle name="_DEM-WP(C) Colstrip FOR_Rebuttal Power Costs_Electric Rev Req Model (2009 GRC) Rebuttal 2" xfId="5275"/>
    <cellStyle name="_DEM-WP(C) Colstrip FOR_Rebuttal Power Costs_Electric Rev Req Model (2009 GRC) Rebuttal REmoval of New  WH Solar AdjustMI" xfId="5276"/>
    <cellStyle name="_DEM-WP(C) Colstrip FOR_Rebuttal Power Costs_Electric Rev Req Model (2009 GRC) Rebuttal REmoval of New  WH Solar AdjustMI 2" xfId="5277"/>
    <cellStyle name="_DEM-WP(C) Colstrip FOR_Rebuttal Power Costs_Electric Rev Req Model (2009 GRC) Rebuttal REmoval of New  WH Solar AdjustMI 2 2" xfId="5278"/>
    <cellStyle name="_DEM-WP(C) Colstrip FOR_Rebuttal Power Costs_Electric Rev Req Model (2009 GRC) Rebuttal REmoval of New  WH Solar AdjustMI 3" xfId="5279"/>
    <cellStyle name="_DEM-WP(C) Colstrip FOR_Rebuttal Power Costs_Electric Rev Req Model (2009 GRC) Rebuttal REmoval of New  WH Solar AdjustMI_DEM-WP(C) ENERG10C--ctn Mid-C_042010 2010GRC" xfId="5280"/>
    <cellStyle name="_DEM-WP(C) Colstrip FOR_Rebuttal Power Costs_Electric Rev Req Model (2009 GRC) Revised 01-18-2010" xfId="5281"/>
    <cellStyle name="_DEM-WP(C) Colstrip FOR_Rebuttal Power Costs_Electric Rev Req Model (2009 GRC) Revised 01-18-2010 2" xfId="5282"/>
    <cellStyle name="_DEM-WP(C) Colstrip FOR_Rebuttal Power Costs_Electric Rev Req Model (2009 GRC) Revised 01-18-2010 2 2" xfId="5283"/>
    <cellStyle name="_DEM-WP(C) Colstrip FOR_Rebuttal Power Costs_Electric Rev Req Model (2009 GRC) Revised 01-18-2010 3" xfId="5284"/>
    <cellStyle name="_DEM-WP(C) Colstrip FOR_Rebuttal Power Costs_Electric Rev Req Model (2009 GRC) Revised 01-18-2010_DEM-WP(C) ENERG10C--ctn Mid-C_042010 2010GRC" xfId="5285"/>
    <cellStyle name="_DEM-WP(C) Colstrip FOR_Rebuttal Power Costs_Final Order Electric EXHIBIT A-1" xfId="5286"/>
    <cellStyle name="_DEM-WP(C) Colstrip FOR_Rebuttal Power Costs_Final Order Electric EXHIBIT A-1 2" xfId="5287"/>
    <cellStyle name="_DEM-WP(C) Colstrip FOR_TENASKA REGULATORY ASSET" xfId="5288"/>
    <cellStyle name="_DEM-WP(C) Colstrip FOR_TENASKA REGULATORY ASSET 2" xfId="5289"/>
    <cellStyle name="_DEM-WP(C) Costs not in AURORA 2006GRC" xfId="5290"/>
    <cellStyle name="_DEM-WP(C) Costs not in AURORA 2006GRC 2" xfId="5291"/>
    <cellStyle name="_DEM-WP(C) Costs not in AURORA 2006GRC 2 2" xfId="5292"/>
    <cellStyle name="_DEM-WP(C) Costs not in AURORA 2006GRC 2 2 2" xfId="5293"/>
    <cellStyle name="_DEM-WP(C) Costs not in AURORA 2006GRC 2 3" xfId="5294"/>
    <cellStyle name="_DEM-WP(C) Costs not in AURORA 2006GRC 3" xfId="5295"/>
    <cellStyle name="_DEM-WP(C) Costs not in AURORA 2006GRC 3 2" xfId="5296"/>
    <cellStyle name="_DEM-WP(C) Costs not in AURORA 2006GRC 4" xfId="5297"/>
    <cellStyle name="_DEM-WP(C) Costs not in AURORA 2006GRC 4 2" xfId="5298"/>
    <cellStyle name="_DEM-WP(C) Costs not in AURORA 2006GRC 4 3" xfId="5299"/>
    <cellStyle name="_DEM-WP(C) Costs not in AURORA 2006GRC 5" xfId="5300"/>
    <cellStyle name="_DEM-WP(C) Costs not in AURORA 2006GRC 5 2" xfId="5301"/>
    <cellStyle name="_DEM-WP(C) Costs not in AURORA 2006GRC 6" xfId="5302"/>
    <cellStyle name="_DEM-WP(C) Costs not in AURORA 2006GRC 6 2" xfId="5303"/>
    <cellStyle name="_DEM-WP(C) Costs not in AURORA 2006GRC 7" xfId="5304"/>
    <cellStyle name="_DEM-WP(C) Costs not in AURORA 2006GRC 7 2" xfId="5305"/>
    <cellStyle name="_DEM-WP(C) Costs not in AURORA 2006GRC_(C) WHE Proforma with ITC cash grant 10 Yr Amort_for deferral_102809" xfId="5306"/>
    <cellStyle name="_DEM-WP(C) Costs not in AURORA 2006GRC_(C) WHE Proforma with ITC cash grant 10 Yr Amort_for deferral_102809 2" xfId="5307"/>
    <cellStyle name="_DEM-WP(C) Costs not in AURORA 2006GRC_(C) WHE Proforma with ITC cash grant 10 Yr Amort_for deferral_102809 2 2" xfId="5308"/>
    <cellStyle name="_DEM-WP(C) Costs not in AURORA 2006GRC_(C) WHE Proforma with ITC cash grant 10 Yr Amort_for deferral_102809 3" xfId="5309"/>
    <cellStyle name="_DEM-WP(C) Costs not in AURORA 2006GRC_(C) WHE Proforma with ITC cash grant 10 Yr Amort_for deferral_102809_16.07E Wild Horse Wind Expansionwrkingfile" xfId="5310"/>
    <cellStyle name="_DEM-WP(C) Costs not in AURORA 2006GRC_(C) WHE Proforma with ITC cash grant 10 Yr Amort_for deferral_102809_16.07E Wild Horse Wind Expansionwrkingfile 2" xfId="5311"/>
    <cellStyle name="_DEM-WP(C) Costs not in AURORA 2006GRC_(C) WHE Proforma with ITC cash grant 10 Yr Amort_for deferral_102809_16.07E Wild Horse Wind Expansionwrkingfile 2 2" xfId="5312"/>
    <cellStyle name="_DEM-WP(C) Costs not in AURORA 2006GRC_(C) WHE Proforma with ITC cash grant 10 Yr Amort_for deferral_102809_16.07E Wild Horse Wind Expansionwrkingfile 3" xfId="5313"/>
    <cellStyle name="_DEM-WP(C) Costs not in AURORA 2006GRC_(C) WHE Proforma with ITC cash grant 10 Yr Amort_for deferral_102809_16.07E Wild Horse Wind Expansionwrkingfile SF" xfId="5314"/>
    <cellStyle name="_DEM-WP(C) Costs not in AURORA 2006GRC_(C) WHE Proforma with ITC cash grant 10 Yr Amort_for deferral_102809_16.07E Wild Horse Wind Expansionwrkingfile SF 2" xfId="5315"/>
    <cellStyle name="_DEM-WP(C) Costs not in AURORA 2006GRC_(C) WHE Proforma with ITC cash grant 10 Yr Amort_for deferral_102809_16.07E Wild Horse Wind Expansionwrkingfile SF 2 2" xfId="5316"/>
    <cellStyle name="_DEM-WP(C) Costs not in AURORA 2006GRC_(C) WHE Proforma with ITC cash grant 10 Yr Amort_for deferral_102809_16.07E Wild Horse Wind Expansionwrkingfile SF 3" xfId="5317"/>
    <cellStyle name="_DEM-WP(C) Costs not in AURORA 2006GRC_(C) WHE Proforma with ITC cash grant 10 Yr Amort_for deferral_102809_16.07E Wild Horse Wind Expansionwrkingfile SF_DEM-WP(C) ENERG10C--ctn Mid-C_042010 2010GRC" xfId="5318"/>
    <cellStyle name="_DEM-WP(C) Costs not in AURORA 2006GRC_(C) WHE Proforma with ITC cash grant 10 Yr Amort_for deferral_102809_16.07E Wild Horse Wind Expansionwrkingfile_DEM-WP(C) ENERG10C--ctn Mid-C_042010 2010GRC" xfId="5319"/>
    <cellStyle name="_DEM-WP(C) Costs not in AURORA 2006GRC_(C) WHE Proforma with ITC cash grant 10 Yr Amort_for deferral_102809_16.37E Wild Horse Expansion DeferralRevwrkingfile SF" xfId="5320"/>
    <cellStyle name="_DEM-WP(C) Costs not in AURORA 2006GRC_(C) WHE Proforma with ITC cash grant 10 Yr Amort_for deferral_102809_16.37E Wild Horse Expansion DeferralRevwrkingfile SF 2" xfId="5321"/>
    <cellStyle name="_DEM-WP(C) Costs not in AURORA 2006GRC_(C) WHE Proforma with ITC cash grant 10 Yr Amort_for deferral_102809_16.37E Wild Horse Expansion DeferralRevwrkingfile SF 2 2" xfId="5322"/>
    <cellStyle name="_DEM-WP(C) Costs not in AURORA 2006GRC_(C) WHE Proforma with ITC cash grant 10 Yr Amort_for deferral_102809_16.37E Wild Horse Expansion DeferralRevwrkingfile SF 3" xfId="5323"/>
    <cellStyle name="_DEM-WP(C) Costs not in AURORA 2006GRC_(C) WHE Proforma with ITC cash grant 10 Yr Amort_for deferral_102809_16.37E Wild Horse Expansion DeferralRevwrkingfile SF_DEM-WP(C) ENERG10C--ctn Mid-C_042010 2010GRC" xfId="5324"/>
    <cellStyle name="_DEM-WP(C) Costs not in AURORA 2006GRC_(C) WHE Proforma with ITC cash grant 10 Yr Amort_for deferral_102809_DEM-WP(C) ENERG10C--ctn Mid-C_042010 2010GRC" xfId="5325"/>
    <cellStyle name="_DEM-WP(C) Costs not in AURORA 2006GRC_(C) WHE Proforma with ITC cash grant 10 Yr Amort_for rebuttal_120709" xfId="5326"/>
    <cellStyle name="_DEM-WP(C) Costs not in AURORA 2006GRC_(C) WHE Proforma with ITC cash grant 10 Yr Amort_for rebuttal_120709 2" xfId="5327"/>
    <cellStyle name="_DEM-WP(C) Costs not in AURORA 2006GRC_(C) WHE Proforma with ITC cash grant 10 Yr Amort_for rebuttal_120709 2 2" xfId="5328"/>
    <cellStyle name="_DEM-WP(C) Costs not in AURORA 2006GRC_(C) WHE Proforma with ITC cash grant 10 Yr Amort_for rebuttal_120709 3" xfId="5329"/>
    <cellStyle name="_DEM-WP(C) Costs not in AURORA 2006GRC_(C) WHE Proforma with ITC cash grant 10 Yr Amort_for rebuttal_120709_DEM-WP(C) ENERG10C--ctn Mid-C_042010 2010GRC" xfId="5330"/>
    <cellStyle name="_DEM-WP(C) Costs not in AURORA 2006GRC_04.07E Wild Horse Wind Expansion" xfId="5331"/>
    <cellStyle name="_DEM-WP(C) Costs not in AURORA 2006GRC_04.07E Wild Horse Wind Expansion 2" xfId="5332"/>
    <cellStyle name="_DEM-WP(C) Costs not in AURORA 2006GRC_04.07E Wild Horse Wind Expansion 2 2" xfId="5333"/>
    <cellStyle name="_DEM-WP(C) Costs not in AURORA 2006GRC_04.07E Wild Horse Wind Expansion 3" xfId="5334"/>
    <cellStyle name="_DEM-WP(C) Costs not in AURORA 2006GRC_04.07E Wild Horse Wind Expansion_16.07E Wild Horse Wind Expansionwrkingfile" xfId="5335"/>
    <cellStyle name="_DEM-WP(C) Costs not in AURORA 2006GRC_04.07E Wild Horse Wind Expansion_16.07E Wild Horse Wind Expansionwrkingfile 2" xfId="5336"/>
    <cellStyle name="_DEM-WP(C) Costs not in AURORA 2006GRC_04.07E Wild Horse Wind Expansion_16.07E Wild Horse Wind Expansionwrkingfile 2 2" xfId="5337"/>
    <cellStyle name="_DEM-WP(C) Costs not in AURORA 2006GRC_04.07E Wild Horse Wind Expansion_16.07E Wild Horse Wind Expansionwrkingfile 3" xfId="5338"/>
    <cellStyle name="_DEM-WP(C) Costs not in AURORA 2006GRC_04.07E Wild Horse Wind Expansion_16.07E Wild Horse Wind Expansionwrkingfile SF" xfId="5339"/>
    <cellStyle name="_DEM-WP(C) Costs not in AURORA 2006GRC_04.07E Wild Horse Wind Expansion_16.07E Wild Horse Wind Expansionwrkingfile SF 2" xfId="5340"/>
    <cellStyle name="_DEM-WP(C) Costs not in AURORA 2006GRC_04.07E Wild Horse Wind Expansion_16.07E Wild Horse Wind Expansionwrkingfile SF 2 2" xfId="5341"/>
    <cellStyle name="_DEM-WP(C) Costs not in AURORA 2006GRC_04.07E Wild Horse Wind Expansion_16.07E Wild Horse Wind Expansionwrkingfile SF 3" xfId="5342"/>
    <cellStyle name="_DEM-WP(C) Costs not in AURORA 2006GRC_04.07E Wild Horse Wind Expansion_16.07E Wild Horse Wind Expansionwrkingfile SF_DEM-WP(C) ENERG10C--ctn Mid-C_042010 2010GRC" xfId="5343"/>
    <cellStyle name="_DEM-WP(C) Costs not in AURORA 2006GRC_04.07E Wild Horse Wind Expansion_16.07E Wild Horse Wind Expansionwrkingfile_DEM-WP(C) ENERG10C--ctn Mid-C_042010 2010GRC" xfId="5344"/>
    <cellStyle name="_DEM-WP(C) Costs not in AURORA 2006GRC_04.07E Wild Horse Wind Expansion_16.37E Wild Horse Expansion DeferralRevwrkingfile SF" xfId="5345"/>
    <cellStyle name="_DEM-WP(C) Costs not in AURORA 2006GRC_04.07E Wild Horse Wind Expansion_16.37E Wild Horse Expansion DeferralRevwrkingfile SF 2" xfId="5346"/>
    <cellStyle name="_DEM-WP(C) Costs not in AURORA 2006GRC_04.07E Wild Horse Wind Expansion_16.37E Wild Horse Expansion DeferralRevwrkingfile SF 2 2" xfId="5347"/>
    <cellStyle name="_DEM-WP(C) Costs not in AURORA 2006GRC_04.07E Wild Horse Wind Expansion_16.37E Wild Horse Expansion DeferralRevwrkingfile SF 3" xfId="5348"/>
    <cellStyle name="_DEM-WP(C) Costs not in AURORA 2006GRC_04.07E Wild Horse Wind Expansion_16.37E Wild Horse Expansion DeferralRevwrkingfile SF_DEM-WP(C) ENERG10C--ctn Mid-C_042010 2010GRC" xfId="5349"/>
    <cellStyle name="_DEM-WP(C) Costs not in AURORA 2006GRC_04.07E Wild Horse Wind Expansion_DEM-WP(C) ENERG10C--ctn Mid-C_042010 2010GRC" xfId="5350"/>
    <cellStyle name="_DEM-WP(C) Costs not in AURORA 2006GRC_16.07E Wild Horse Wind Expansionwrkingfile" xfId="5351"/>
    <cellStyle name="_DEM-WP(C) Costs not in AURORA 2006GRC_16.07E Wild Horse Wind Expansionwrkingfile 2" xfId="5352"/>
    <cellStyle name="_DEM-WP(C) Costs not in AURORA 2006GRC_16.07E Wild Horse Wind Expansionwrkingfile 2 2" xfId="5353"/>
    <cellStyle name="_DEM-WP(C) Costs not in AURORA 2006GRC_16.07E Wild Horse Wind Expansionwrkingfile 3" xfId="5354"/>
    <cellStyle name="_DEM-WP(C) Costs not in AURORA 2006GRC_16.07E Wild Horse Wind Expansionwrkingfile SF" xfId="5355"/>
    <cellStyle name="_DEM-WP(C) Costs not in AURORA 2006GRC_16.07E Wild Horse Wind Expansionwrkingfile SF 2" xfId="5356"/>
    <cellStyle name="_DEM-WP(C) Costs not in AURORA 2006GRC_16.07E Wild Horse Wind Expansionwrkingfile SF 2 2" xfId="5357"/>
    <cellStyle name="_DEM-WP(C) Costs not in AURORA 2006GRC_16.07E Wild Horse Wind Expansionwrkingfile SF 3" xfId="5358"/>
    <cellStyle name="_DEM-WP(C) Costs not in AURORA 2006GRC_16.07E Wild Horse Wind Expansionwrkingfile SF_DEM-WP(C) ENERG10C--ctn Mid-C_042010 2010GRC" xfId="5359"/>
    <cellStyle name="_DEM-WP(C) Costs not in AURORA 2006GRC_16.07E Wild Horse Wind Expansionwrkingfile_DEM-WP(C) ENERG10C--ctn Mid-C_042010 2010GRC" xfId="5360"/>
    <cellStyle name="_DEM-WP(C) Costs not in AURORA 2006GRC_16.37E Wild Horse Expansion DeferralRevwrkingfile SF" xfId="5361"/>
    <cellStyle name="_DEM-WP(C) Costs not in AURORA 2006GRC_16.37E Wild Horse Expansion DeferralRevwrkingfile SF 2" xfId="5362"/>
    <cellStyle name="_DEM-WP(C) Costs not in AURORA 2006GRC_16.37E Wild Horse Expansion DeferralRevwrkingfile SF 2 2" xfId="5363"/>
    <cellStyle name="_DEM-WP(C) Costs not in AURORA 2006GRC_16.37E Wild Horse Expansion DeferralRevwrkingfile SF 3" xfId="5364"/>
    <cellStyle name="_DEM-WP(C) Costs not in AURORA 2006GRC_16.37E Wild Horse Expansion DeferralRevwrkingfile SF_DEM-WP(C) ENERG10C--ctn Mid-C_042010 2010GRC" xfId="5365"/>
    <cellStyle name="_DEM-WP(C) Costs not in AURORA 2006GRC_2009 Compliance Filing PCA Exhibits for GRC" xfId="5366"/>
    <cellStyle name="_DEM-WP(C) Costs not in AURORA 2006GRC_2009 Compliance Filing PCA Exhibits for GRC 2" xfId="5367"/>
    <cellStyle name="_DEM-WP(C) Costs not in AURORA 2006GRC_2009 GRC Compl Filing - Exhibit D" xfId="5368"/>
    <cellStyle name="_DEM-WP(C) Costs not in AURORA 2006GRC_2009 GRC Compl Filing - Exhibit D 2" xfId="5369"/>
    <cellStyle name="_DEM-WP(C) Costs not in AURORA 2006GRC_2009 GRC Compl Filing - Exhibit D 2 2" xfId="5370"/>
    <cellStyle name="_DEM-WP(C) Costs not in AURORA 2006GRC_2009 GRC Compl Filing - Exhibit D 3" xfId="5371"/>
    <cellStyle name="_DEM-WP(C) Costs not in AURORA 2006GRC_2009 GRC Compl Filing - Exhibit D_DEM-WP(C) ENERG10C--ctn Mid-C_042010 2010GRC" xfId="5372"/>
    <cellStyle name="_DEM-WP(C) Costs not in AURORA 2006GRC_3.01 Income Statement" xfId="5373"/>
    <cellStyle name="_DEM-WP(C) Costs not in AURORA 2006GRC_4 31 Regulatory Assets and Liabilities  7 06- Exhibit D" xfId="5374"/>
    <cellStyle name="_DEM-WP(C) Costs not in AURORA 2006GRC_4 31 Regulatory Assets and Liabilities  7 06- Exhibit D 2" xfId="5375"/>
    <cellStyle name="_DEM-WP(C) Costs not in AURORA 2006GRC_4 31 Regulatory Assets and Liabilities  7 06- Exhibit D 2 2" xfId="5376"/>
    <cellStyle name="_DEM-WP(C) Costs not in AURORA 2006GRC_4 31 Regulatory Assets and Liabilities  7 06- Exhibit D 3" xfId="5377"/>
    <cellStyle name="_DEM-WP(C) Costs not in AURORA 2006GRC_4 31 Regulatory Assets and Liabilities  7 06- Exhibit D_DEM-WP(C) ENERG10C--ctn Mid-C_042010 2010GRC" xfId="5378"/>
    <cellStyle name="_DEM-WP(C) Costs not in AURORA 2006GRC_4 31 Regulatory Assets and Liabilities  7 06- Exhibit D_NIM Summary" xfId="5379"/>
    <cellStyle name="_DEM-WP(C) Costs not in AURORA 2006GRC_4 31 Regulatory Assets and Liabilities  7 06- Exhibit D_NIM Summary 2" xfId="5380"/>
    <cellStyle name="_DEM-WP(C) Costs not in AURORA 2006GRC_4 31 Regulatory Assets and Liabilities  7 06- Exhibit D_NIM Summary 2 2" xfId="5381"/>
    <cellStyle name="_DEM-WP(C) Costs not in AURORA 2006GRC_4 31 Regulatory Assets and Liabilities  7 06- Exhibit D_NIM Summary 3" xfId="5382"/>
    <cellStyle name="_DEM-WP(C) Costs not in AURORA 2006GRC_4 31 Regulatory Assets and Liabilities  7 06- Exhibit D_NIM Summary_DEM-WP(C) ENERG10C--ctn Mid-C_042010 2010GRC" xfId="5383"/>
    <cellStyle name="_DEM-WP(C) Costs not in AURORA 2006GRC_4 31E Reg Asset  Liab and EXH D" xfId="5384"/>
    <cellStyle name="_DEM-WP(C) Costs not in AURORA 2006GRC_4 31E Reg Asset  Liab and EXH D _ Aug 10 Filing (2)" xfId="5385"/>
    <cellStyle name="_DEM-WP(C) Costs not in AURORA 2006GRC_4 31E Reg Asset  Liab and EXH D _ Aug 10 Filing (2) 2" xfId="5386"/>
    <cellStyle name="_DEM-WP(C) Costs not in AURORA 2006GRC_4 31E Reg Asset  Liab and EXH D 2" xfId="5387"/>
    <cellStyle name="_DEM-WP(C) Costs not in AURORA 2006GRC_4 31E Reg Asset  Liab and EXH D 3" xfId="5388"/>
    <cellStyle name="_DEM-WP(C) Costs not in AURORA 2006GRC_4 32 Regulatory Assets and Liabilities  7 06- Exhibit D" xfId="5389"/>
    <cellStyle name="_DEM-WP(C) Costs not in AURORA 2006GRC_4 32 Regulatory Assets and Liabilities  7 06- Exhibit D 2" xfId="5390"/>
    <cellStyle name="_DEM-WP(C) Costs not in AURORA 2006GRC_4 32 Regulatory Assets and Liabilities  7 06- Exhibit D 2 2" xfId="5391"/>
    <cellStyle name="_DEM-WP(C) Costs not in AURORA 2006GRC_4 32 Regulatory Assets and Liabilities  7 06- Exhibit D 3" xfId="5392"/>
    <cellStyle name="_DEM-WP(C) Costs not in AURORA 2006GRC_4 32 Regulatory Assets and Liabilities  7 06- Exhibit D 3 2" xfId="5393"/>
    <cellStyle name="_DEM-WP(C) Costs not in AURORA 2006GRC_4 32 Regulatory Assets and Liabilities  7 06- Exhibit D_DEM-WP(C) ENERG10C--ctn Mid-C_042010 2010GRC" xfId="5394"/>
    <cellStyle name="_DEM-WP(C) Costs not in AURORA 2006GRC_4 32 Regulatory Assets and Liabilities  7 06- Exhibit D_DEM-WP(C) ENERG10C--ctn Mid-C_042010 2010GRC 2" xfId="5395"/>
    <cellStyle name="_DEM-WP(C) Costs not in AURORA 2006GRC_4 32 Regulatory Assets and Liabilities  7 06- Exhibit D_NIM Summary" xfId="5396"/>
    <cellStyle name="_DEM-WP(C) Costs not in AURORA 2006GRC_4 32 Regulatory Assets and Liabilities  7 06- Exhibit D_NIM Summary 2" xfId="5397"/>
    <cellStyle name="_DEM-WP(C) Costs not in AURORA 2006GRC_4 32 Regulatory Assets and Liabilities  7 06- Exhibit D_NIM Summary 2 2" xfId="5398"/>
    <cellStyle name="_DEM-WP(C) Costs not in AURORA 2006GRC_4 32 Regulatory Assets and Liabilities  7 06- Exhibit D_NIM Summary 2 2 2" xfId="5399"/>
    <cellStyle name="_DEM-WP(C) Costs not in AURORA 2006GRC_4 32 Regulatory Assets and Liabilities  7 06- Exhibit D_NIM Summary 2 3" xfId="5400"/>
    <cellStyle name="_DEM-WP(C) Costs not in AURORA 2006GRC_4 32 Regulatory Assets and Liabilities  7 06- Exhibit D_NIM Summary 3" xfId="5401"/>
    <cellStyle name="_DEM-WP(C) Costs not in AURORA 2006GRC_4 32 Regulatory Assets and Liabilities  7 06- Exhibit D_NIM Summary 3 2" xfId="5402"/>
    <cellStyle name="_DEM-WP(C) Costs not in AURORA 2006GRC_4 32 Regulatory Assets and Liabilities  7 06- Exhibit D_NIM Summary 4" xfId="5403"/>
    <cellStyle name="_DEM-WP(C) Costs not in AURORA 2006GRC_4 32 Regulatory Assets and Liabilities  7 06- Exhibit D_NIM Summary_DEM-WP(C) ENERG10C--ctn Mid-C_042010 2010GRC" xfId="5404"/>
    <cellStyle name="_DEM-WP(C) Costs not in AURORA 2006GRC_4 32 Regulatory Assets and Liabilities  7 06- Exhibit D_NIM Summary_DEM-WP(C) ENERG10C--ctn Mid-C_042010 2010GRC 2" xfId="5405"/>
    <cellStyle name="_DEM-WP(C) Costs not in AURORA 2006GRC_AURORA Total New" xfId="5406"/>
    <cellStyle name="_DEM-WP(C) Costs not in AURORA 2006GRC_AURORA Total New 2" xfId="5407"/>
    <cellStyle name="_DEM-WP(C) Costs not in AURORA 2006GRC_AURORA Total New 2 2" xfId="5408"/>
    <cellStyle name="_DEM-WP(C) Costs not in AURORA 2006GRC_AURORA Total New 2 2 2" xfId="5409"/>
    <cellStyle name="_DEM-WP(C) Costs not in AURORA 2006GRC_AURORA Total New 2 3" xfId="5410"/>
    <cellStyle name="_DEM-WP(C) Costs not in AURORA 2006GRC_AURORA Total New 3" xfId="5411"/>
    <cellStyle name="_DEM-WP(C) Costs not in AURORA 2006GRC_AURORA Total New 3 2" xfId="5412"/>
    <cellStyle name="_DEM-WP(C) Costs not in AURORA 2006GRC_AURORA Total New 4" xfId="5413"/>
    <cellStyle name="_DEM-WP(C) Costs not in AURORA 2006GRC_Book2" xfId="5414"/>
    <cellStyle name="_DEM-WP(C) Costs not in AURORA 2006GRC_Book2 2" xfId="5415"/>
    <cellStyle name="_DEM-WP(C) Costs not in AURORA 2006GRC_Book2 2 2" xfId="5416"/>
    <cellStyle name="_DEM-WP(C) Costs not in AURORA 2006GRC_Book2 2 2 2" xfId="5417"/>
    <cellStyle name="_DEM-WP(C) Costs not in AURORA 2006GRC_Book2 2 3" xfId="5418"/>
    <cellStyle name="_DEM-WP(C) Costs not in AURORA 2006GRC_Book2 3" xfId="5419"/>
    <cellStyle name="_DEM-WP(C) Costs not in AURORA 2006GRC_Book2 3 2" xfId="5420"/>
    <cellStyle name="_DEM-WP(C) Costs not in AURORA 2006GRC_Book2 4" xfId="5421"/>
    <cellStyle name="_DEM-WP(C) Costs not in AURORA 2006GRC_Book2_Adj Bench DR 3 for Initial Briefs (Electric)" xfId="5422"/>
    <cellStyle name="_DEM-WP(C) Costs not in AURORA 2006GRC_Book2_Adj Bench DR 3 for Initial Briefs (Electric) 2" xfId="5423"/>
    <cellStyle name="_DEM-WP(C) Costs not in AURORA 2006GRC_Book2_Adj Bench DR 3 for Initial Briefs (Electric) 2 2" xfId="5424"/>
    <cellStyle name="_DEM-WP(C) Costs not in AURORA 2006GRC_Book2_Adj Bench DR 3 for Initial Briefs (Electric) 2 2 2" xfId="5425"/>
    <cellStyle name="_DEM-WP(C) Costs not in AURORA 2006GRC_Book2_Adj Bench DR 3 for Initial Briefs (Electric) 2 3" xfId="5426"/>
    <cellStyle name="_DEM-WP(C) Costs not in AURORA 2006GRC_Book2_Adj Bench DR 3 for Initial Briefs (Electric) 3" xfId="5427"/>
    <cellStyle name="_DEM-WP(C) Costs not in AURORA 2006GRC_Book2_Adj Bench DR 3 for Initial Briefs (Electric) 3 2" xfId="5428"/>
    <cellStyle name="_DEM-WP(C) Costs not in AURORA 2006GRC_Book2_Adj Bench DR 3 for Initial Briefs (Electric) 4" xfId="5429"/>
    <cellStyle name="_DEM-WP(C) Costs not in AURORA 2006GRC_Book2_Adj Bench DR 3 for Initial Briefs (Electric)_DEM-WP(C) ENERG10C--ctn Mid-C_042010 2010GRC" xfId="5430"/>
    <cellStyle name="_DEM-WP(C) Costs not in AURORA 2006GRC_Book2_Adj Bench DR 3 for Initial Briefs (Electric)_DEM-WP(C) ENERG10C--ctn Mid-C_042010 2010GRC 2" xfId="5431"/>
    <cellStyle name="_DEM-WP(C) Costs not in AURORA 2006GRC_Book2_DEM-WP(C) ENERG10C--ctn Mid-C_042010 2010GRC" xfId="5432"/>
    <cellStyle name="_DEM-WP(C) Costs not in AURORA 2006GRC_Book2_DEM-WP(C) ENERG10C--ctn Mid-C_042010 2010GRC 2" xfId="5433"/>
    <cellStyle name="_DEM-WP(C) Costs not in AURORA 2006GRC_Book2_Electric Rev Req Model (2009 GRC) Rebuttal" xfId="5434"/>
    <cellStyle name="_DEM-WP(C) Costs not in AURORA 2006GRC_Book2_Electric Rev Req Model (2009 GRC) Rebuttal 2" xfId="5435"/>
    <cellStyle name="_DEM-WP(C) Costs not in AURORA 2006GRC_Book2_Electric Rev Req Model (2009 GRC) Rebuttal 2 2" xfId="5436"/>
    <cellStyle name="_DEM-WP(C) Costs not in AURORA 2006GRC_Book2_Electric Rev Req Model (2009 GRC) Rebuttal 3" xfId="5437"/>
    <cellStyle name="_DEM-WP(C) Costs not in AURORA 2006GRC_Book2_Electric Rev Req Model (2009 GRC) Rebuttal REmoval of New  WH Solar AdjustMI" xfId="5438"/>
    <cellStyle name="_DEM-WP(C) Costs not in AURORA 2006GRC_Book2_Electric Rev Req Model (2009 GRC) Rebuttal REmoval of New  WH Solar AdjustMI 2" xfId="5439"/>
    <cellStyle name="_DEM-WP(C) Costs not in AURORA 2006GRC_Book2_Electric Rev Req Model (2009 GRC) Rebuttal REmoval of New  WH Solar AdjustMI 2 2" xfId="5440"/>
    <cellStyle name="_DEM-WP(C) Costs not in AURORA 2006GRC_Book2_Electric Rev Req Model (2009 GRC) Rebuttal REmoval of New  WH Solar AdjustMI 2 2 2" xfId="5441"/>
    <cellStyle name="_DEM-WP(C) Costs not in AURORA 2006GRC_Book2_Electric Rev Req Model (2009 GRC) Rebuttal REmoval of New  WH Solar AdjustMI 2 3" xfId="5442"/>
    <cellStyle name="_DEM-WP(C) Costs not in AURORA 2006GRC_Book2_Electric Rev Req Model (2009 GRC) Rebuttal REmoval of New  WH Solar AdjustMI 3" xfId="5443"/>
    <cellStyle name="_DEM-WP(C) Costs not in AURORA 2006GRC_Book2_Electric Rev Req Model (2009 GRC) Rebuttal REmoval of New  WH Solar AdjustMI 3 2" xfId="5444"/>
    <cellStyle name="_DEM-WP(C) Costs not in AURORA 2006GRC_Book2_Electric Rev Req Model (2009 GRC) Rebuttal REmoval of New  WH Solar AdjustMI 4" xfId="5445"/>
    <cellStyle name="_DEM-WP(C) Costs not in AURORA 2006GRC_Book2_Electric Rev Req Model (2009 GRC) Rebuttal REmoval of New  WH Solar AdjustMI_DEM-WP(C) ENERG10C--ctn Mid-C_042010 2010GRC" xfId="5446"/>
    <cellStyle name="_DEM-WP(C) Costs not in AURORA 2006GRC_Book2_Electric Rev Req Model (2009 GRC) Rebuttal REmoval of New  WH Solar AdjustMI_DEM-WP(C) ENERG10C--ctn Mid-C_042010 2010GRC 2" xfId="5447"/>
    <cellStyle name="_DEM-WP(C) Costs not in AURORA 2006GRC_Book2_Electric Rev Req Model (2009 GRC) Revised 01-18-2010" xfId="5448"/>
    <cellStyle name="_DEM-WP(C) Costs not in AURORA 2006GRC_Book2_Electric Rev Req Model (2009 GRC) Revised 01-18-2010 2" xfId="5449"/>
    <cellStyle name="_DEM-WP(C) Costs not in AURORA 2006GRC_Book2_Electric Rev Req Model (2009 GRC) Revised 01-18-2010 2 2" xfId="5450"/>
    <cellStyle name="_DEM-WP(C) Costs not in AURORA 2006GRC_Book2_Electric Rev Req Model (2009 GRC) Revised 01-18-2010 2 2 2" xfId="5451"/>
    <cellStyle name="_DEM-WP(C) Costs not in AURORA 2006GRC_Book2_Electric Rev Req Model (2009 GRC) Revised 01-18-2010 2 3" xfId="5452"/>
    <cellStyle name="_DEM-WP(C) Costs not in AURORA 2006GRC_Book2_Electric Rev Req Model (2009 GRC) Revised 01-18-2010 3" xfId="5453"/>
    <cellStyle name="_DEM-WP(C) Costs not in AURORA 2006GRC_Book2_Electric Rev Req Model (2009 GRC) Revised 01-18-2010 3 2" xfId="5454"/>
    <cellStyle name="_DEM-WP(C) Costs not in AURORA 2006GRC_Book2_Electric Rev Req Model (2009 GRC) Revised 01-18-2010 4" xfId="5455"/>
    <cellStyle name="_DEM-WP(C) Costs not in AURORA 2006GRC_Book2_Electric Rev Req Model (2009 GRC) Revised 01-18-2010_DEM-WP(C) ENERG10C--ctn Mid-C_042010 2010GRC" xfId="5456"/>
    <cellStyle name="_DEM-WP(C) Costs not in AURORA 2006GRC_Book2_Electric Rev Req Model (2009 GRC) Revised 01-18-2010_DEM-WP(C) ENERG10C--ctn Mid-C_042010 2010GRC 2" xfId="5457"/>
    <cellStyle name="_DEM-WP(C) Costs not in AURORA 2006GRC_Book2_Final Order Electric EXHIBIT A-1" xfId="5458"/>
    <cellStyle name="_DEM-WP(C) Costs not in AURORA 2006GRC_Book2_Final Order Electric EXHIBIT A-1 2" xfId="5459"/>
    <cellStyle name="_DEM-WP(C) Costs not in AURORA 2006GRC_Book2_Final Order Electric EXHIBIT A-1 2 2" xfId="5460"/>
    <cellStyle name="_DEM-WP(C) Costs not in AURORA 2006GRC_Book2_Final Order Electric EXHIBIT A-1 3" xfId="5461"/>
    <cellStyle name="_DEM-WP(C) Costs not in AURORA 2006GRC_Book4" xfId="5462"/>
    <cellStyle name="_DEM-WP(C) Costs not in AURORA 2006GRC_Book4 2" xfId="5463"/>
    <cellStyle name="_DEM-WP(C) Costs not in AURORA 2006GRC_Book4 2 2" xfId="5464"/>
    <cellStyle name="_DEM-WP(C) Costs not in AURORA 2006GRC_Book4 2 2 2" xfId="5465"/>
    <cellStyle name="_DEM-WP(C) Costs not in AURORA 2006GRC_Book4 2 3" xfId="5466"/>
    <cellStyle name="_DEM-WP(C) Costs not in AURORA 2006GRC_Book4 3" xfId="5467"/>
    <cellStyle name="_DEM-WP(C) Costs not in AURORA 2006GRC_Book4 3 2" xfId="5468"/>
    <cellStyle name="_DEM-WP(C) Costs not in AURORA 2006GRC_Book4 4" xfId="5469"/>
    <cellStyle name="_DEM-WP(C) Costs not in AURORA 2006GRC_Book4_DEM-WP(C) ENERG10C--ctn Mid-C_042010 2010GRC" xfId="5470"/>
    <cellStyle name="_DEM-WP(C) Costs not in AURORA 2006GRC_Book4_DEM-WP(C) ENERG10C--ctn Mid-C_042010 2010GRC 2" xfId="5471"/>
    <cellStyle name="_DEM-WP(C) Costs not in AURORA 2006GRC_Book9" xfId="5472"/>
    <cellStyle name="_DEM-WP(C) Costs not in AURORA 2006GRC_Book9 2" xfId="5473"/>
    <cellStyle name="_DEM-WP(C) Costs not in AURORA 2006GRC_Book9 2 2" xfId="5474"/>
    <cellStyle name="_DEM-WP(C) Costs not in AURORA 2006GRC_Book9 2 2 2" xfId="5475"/>
    <cellStyle name="_DEM-WP(C) Costs not in AURORA 2006GRC_Book9 2 3" xfId="5476"/>
    <cellStyle name="_DEM-WP(C) Costs not in AURORA 2006GRC_Book9 3" xfId="5477"/>
    <cellStyle name="_DEM-WP(C) Costs not in AURORA 2006GRC_Book9 3 2" xfId="5478"/>
    <cellStyle name="_DEM-WP(C) Costs not in AURORA 2006GRC_Book9 4" xfId="5479"/>
    <cellStyle name="_DEM-WP(C) Costs not in AURORA 2006GRC_Book9_DEM-WP(C) ENERG10C--ctn Mid-C_042010 2010GRC" xfId="5480"/>
    <cellStyle name="_DEM-WP(C) Costs not in AURORA 2006GRC_Book9_DEM-WP(C) ENERG10C--ctn Mid-C_042010 2010GRC 2" xfId="5481"/>
    <cellStyle name="_DEM-WP(C) Costs not in AURORA 2006GRC_Chelan PUD Power Costs (8-10)" xfId="5482"/>
    <cellStyle name="_DEM-WP(C) Costs not in AURORA 2006GRC_Chelan PUD Power Costs (8-10) 2" xfId="5483"/>
    <cellStyle name="_DEM-WP(C) Costs not in AURORA 2006GRC_DEM-WP(C) Chelan Power Costs" xfId="5484"/>
    <cellStyle name="_DEM-WP(C) Costs not in AURORA 2006GRC_DEM-WP(C) Chelan Power Costs 2" xfId="5485"/>
    <cellStyle name="_DEM-WP(C) Costs not in AURORA 2006GRC_DEM-WP(C) ENERG10C--ctn Mid-C_042010 2010GRC" xfId="5486"/>
    <cellStyle name="_DEM-WP(C) Costs not in AURORA 2006GRC_DEM-WP(C) ENERG10C--ctn Mid-C_042010 2010GRC 2" xfId="5487"/>
    <cellStyle name="_DEM-WP(C) Costs not in AURORA 2006GRC_DEM-WP(C) Gas Transport 2010GRC" xfId="5488"/>
    <cellStyle name="_DEM-WP(C) Costs not in AURORA 2006GRC_DEM-WP(C) Gas Transport 2010GRC 2" xfId="5489"/>
    <cellStyle name="_DEM-WP(C) Costs not in AURORA 2006GRC_Exh A-1 resulting from UE-112050 effective Jan 1 2012" xfId="5490"/>
    <cellStyle name="_DEM-WP(C) Costs not in AURORA 2006GRC_Exh A-1 resulting from UE-112050 effective Jan 1 2012 2" xfId="5491"/>
    <cellStyle name="_DEM-WP(C) Costs not in AURORA 2006GRC_Exh G - Klamath Peaker PPA fr C Locke 2-12" xfId="5492"/>
    <cellStyle name="_DEM-WP(C) Costs not in AURORA 2006GRC_Exh G - Klamath Peaker PPA fr C Locke 2-12 2" xfId="5493"/>
    <cellStyle name="_DEM-WP(C) Costs not in AURORA 2006GRC_Exhibit A-1 effective 4-1-11 fr S Free 12-11" xfId="5494"/>
    <cellStyle name="_DEM-WP(C) Costs not in AURORA 2006GRC_Exhibit A-1 effective 4-1-11 fr S Free 12-11 2" xfId="5495"/>
    <cellStyle name="_DEM-WP(C) Costs not in AURORA 2006GRC_LSRWEP LGIA like Acctg Petition Aug 2010" xfId="5496"/>
    <cellStyle name="_DEM-WP(C) Costs not in AURORA 2006GRC_LSRWEP LGIA like Acctg Petition Aug 2010 2" xfId="5497"/>
    <cellStyle name="_DEM-WP(C) Costs not in AURORA 2006GRC_Mint Farm Generation BPA" xfId="5498"/>
    <cellStyle name="_DEM-WP(C) Costs not in AURORA 2006GRC_NIM Summary" xfId="5499"/>
    <cellStyle name="_DEM-WP(C) Costs not in AURORA 2006GRC_NIM Summary 09GRC" xfId="5500"/>
    <cellStyle name="_DEM-WP(C) Costs not in AURORA 2006GRC_NIM Summary 09GRC 2" xfId="5501"/>
    <cellStyle name="_DEM-WP(C) Costs not in AURORA 2006GRC_NIM Summary 09GRC 2 2" xfId="5502"/>
    <cellStyle name="_DEM-WP(C) Costs not in AURORA 2006GRC_NIM Summary 09GRC 2 2 2" xfId="5503"/>
    <cellStyle name="_DEM-WP(C) Costs not in AURORA 2006GRC_NIM Summary 09GRC 2 3" xfId="5504"/>
    <cellStyle name="_DEM-WP(C) Costs not in AURORA 2006GRC_NIM Summary 09GRC 3" xfId="5505"/>
    <cellStyle name="_DEM-WP(C) Costs not in AURORA 2006GRC_NIM Summary 09GRC 3 2" xfId="5506"/>
    <cellStyle name="_DEM-WP(C) Costs not in AURORA 2006GRC_NIM Summary 09GRC 4" xfId="5507"/>
    <cellStyle name="_DEM-WP(C) Costs not in AURORA 2006GRC_NIM Summary 09GRC_DEM-WP(C) ENERG10C--ctn Mid-C_042010 2010GRC" xfId="5508"/>
    <cellStyle name="_DEM-WP(C) Costs not in AURORA 2006GRC_NIM Summary 09GRC_DEM-WP(C) ENERG10C--ctn Mid-C_042010 2010GRC 2" xfId="5509"/>
    <cellStyle name="_DEM-WP(C) Costs not in AURORA 2006GRC_NIM Summary 10" xfId="5510"/>
    <cellStyle name="_DEM-WP(C) Costs not in AURORA 2006GRC_NIM Summary 10 2" xfId="5511"/>
    <cellStyle name="_DEM-WP(C) Costs not in AURORA 2006GRC_NIM Summary 11" xfId="5512"/>
    <cellStyle name="_DEM-WP(C) Costs not in AURORA 2006GRC_NIM Summary 11 2" xfId="5513"/>
    <cellStyle name="_DEM-WP(C) Costs not in AURORA 2006GRC_NIM Summary 12" xfId="5514"/>
    <cellStyle name="_DEM-WP(C) Costs not in AURORA 2006GRC_NIM Summary 12 2" xfId="5515"/>
    <cellStyle name="_DEM-WP(C) Costs not in AURORA 2006GRC_NIM Summary 13" xfId="5516"/>
    <cellStyle name="_DEM-WP(C) Costs not in AURORA 2006GRC_NIM Summary 13 2" xfId="5517"/>
    <cellStyle name="_DEM-WP(C) Costs not in AURORA 2006GRC_NIM Summary 14" xfId="5518"/>
    <cellStyle name="_DEM-WP(C) Costs not in AURORA 2006GRC_NIM Summary 14 2" xfId="5519"/>
    <cellStyle name="_DEM-WP(C) Costs not in AURORA 2006GRC_NIM Summary 15" xfId="5520"/>
    <cellStyle name="_DEM-WP(C) Costs not in AURORA 2006GRC_NIM Summary 15 2" xfId="5521"/>
    <cellStyle name="_DEM-WP(C) Costs not in AURORA 2006GRC_NIM Summary 16" xfId="5522"/>
    <cellStyle name="_DEM-WP(C) Costs not in AURORA 2006GRC_NIM Summary 16 2" xfId="5523"/>
    <cellStyle name="_DEM-WP(C) Costs not in AURORA 2006GRC_NIM Summary 17" xfId="5524"/>
    <cellStyle name="_DEM-WP(C) Costs not in AURORA 2006GRC_NIM Summary 17 2" xfId="5525"/>
    <cellStyle name="_DEM-WP(C) Costs not in AURORA 2006GRC_NIM Summary 18" xfId="5526"/>
    <cellStyle name="_DEM-WP(C) Costs not in AURORA 2006GRC_NIM Summary 18 2" xfId="5527"/>
    <cellStyle name="_DEM-WP(C) Costs not in AURORA 2006GRC_NIM Summary 19" xfId="5528"/>
    <cellStyle name="_DEM-WP(C) Costs not in AURORA 2006GRC_NIM Summary 19 2" xfId="5529"/>
    <cellStyle name="_DEM-WP(C) Costs not in AURORA 2006GRC_NIM Summary 2" xfId="5530"/>
    <cellStyle name="_DEM-WP(C) Costs not in AURORA 2006GRC_NIM Summary 2 2" xfId="5531"/>
    <cellStyle name="_DEM-WP(C) Costs not in AURORA 2006GRC_NIM Summary 2 2 2" xfId="5532"/>
    <cellStyle name="_DEM-WP(C) Costs not in AURORA 2006GRC_NIM Summary 2 3" xfId="5533"/>
    <cellStyle name="_DEM-WP(C) Costs not in AURORA 2006GRC_NIM Summary 20" xfId="5534"/>
    <cellStyle name="_DEM-WP(C) Costs not in AURORA 2006GRC_NIM Summary 20 2" xfId="5535"/>
    <cellStyle name="_DEM-WP(C) Costs not in AURORA 2006GRC_NIM Summary 21" xfId="5536"/>
    <cellStyle name="_DEM-WP(C) Costs not in AURORA 2006GRC_NIM Summary 21 2" xfId="5537"/>
    <cellStyle name="_DEM-WP(C) Costs not in AURORA 2006GRC_NIM Summary 22" xfId="5538"/>
    <cellStyle name="_DEM-WP(C) Costs not in AURORA 2006GRC_NIM Summary 22 2" xfId="5539"/>
    <cellStyle name="_DEM-WP(C) Costs not in AURORA 2006GRC_NIM Summary 23" xfId="5540"/>
    <cellStyle name="_DEM-WP(C) Costs not in AURORA 2006GRC_NIM Summary 23 2" xfId="5541"/>
    <cellStyle name="_DEM-WP(C) Costs not in AURORA 2006GRC_NIM Summary 24" xfId="5542"/>
    <cellStyle name="_DEM-WP(C) Costs not in AURORA 2006GRC_NIM Summary 24 2" xfId="5543"/>
    <cellStyle name="_DEM-WP(C) Costs not in AURORA 2006GRC_NIM Summary 25" xfId="5544"/>
    <cellStyle name="_DEM-WP(C) Costs not in AURORA 2006GRC_NIM Summary 25 2" xfId="5545"/>
    <cellStyle name="_DEM-WP(C) Costs not in AURORA 2006GRC_NIM Summary 26" xfId="5546"/>
    <cellStyle name="_DEM-WP(C) Costs not in AURORA 2006GRC_NIM Summary 26 2" xfId="5547"/>
    <cellStyle name="_DEM-WP(C) Costs not in AURORA 2006GRC_NIM Summary 27" xfId="5548"/>
    <cellStyle name="_DEM-WP(C) Costs not in AURORA 2006GRC_NIM Summary 27 2" xfId="5549"/>
    <cellStyle name="_DEM-WP(C) Costs not in AURORA 2006GRC_NIM Summary 28" xfId="5550"/>
    <cellStyle name="_DEM-WP(C) Costs not in AURORA 2006GRC_NIM Summary 28 2" xfId="5551"/>
    <cellStyle name="_DEM-WP(C) Costs not in AURORA 2006GRC_NIM Summary 29" xfId="5552"/>
    <cellStyle name="_DEM-WP(C) Costs not in AURORA 2006GRC_NIM Summary 29 2" xfId="5553"/>
    <cellStyle name="_DEM-WP(C) Costs not in AURORA 2006GRC_NIM Summary 3" xfId="5554"/>
    <cellStyle name="_DEM-WP(C) Costs not in AURORA 2006GRC_NIM Summary 3 2" xfId="5555"/>
    <cellStyle name="_DEM-WP(C) Costs not in AURORA 2006GRC_NIM Summary 30" xfId="5556"/>
    <cellStyle name="_DEM-WP(C) Costs not in AURORA 2006GRC_NIM Summary 30 2" xfId="5557"/>
    <cellStyle name="_DEM-WP(C) Costs not in AURORA 2006GRC_NIM Summary 31" xfId="5558"/>
    <cellStyle name="_DEM-WP(C) Costs not in AURORA 2006GRC_NIM Summary 31 2" xfId="5559"/>
    <cellStyle name="_DEM-WP(C) Costs not in AURORA 2006GRC_NIM Summary 32" xfId="5560"/>
    <cellStyle name="_DEM-WP(C) Costs not in AURORA 2006GRC_NIM Summary 32 2" xfId="5561"/>
    <cellStyle name="_DEM-WP(C) Costs not in AURORA 2006GRC_NIM Summary 33" xfId="5562"/>
    <cellStyle name="_DEM-WP(C) Costs not in AURORA 2006GRC_NIM Summary 33 2" xfId="5563"/>
    <cellStyle name="_DEM-WP(C) Costs not in AURORA 2006GRC_NIM Summary 34" xfId="5564"/>
    <cellStyle name="_DEM-WP(C) Costs not in AURORA 2006GRC_NIM Summary 34 2" xfId="5565"/>
    <cellStyle name="_DEM-WP(C) Costs not in AURORA 2006GRC_NIM Summary 35" xfId="5566"/>
    <cellStyle name="_DEM-WP(C) Costs not in AURORA 2006GRC_NIM Summary 35 2" xfId="5567"/>
    <cellStyle name="_DEM-WP(C) Costs not in AURORA 2006GRC_NIM Summary 36" xfId="5568"/>
    <cellStyle name="_DEM-WP(C) Costs not in AURORA 2006GRC_NIM Summary 36 2" xfId="5569"/>
    <cellStyle name="_DEM-WP(C) Costs not in AURORA 2006GRC_NIM Summary 37" xfId="5570"/>
    <cellStyle name="_DEM-WP(C) Costs not in AURORA 2006GRC_NIM Summary 37 2" xfId="5571"/>
    <cellStyle name="_DEM-WP(C) Costs not in AURORA 2006GRC_NIM Summary 38" xfId="5572"/>
    <cellStyle name="_DEM-WP(C) Costs not in AURORA 2006GRC_NIM Summary 38 2" xfId="5573"/>
    <cellStyle name="_DEM-WP(C) Costs not in AURORA 2006GRC_NIM Summary 39" xfId="5574"/>
    <cellStyle name="_DEM-WP(C) Costs not in AURORA 2006GRC_NIM Summary 39 2" xfId="5575"/>
    <cellStyle name="_DEM-WP(C) Costs not in AURORA 2006GRC_NIM Summary 4" xfId="5576"/>
    <cellStyle name="_DEM-WP(C) Costs not in AURORA 2006GRC_NIM Summary 4 2" xfId="5577"/>
    <cellStyle name="_DEM-WP(C) Costs not in AURORA 2006GRC_NIM Summary 40" xfId="5578"/>
    <cellStyle name="_DEM-WP(C) Costs not in AURORA 2006GRC_NIM Summary 40 2" xfId="5579"/>
    <cellStyle name="_DEM-WP(C) Costs not in AURORA 2006GRC_NIM Summary 41" xfId="5580"/>
    <cellStyle name="_DEM-WP(C) Costs not in AURORA 2006GRC_NIM Summary 41 2" xfId="5581"/>
    <cellStyle name="_DEM-WP(C) Costs not in AURORA 2006GRC_NIM Summary 42" xfId="5582"/>
    <cellStyle name="_DEM-WP(C) Costs not in AURORA 2006GRC_NIM Summary 42 2" xfId="5583"/>
    <cellStyle name="_DEM-WP(C) Costs not in AURORA 2006GRC_NIM Summary 43" xfId="5584"/>
    <cellStyle name="_DEM-WP(C) Costs not in AURORA 2006GRC_NIM Summary 43 2" xfId="5585"/>
    <cellStyle name="_DEM-WP(C) Costs not in AURORA 2006GRC_NIM Summary 44" xfId="5586"/>
    <cellStyle name="_DEM-WP(C) Costs not in AURORA 2006GRC_NIM Summary 44 2" xfId="5587"/>
    <cellStyle name="_DEM-WP(C) Costs not in AURORA 2006GRC_NIM Summary 45" xfId="5588"/>
    <cellStyle name="_DEM-WP(C) Costs not in AURORA 2006GRC_NIM Summary 45 2" xfId="5589"/>
    <cellStyle name="_DEM-WP(C) Costs not in AURORA 2006GRC_NIM Summary 46" xfId="5590"/>
    <cellStyle name="_DEM-WP(C) Costs not in AURORA 2006GRC_NIM Summary 46 2" xfId="5591"/>
    <cellStyle name="_DEM-WP(C) Costs not in AURORA 2006GRC_NIM Summary 47" xfId="5592"/>
    <cellStyle name="_DEM-WP(C) Costs not in AURORA 2006GRC_NIM Summary 47 2" xfId="5593"/>
    <cellStyle name="_DEM-WP(C) Costs not in AURORA 2006GRC_NIM Summary 48" xfId="5594"/>
    <cellStyle name="_DEM-WP(C) Costs not in AURORA 2006GRC_NIM Summary 49" xfId="5595"/>
    <cellStyle name="_DEM-WP(C) Costs not in AURORA 2006GRC_NIM Summary 5" xfId="5596"/>
    <cellStyle name="_DEM-WP(C) Costs not in AURORA 2006GRC_NIM Summary 5 2" xfId="5597"/>
    <cellStyle name="_DEM-WP(C) Costs not in AURORA 2006GRC_NIM Summary 50" xfId="5598"/>
    <cellStyle name="_DEM-WP(C) Costs not in AURORA 2006GRC_NIM Summary 51" xfId="5599"/>
    <cellStyle name="_DEM-WP(C) Costs not in AURORA 2006GRC_NIM Summary 52" xfId="5600"/>
    <cellStyle name="_DEM-WP(C) Costs not in AURORA 2006GRC_NIM Summary 6" xfId="5601"/>
    <cellStyle name="_DEM-WP(C) Costs not in AURORA 2006GRC_NIM Summary 6 2" xfId="5602"/>
    <cellStyle name="_DEM-WP(C) Costs not in AURORA 2006GRC_NIM Summary 7" xfId="5603"/>
    <cellStyle name="_DEM-WP(C) Costs not in AURORA 2006GRC_NIM Summary 7 2" xfId="5604"/>
    <cellStyle name="_DEM-WP(C) Costs not in AURORA 2006GRC_NIM Summary 8" xfId="5605"/>
    <cellStyle name="_DEM-WP(C) Costs not in AURORA 2006GRC_NIM Summary 8 2" xfId="5606"/>
    <cellStyle name="_DEM-WP(C) Costs not in AURORA 2006GRC_NIM Summary 9" xfId="5607"/>
    <cellStyle name="_DEM-WP(C) Costs not in AURORA 2006GRC_NIM Summary 9 2" xfId="5608"/>
    <cellStyle name="_DEM-WP(C) Costs not in AURORA 2006GRC_NIM Summary_DEM-WP(C) ENERG10C--ctn Mid-C_042010 2010GRC" xfId="5609"/>
    <cellStyle name="_DEM-WP(C) Costs not in AURORA 2006GRC_NIM Summary_DEM-WP(C) ENERG10C--ctn Mid-C_042010 2010GRC 2" xfId="5610"/>
    <cellStyle name="_DEM-WP(C) Costs not in AURORA 2006GRC_PCA 10 -  Exhibit D Dec 2011" xfId="5611"/>
    <cellStyle name="_DEM-WP(C) Costs not in AURORA 2006GRC_PCA 10 -  Exhibit D Dec 2011 2" xfId="5612"/>
    <cellStyle name="_DEM-WP(C) Costs not in AURORA 2006GRC_PCA 10 -  Exhibit D from A Kellogg Jan 2011" xfId="5613"/>
    <cellStyle name="_DEM-WP(C) Costs not in AURORA 2006GRC_PCA 10 -  Exhibit D from A Kellogg Jan 2011 2" xfId="5614"/>
    <cellStyle name="_DEM-WP(C) Costs not in AURORA 2006GRC_PCA 10 -  Exhibit D from A Kellogg July 2011" xfId="5615"/>
    <cellStyle name="_DEM-WP(C) Costs not in AURORA 2006GRC_PCA 10 -  Exhibit D from A Kellogg July 2011 2" xfId="5616"/>
    <cellStyle name="_DEM-WP(C) Costs not in AURORA 2006GRC_PCA 10 -  Exhibit D from S Free Rcv'd 12-11" xfId="5617"/>
    <cellStyle name="_DEM-WP(C) Costs not in AURORA 2006GRC_PCA 10 -  Exhibit D from S Free Rcv'd 12-11 2" xfId="5618"/>
    <cellStyle name="_DEM-WP(C) Costs not in AURORA 2006GRC_PCA 11 -  Exhibit D Jan 2012 fr A Kellogg" xfId="5619"/>
    <cellStyle name="_DEM-WP(C) Costs not in AURORA 2006GRC_PCA 11 -  Exhibit D Jan 2012 fr A Kellogg 2" xfId="5620"/>
    <cellStyle name="_DEM-WP(C) Costs not in AURORA 2006GRC_PCA 11 -  Exhibit D Jan 2012 WF" xfId="5621"/>
    <cellStyle name="_DEM-WP(C) Costs not in AURORA 2006GRC_PCA 11 -  Exhibit D Jan 2012 WF 2" xfId="5622"/>
    <cellStyle name="_DEM-WP(C) Costs not in AURORA 2006GRC_PCA 9 -  Exhibit D April 2010" xfId="5623"/>
    <cellStyle name="_DEM-WP(C) Costs not in AURORA 2006GRC_PCA 9 -  Exhibit D April 2010 (3)" xfId="5624"/>
    <cellStyle name="_DEM-WP(C) Costs not in AURORA 2006GRC_PCA 9 -  Exhibit D April 2010 (3) 2" xfId="5625"/>
    <cellStyle name="_DEM-WP(C) Costs not in AURORA 2006GRC_PCA 9 -  Exhibit D April 2010 (3) 2 2" xfId="5626"/>
    <cellStyle name="_DEM-WP(C) Costs not in AURORA 2006GRC_PCA 9 -  Exhibit D April 2010 (3) 2 2 2" xfId="5627"/>
    <cellStyle name="_DEM-WP(C) Costs not in AURORA 2006GRC_PCA 9 -  Exhibit D April 2010 (3) 2 3" xfId="5628"/>
    <cellStyle name="_DEM-WP(C) Costs not in AURORA 2006GRC_PCA 9 -  Exhibit D April 2010 (3) 3" xfId="5629"/>
    <cellStyle name="_DEM-WP(C) Costs not in AURORA 2006GRC_PCA 9 -  Exhibit D April 2010 (3) 3 2" xfId="5630"/>
    <cellStyle name="_DEM-WP(C) Costs not in AURORA 2006GRC_PCA 9 -  Exhibit D April 2010 (3) 4" xfId="5631"/>
    <cellStyle name="_DEM-WP(C) Costs not in AURORA 2006GRC_PCA 9 -  Exhibit D April 2010 (3)_DEM-WP(C) ENERG10C--ctn Mid-C_042010 2010GRC" xfId="5632"/>
    <cellStyle name="_DEM-WP(C) Costs not in AURORA 2006GRC_PCA 9 -  Exhibit D April 2010 (3)_DEM-WP(C) ENERG10C--ctn Mid-C_042010 2010GRC 2" xfId="5633"/>
    <cellStyle name="_DEM-WP(C) Costs not in AURORA 2006GRC_PCA 9 -  Exhibit D April 2010 2" xfId="5634"/>
    <cellStyle name="_DEM-WP(C) Costs not in AURORA 2006GRC_PCA 9 -  Exhibit D April 2010 2 2" xfId="5635"/>
    <cellStyle name="_DEM-WP(C) Costs not in AURORA 2006GRC_PCA 9 -  Exhibit D April 2010 3" xfId="5636"/>
    <cellStyle name="_DEM-WP(C) Costs not in AURORA 2006GRC_PCA 9 -  Exhibit D April 2010 3 2" xfId="5637"/>
    <cellStyle name="_DEM-WP(C) Costs not in AURORA 2006GRC_PCA 9 -  Exhibit D April 2010 4" xfId="5638"/>
    <cellStyle name="_DEM-WP(C) Costs not in AURORA 2006GRC_PCA 9 -  Exhibit D April 2010 4 2" xfId="5639"/>
    <cellStyle name="_DEM-WP(C) Costs not in AURORA 2006GRC_PCA 9 -  Exhibit D April 2010 5" xfId="5640"/>
    <cellStyle name="_DEM-WP(C) Costs not in AURORA 2006GRC_PCA 9 -  Exhibit D April 2010 5 2" xfId="5641"/>
    <cellStyle name="_DEM-WP(C) Costs not in AURORA 2006GRC_PCA 9 -  Exhibit D April 2010 6" xfId="5642"/>
    <cellStyle name="_DEM-WP(C) Costs not in AURORA 2006GRC_PCA 9 -  Exhibit D April 2010 6 2" xfId="5643"/>
    <cellStyle name="_DEM-WP(C) Costs not in AURORA 2006GRC_PCA 9 -  Exhibit D April 2010 7" xfId="5644"/>
    <cellStyle name="_DEM-WP(C) Costs not in AURORA 2006GRC_PCA 9 -  Exhibit D Nov 2010" xfId="5645"/>
    <cellStyle name="_DEM-WP(C) Costs not in AURORA 2006GRC_PCA 9 -  Exhibit D Nov 2010 2" xfId="5646"/>
    <cellStyle name="_DEM-WP(C) Costs not in AURORA 2006GRC_PCA 9 -  Exhibit D Nov 2010 2 2" xfId="5647"/>
    <cellStyle name="_DEM-WP(C) Costs not in AURORA 2006GRC_PCA 9 -  Exhibit D Nov 2010 3" xfId="5648"/>
    <cellStyle name="_DEM-WP(C) Costs not in AURORA 2006GRC_PCA 9 - Exhibit D at August 2010" xfId="5649"/>
    <cellStyle name="_DEM-WP(C) Costs not in AURORA 2006GRC_PCA 9 - Exhibit D at August 2010 2" xfId="5650"/>
    <cellStyle name="_DEM-WP(C) Costs not in AURORA 2006GRC_PCA 9 - Exhibit D at August 2010 2 2" xfId="5651"/>
    <cellStyle name="_DEM-WP(C) Costs not in AURORA 2006GRC_PCA 9 - Exhibit D at August 2010 3" xfId="5652"/>
    <cellStyle name="_DEM-WP(C) Costs not in AURORA 2006GRC_PCA 9 - Exhibit D June 2010 GRC" xfId="5653"/>
    <cellStyle name="_DEM-WP(C) Costs not in AURORA 2006GRC_PCA 9 - Exhibit D June 2010 GRC 2" xfId="5654"/>
    <cellStyle name="_DEM-WP(C) Costs not in AURORA 2006GRC_PCA 9 - Exhibit D June 2010 GRC 2 2" xfId="5655"/>
    <cellStyle name="_DEM-WP(C) Costs not in AURORA 2006GRC_PCA 9 - Exhibit D June 2010 GRC 3" xfId="5656"/>
    <cellStyle name="_DEM-WP(C) Costs not in AURORA 2006GRC_Power Costs - Comparison bx Rbtl-Staff-Jt-PC" xfId="5657"/>
    <cellStyle name="_DEM-WP(C) Costs not in AURORA 2006GRC_Power Costs - Comparison bx Rbtl-Staff-Jt-PC 2" xfId="5658"/>
    <cellStyle name="_DEM-WP(C) Costs not in AURORA 2006GRC_Power Costs - Comparison bx Rbtl-Staff-Jt-PC 2 2" xfId="5659"/>
    <cellStyle name="_DEM-WP(C) Costs not in AURORA 2006GRC_Power Costs - Comparison bx Rbtl-Staff-Jt-PC 2 2 2" xfId="5660"/>
    <cellStyle name="_DEM-WP(C) Costs not in AURORA 2006GRC_Power Costs - Comparison bx Rbtl-Staff-Jt-PC 2 3" xfId="5661"/>
    <cellStyle name="_DEM-WP(C) Costs not in AURORA 2006GRC_Power Costs - Comparison bx Rbtl-Staff-Jt-PC 3" xfId="5662"/>
    <cellStyle name="_DEM-WP(C) Costs not in AURORA 2006GRC_Power Costs - Comparison bx Rbtl-Staff-Jt-PC 3 2" xfId="5663"/>
    <cellStyle name="_DEM-WP(C) Costs not in AURORA 2006GRC_Power Costs - Comparison bx Rbtl-Staff-Jt-PC 4" xfId="5664"/>
    <cellStyle name="_DEM-WP(C) Costs not in AURORA 2006GRC_Power Costs - Comparison bx Rbtl-Staff-Jt-PC_Adj Bench DR 3 for Initial Briefs (Electric)" xfId="5665"/>
    <cellStyle name="_DEM-WP(C) Costs not in AURORA 2006GRC_Power Costs - Comparison bx Rbtl-Staff-Jt-PC_Adj Bench DR 3 for Initial Briefs (Electric) 2" xfId="5666"/>
    <cellStyle name="_DEM-WP(C) Costs not in AURORA 2006GRC_Power Costs - Comparison bx Rbtl-Staff-Jt-PC_Adj Bench DR 3 for Initial Briefs (Electric) 2 2" xfId="5667"/>
    <cellStyle name="_DEM-WP(C) Costs not in AURORA 2006GRC_Power Costs - Comparison bx Rbtl-Staff-Jt-PC_Adj Bench DR 3 for Initial Briefs (Electric) 2 2 2" xfId="5668"/>
    <cellStyle name="_DEM-WP(C) Costs not in AURORA 2006GRC_Power Costs - Comparison bx Rbtl-Staff-Jt-PC_Adj Bench DR 3 for Initial Briefs (Electric) 2 3" xfId="5669"/>
    <cellStyle name="_DEM-WP(C) Costs not in AURORA 2006GRC_Power Costs - Comparison bx Rbtl-Staff-Jt-PC_Adj Bench DR 3 for Initial Briefs (Electric) 3" xfId="5670"/>
    <cellStyle name="_DEM-WP(C) Costs not in AURORA 2006GRC_Power Costs - Comparison bx Rbtl-Staff-Jt-PC_Adj Bench DR 3 for Initial Briefs (Electric) 3 2" xfId="5671"/>
    <cellStyle name="_DEM-WP(C) Costs not in AURORA 2006GRC_Power Costs - Comparison bx Rbtl-Staff-Jt-PC_Adj Bench DR 3 for Initial Briefs (Electric) 4" xfId="5672"/>
    <cellStyle name="_DEM-WP(C) Costs not in AURORA 2006GRC_Power Costs - Comparison bx Rbtl-Staff-Jt-PC_Adj Bench DR 3 for Initial Briefs (Electric)_DEM-WP(C) ENERG10C--ctn Mid-C_042010 2010GRC" xfId="5673"/>
    <cellStyle name="_DEM-WP(C) Costs not in AURORA 2006GRC_Power Costs - Comparison bx Rbtl-Staff-Jt-PC_Adj Bench DR 3 for Initial Briefs (Electric)_DEM-WP(C) ENERG10C--ctn Mid-C_042010 2010GRC 2" xfId="5674"/>
    <cellStyle name="_DEM-WP(C) Costs not in AURORA 2006GRC_Power Costs - Comparison bx Rbtl-Staff-Jt-PC_DEM-WP(C) ENERG10C--ctn Mid-C_042010 2010GRC" xfId="5675"/>
    <cellStyle name="_DEM-WP(C) Costs not in AURORA 2006GRC_Power Costs - Comparison bx Rbtl-Staff-Jt-PC_DEM-WP(C) ENERG10C--ctn Mid-C_042010 2010GRC 2" xfId="5676"/>
    <cellStyle name="_DEM-WP(C) Costs not in AURORA 2006GRC_Power Costs - Comparison bx Rbtl-Staff-Jt-PC_Electric Rev Req Model (2009 GRC) Rebuttal" xfId="5677"/>
    <cellStyle name="_DEM-WP(C) Costs not in AURORA 2006GRC_Power Costs - Comparison bx Rbtl-Staff-Jt-PC_Electric Rev Req Model (2009 GRC) Rebuttal 2" xfId="5678"/>
    <cellStyle name="_DEM-WP(C) Costs not in AURORA 2006GRC_Power Costs - Comparison bx Rbtl-Staff-Jt-PC_Electric Rev Req Model (2009 GRC) Rebuttal 2 2" xfId="5679"/>
    <cellStyle name="_DEM-WP(C) Costs not in AURORA 2006GRC_Power Costs - Comparison bx Rbtl-Staff-Jt-PC_Electric Rev Req Model (2009 GRC) Rebuttal 3" xfId="5680"/>
    <cellStyle name="_DEM-WP(C) Costs not in AURORA 2006GRC_Power Costs - Comparison bx Rbtl-Staff-Jt-PC_Electric Rev Req Model (2009 GRC) Rebuttal REmoval of New  WH Solar AdjustMI" xfId="5681"/>
    <cellStyle name="_DEM-WP(C) Costs not in AURORA 2006GRC_Power Costs - Comparison bx Rbtl-Staff-Jt-PC_Electric Rev Req Model (2009 GRC) Rebuttal REmoval of New  WH Solar AdjustMI 2" xfId="5682"/>
    <cellStyle name="_DEM-WP(C) Costs not in AURORA 2006GRC_Power Costs - Comparison bx Rbtl-Staff-Jt-PC_Electric Rev Req Model (2009 GRC) Rebuttal REmoval of New  WH Solar AdjustMI 2 2" xfId="5683"/>
    <cellStyle name="_DEM-WP(C) Costs not in AURORA 2006GRC_Power Costs - Comparison bx Rbtl-Staff-Jt-PC_Electric Rev Req Model (2009 GRC) Rebuttal REmoval of New  WH Solar AdjustMI 2 2 2" xfId="5684"/>
    <cellStyle name="_DEM-WP(C) Costs not in AURORA 2006GRC_Power Costs - Comparison bx Rbtl-Staff-Jt-PC_Electric Rev Req Model (2009 GRC) Rebuttal REmoval of New  WH Solar AdjustMI 2 3" xfId="5685"/>
    <cellStyle name="_DEM-WP(C) Costs not in AURORA 2006GRC_Power Costs - Comparison bx Rbtl-Staff-Jt-PC_Electric Rev Req Model (2009 GRC) Rebuttal REmoval of New  WH Solar AdjustMI 3" xfId="5686"/>
    <cellStyle name="_DEM-WP(C) Costs not in AURORA 2006GRC_Power Costs - Comparison bx Rbtl-Staff-Jt-PC_Electric Rev Req Model (2009 GRC) Rebuttal REmoval of New  WH Solar AdjustMI 3 2" xfId="5687"/>
    <cellStyle name="_DEM-WP(C) Costs not in AURORA 2006GRC_Power Costs - Comparison bx Rbtl-Staff-Jt-PC_Electric Rev Req Model (2009 GRC) Rebuttal REmoval of New  WH Solar AdjustMI 4" xfId="5688"/>
    <cellStyle name="_DEM-WP(C) Costs not in AURORA 2006GRC_Power Costs - Comparison bx Rbtl-Staff-Jt-PC_Electric Rev Req Model (2009 GRC) Rebuttal REmoval of New  WH Solar AdjustMI_DEM-WP(C) ENERG10C--ctn Mid-C_042010 2010GRC" xfId="5689"/>
    <cellStyle name="_DEM-WP(C) Costs not in AURORA 2006GRC_Power Costs - Comparison bx Rbtl-Staff-Jt-PC_Electric Rev Req Model (2009 GRC) Rebuttal REmoval of New  WH Solar AdjustMI_DEM-WP(C) ENERG10C--ctn Mid-C_042010 2010GRC 2" xfId="5690"/>
    <cellStyle name="_DEM-WP(C) Costs not in AURORA 2006GRC_Power Costs - Comparison bx Rbtl-Staff-Jt-PC_Electric Rev Req Model (2009 GRC) Revised 01-18-2010" xfId="5691"/>
    <cellStyle name="_DEM-WP(C) Costs not in AURORA 2006GRC_Power Costs - Comparison bx Rbtl-Staff-Jt-PC_Electric Rev Req Model (2009 GRC) Revised 01-18-2010 2" xfId="5692"/>
    <cellStyle name="_DEM-WP(C) Costs not in AURORA 2006GRC_Power Costs - Comparison bx Rbtl-Staff-Jt-PC_Electric Rev Req Model (2009 GRC) Revised 01-18-2010 2 2" xfId="5693"/>
    <cellStyle name="_DEM-WP(C) Costs not in AURORA 2006GRC_Power Costs - Comparison bx Rbtl-Staff-Jt-PC_Electric Rev Req Model (2009 GRC) Revised 01-18-2010 2 2 2" xfId="5694"/>
    <cellStyle name="_DEM-WP(C) Costs not in AURORA 2006GRC_Power Costs - Comparison bx Rbtl-Staff-Jt-PC_Electric Rev Req Model (2009 GRC) Revised 01-18-2010 2 3" xfId="5695"/>
    <cellStyle name="_DEM-WP(C) Costs not in AURORA 2006GRC_Power Costs - Comparison bx Rbtl-Staff-Jt-PC_Electric Rev Req Model (2009 GRC) Revised 01-18-2010 3" xfId="5696"/>
    <cellStyle name="_DEM-WP(C) Costs not in AURORA 2006GRC_Power Costs - Comparison bx Rbtl-Staff-Jt-PC_Electric Rev Req Model (2009 GRC) Revised 01-18-2010 3 2" xfId="5697"/>
    <cellStyle name="_DEM-WP(C) Costs not in AURORA 2006GRC_Power Costs - Comparison bx Rbtl-Staff-Jt-PC_Electric Rev Req Model (2009 GRC) Revised 01-18-2010 4" xfId="5698"/>
    <cellStyle name="_DEM-WP(C) Costs not in AURORA 2006GRC_Power Costs - Comparison bx Rbtl-Staff-Jt-PC_Electric Rev Req Model (2009 GRC) Revised 01-18-2010_DEM-WP(C) ENERG10C--ctn Mid-C_042010 2010GRC" xfId="5699"/>
    <cellStyle name="_DEM-WP(C) Costs not in AURORA 2006GRC_Power Costs - Comparison bx Rbtl-Staff-Jt-PC_Electric Rev Req Model (2009 GRC) Revised 01-18-2010_DEM-WP(C) ENERG10C--ctn Mid-C_042010 2010GRC 2" xfId="5700"/>
    <cellStyle name="_DEM-WP(C) Costs not in AURORA 2006GRC_Power Costs - Comparison bx Rbtl-Staff-Jt-PC_Final Order Electric EXHIBIT A-1" xfId="5701"/>
    <cellStyle name="_DEM-WP(C) Costs not in AURORA 2006GRC_Power Costs - Comparison bx Rbtl-Staff-Jt-PC_Final Order Electric EXHIBIT A-1 2" xfId="5702"/>
    <cellStyle name="_DEM-WP(C) Costs not in AURORA 2006GRC_Power Costs - Comparison bx Rbtl-Staff-Jt-PC_Final Order Electric EXHIBIT A-1 2 2" xfId="5703"/>
    <cellStyle name="_DEM-WP(C) Costs not in AURORA 2006GRC_Power Costs - Comparison bx Rbtl-Staff-Jt-PC_Final Order Electric EXHIBIT A-1 3" xfId="5704"/>
    <cellStyle name="_DEM-WP(C) Costs not in AURORA 2006GRC_Production Adj 4.37" xfId="21267"/>
    <cellStyle name="_DEM-WP(C) Costs not in AURORA 2006GRC_Purchased Power Adj 4.03" xfId="21268"/>
    <cellStyle name="_DEM-WP(C) Costs not in AURORA 2006GRC_Rebuttal Power Costs" xfId="5705"/>
    <cellStyle name="_DEM-WP(C) Costs not in AURORA 2006GRC_Rebuttal Power Costs 2" xfId="5706"/>
    <cellStyle name="_DEM-WP(C) Costs not in AURORA 2006GRC_Rebuttal Power Costs 2 2" xfId="5707"/>
    <cellStyle name="_DEM-WP(C) Costs not in AURORA 2006GRC_Rebuttal Power Costs 2 2 2" xfId="5708"/>
    <cellStyle name="_DEM-WP(C) Costs not in AURORA 2006GRC_Rebuttal Power Costs 2 3" xfId="5709"/>
    <cellStyle name="_DEM-WP(C) Costs not in AURORA 2006GRC_Rebuttal Power Costs 3" xfId="5710"/>
    <cellStyle name="_DEM-WP(C) Costs not in AURORA 2006GRC_Rebuttal Power Costs 3 2" xfId="5711"/>
    <cellStyle name="_DEM-WP(C) Costs not in AURORA 2006GRC_Rebuttal Power Costs 4" xfId="5712"/>
    <cellStyle name="_DEM-WP(C) Costs not in AURORA 2006GRC_Rebuttal Power Costs_Adj Bench DR 3 for Initial Briefs (Electric)" xfId="5713"/>
    <cellStyle name="_DEM-WP(C) Costs not in AURORA 2006GRC_Rebuttal Power Costs_Adj Bench DR 3 for Initial Briefs (Electric) 2" xfId="5714"/>
    <cellStyle name="_DEM-WP(C) Costs not in AURORA 2006GRC_Rebuttal Power Costs_Adj Bench DR 3 for Initial Briefs (Electric) 2 2" xfId="5715"/>
    <cellStyle name="_DEM-WP(C) Costs not in AURORA 2006GRC_Rebuttal Power Costs_Adj Bench DR 3 for Initial Briefs (Electric) 2 2 2" xfId="5716"/>
    <cellStyle name="_DEM-WP(C) Costs not in AURORA 2006GRC_Rebuttal Power Costs_Adj Bench DR 3 for Initial Briefs (Electric) 2 3" xfId="5717"/>
    <cellStyle name="_DEM-WP(C) Costs not in AURORA 2006GRC_Rebuttal Power Costs_Adj Bench DR 3 for Initial Briefs (Electric) 3" xfId="5718"/>
    <cellStyle name="_DEM-WP(C) Costs not in AURORA 2006GRC_Rebuttal Power Costs_Adj Bench DR 3 for Initial Briefs (Electric) 3 2" xfId="5719"/>
    <cellStyle name="_DEM-WP(C) Costs not in AURORA 2006GRC_Rebuttal Power Costs_Adj Bench DR 3 for Initial Briefs (Electric) 4" xfId="5720"/>
    <cellStyle name="_DEM-WP(C) Costs not in AURORA 2006GRC_Rebuttal Power Costs_Adj Bench DR 3 for Initial Briefs (Electric)_DEM-WP(C) ENERG10C--ctn Mid-C_042010 2010GRC" xfId="5721"/>
    <cellStyle name="_DEM-WP(C) Costs not in AURORA 2006GRC_Rebuttal Power Costs_Adj Bench DR 3 for Initial Briefs (Electric)_DEM-WP(C) ENERG10C--ctn Mid-C_042010 2010GRC 2" xfId="5722"/>
    <cellStyle name="_DEM-WP(C) Costs not in AURORA 2006GRC_Rebuttal Power Costs_DEM-WP(C) ENERG10C--ctn Mid-C_042010 2010GRC" xfId="5723"/>
    <cellStyle name="_DEM-WP(C) Costs not in AURORA 2006GRC_Rebuttal Power Costs_DEM-WP(C) ENERG10C--ctn Mid-C_042010 2010GRC 2" xfId="5724"/>
    <cellStyle name="_DEM-WP(C) Costs not in AURORA 2006GRC_Rebuttal Power Costs_Electric Rev Req Model (2009 GRC) Rebuttal" xfId="5725"/>
    <cellStyle name="_DEM-WP(C) Costs not in AURORA 2006GRC_Rebuttal Power Costs_Electric Rev Req Model (2009 GRC) Rebuttal 2" xfId="5726"/>
    <cellStyle name="_DEM-WP(C) Costs not in AURORA 2006GRC_Rebuttal Power Costs_Electric Rev Req Model (2009 GRC) Rebuttal 2 2" xfId="5727"/>
    <cellStyle name="_DEM-WP(C) Costs not in AURORA 2006GRC_Rebuttal Power Costs_Electric Rev Req Model (2009 GRC) Rebuttal 3" xfId="5728"/>
    <cellStyle name="_DEM-WP(C) Costs not in AURORA 2006GRC_Rebuttal Power Costs_Electric Rev Req Model (2009 GRC) Rebuttal REmoval of New  WH Solar AdjustMI" xfId="5729"/>
    <cellStyle name="_DEM-WP(C) Costs not in AURORA 2006GRC_Rebuttal Power Costs_Electric Rev Req Model (2009 GRC) Rebuttal REmoval of New  WH Solar AdjustMI 2" xfId="5730"/>
    <cellStyle name="_DEM-WP(C) Costs not in AURORA 2006GRC_Rebuttal Power Costs_Electric Rev Req Model (2009 GRC) Rebuttal REmoval of New  WH Solar AdjustMI 2 2" xfId="5731"/>
    <cellStyle name="_DEM-WP(C) Costs not in AURORA 2006GRC_Rebuttal Power Costs_Electric Rev Req Model (2009 GRC) Rebuttal REmoval of New  WH Solar AdjustMI 2 2 2" xfId="5732"/>
    <cellStyle name="_DEM-WP(C) Costs not in AURORA 2006GRC_Rebuttal Power Costs_Electric Rev Req Model (2009 GRC) Rebuttal REmoval of New  WH Solar AdjustMI 2 3" xfId="5733"/>
    <cellStyle name="_DEM-WP(C) Costs not in AURORA 2006GRC_Rebuttal Power Costs_Electric Rev Req Model (2009 GRC) Rebuttal REmoval of New  WH Solar AdjustMI 3" xfId="5734"/>
    <cellStyle name="_DEM-WP(C) Costs not in AURORA 2006GRC_Rebuttal Power Costs_Electric Rev Req Model (2009 GRC) Rebuttal REmoval of New  WH Solar AdjustMI 3 2" xfId="5735"/>
    <cellStyle name="_DEM-WP(C) Costs not in AURORA 2006GRC_Rebuttal Power Costs_Electric Rev Req Model (2009 GRC) Rebuttal REmoval of New  WH Solar AdjustMI 4" xfId="5736"/>
    <cellStyle name="_DEM-WP(C) Costs not in AURORA 2006GRC_Rebuttal Power Costs_Electric Rev Req Model (2009 GRC) Rebuttal REmoval of New  WH Solar AdjustMI_DEM-WP(C) ENERG10C--ctn Mid-C_042010 2010GRC" xfId="5737"/>
    <cellStyle name="_DEM-WP(C) Costs not in AURORA 2006GRC_Rebuttal Power Costs_Electric Rev Req Model (2009 GRC) Rebuttal REmoval of New  WH Solar AdjustMI_DEM-WP(C) ENERG10C--ctn Mid-C_042010 2010GRC 2" xfId="5738"/>
    <cellStyle name="_DEM-WP(C) Costs not in AURORA 2006GRC_Rebuttal Power Costs_Electric Rev Req Model (2009 GRC) Revised 01-18-2010" xfId="5739"/>
    <cellStyle name="_DEM-WP(C) Costs not in AURORA 2006GRC_Rebuttal Power Costs_Electric Rev Req Model (2009 GRC) Revised 01-18-2010 2" xfId="5740"/>
    <cellStyle name="_DEM-WP(C) Costs not in AURORA 2006GRC_Rebuttal Power Costs_Electric Rev Req Model (2009 GRC) Revised 01-18-2010 2 2" xfId="5741"/>
    <cellStyle name="_DEM-WP(C) Costs not in AURORA 2006GRC_Rebuttal Power Costs_Electric Rev Req Model (2009 GRC) Revised 01-18-2010 2 2 2" xfId="5742"/>
    <cellStyle name="_DEM-WP(C) Costs not in AURORA 2006GRC_Rebuttal Power Costs_Electric Rev Req Model (2009 GRC) Revised 01-18-2010 2 3" xfId="5743"/>
    <cellStyle name="_DEM-WP(C) Costs not in AURORA 2006GRC_Rebuttal Power Costs_Electric Rev Req Model (2009 GRC) Revised 01-18-2010 3" xfId="5744"/>
    <cellStyle name="_DEM-WP(C) Costs not in AURORA 2006GRC_Rebuttal Power Costs_Electric Rev Req Model (2009 GRC) Revised 01-18-2010 3 2" xfId="5745"/>
    <cellStyle name="_DEM-WP(C) Costs not in AURORA 2006GRC_Rebuttal Power Costs_Electric Rev Req Model (2009 GRC) Revised 01-18-2010 4" xfId="5746"/>
    <cellStyle name="_DEM-WP(C) Costs not in AURORA 2006GRC_Rebuttal Power Costs_Electric Rev Req Model (2009 GRC) Revised 01-18-2010_DEM-WP(C) ENERG10C--ctn Mid-C_042010 2010GRC" xfId="5747"/>
    <cellStyle name="_DEM-WP(C) Costs not in AURORA 2006GRC_Rebuttal Power Costs_Electric Rev Req Model (2009 GRC) Revised 01-18-2010_DEM-WP(C) ENERG10C--ctn Mid-C_042010 2010GRC 2" xfId="5748"/>
    <cellStyle name="_DEM-WP(C) Costs not in AURORA 2006GRC_Rebuttal Power Costs_Final Order Electric EXHIBIT A-1" xfId="5749"/>
    <cellStyle name="_DEM-WP(C) Costs not in AURORA 2006GRC_Rebuttal Power Costs_Final Order Electric EXHIBIT A-1 2" xfId="5750"/>
    <cellStyle name="_DEM-WP(C) Costs not in AURORA 2006GRC_Rebuttal Power Costs_Final Order Electric EXHIBIT A-1 2 2" xfId="5751"/>
    <cellStyle name="_DEM-WP(C) Costs not in AURORA 2006GRC_Rebuttal Power Costs_Final Order Electric EXHIBIT A-1 3" xfId="5752"/>
    <cellStyle name="_DEM-WP(C) Costs not in AURORA 2006GRC_ROR 5.02" xfId="21269"/>
    <cellStyle name="_DEM-WP(C) Costs not in AURORA 2006GRC_Transmission Workbook for May BOD" xfId="5753"/>
    <cellStyle name="_DEM-WP(C) Costs not in AURORA 2006GRC_Transmission Workbook for May BOD 2" xfId="5754"/>
    <cellStyle name="_DEM-WP(C) Costs not in AURORA 2006GRC_Transmission Workbook for May BOD 2 2" xfId="5755"/>
    <cellStyle name="_DEM-WP(C) Costs not in AURORA 2006GRC_Transmission Workbook for May BOD 2 2 2" xfId="5756"/>
    <cellStyle name="_DEM-WP(C) Costs not in AURORA 2006GRC_Transmission Workbook for May BOD 2 3" xfId="5757"/>
    <cellStyle name="_DEM-WP(C) Costs not in AURORA 2006GRC_Transmission Workbook for May BOD 3" xfId="5758"/>
    <cellStyle name="_DEM-WP(C) Costs not in AURORA 2006GRC_Transmission Workbook for May BOD 3 2" xfId="5759"/>
    <cellStyle name="_DEM-WP(C) Costs not in AURORA 2006GRC_Transmission Workbook for May BOD 4" xfId="5760"/>
    <cellStyle name="_DEM-WP(C) Costs not in AURORA 2006GRC_Transmission Workbook for May BOD_DEM-WP(C) ENERG10C--ctn Mid-C_042010 2010GRC" xfId="5761"/>
    <cellStyle name="_DEM-WP(C) Costs not in AURORA 2006GRC_Transmission Workbook for May BOD_DEM-WP(C) ENERG10C--ctn Mid-C_042010 2010GRC 2" xfId="5762"/>
    <cellStyle name="_DEM-WP(C) Costs not in AURORA 2006GRC_Wind Integration 10GRC" xfId="5763"/>
    <cellStyle name="_DEM-WP(C) Costs not in AURORA 2006GRC_Wind Integration 10GRC 2" xfId="5764"/>
    <cellStyle name="_DEM-WP(C) Costs not in AURORA 2006GRC_Wind Integration 10GRC 2 2" xfId="5765"/>
    <cellStyle name="_DEM-WP(C) Costs not in AURORA 2006GRC_Wind Integration 10GRC 2 2 2" xfId="5766"/>
    <cellStyle name="_DEM-WP(C) Costs not in AURORA 2006GRC_Wind Integration 10GRC 2 3" xfId="5767"/>
    <cellStyle name="_DEM-WP(C) Costs not in AURORA 2006GRC_Wind Integration 10GRC 3" xfId="5768"/>
    <cellStyle name="_DEM-WP(C) Costs not in AURORA 2006GRC_Wind Integration 10GRC 3 2" xfId="5769"/>
    <cellStyle name="_DEM-WP(C) Costs not in AURORA 2006GRC_Wind Integration 10GRC 4" xfId="5770"/>
    <cellStyle name="_DEM-WP(C) Costs not in AURORA 2006GRC_Wind Integration 10GRC_DEM-WP(C) ENERG10C--ctn Mid-C_042010 2010GRC" xfId="5771"/>
    <cellStyle name="_DEM-WP(C) Costs not in AURORA 2006GRC_Wind Integration 10GRC_DEM-WP(C) ENERG10C--ctn Mid-C_042010 2010GRC 2" xfId="5772"/>
    <cellStyle name="_DEM-WP(C) Costs not in AURORA 2007GRC" xfId="5773"/>
    <cellStyle name="_DEM-WP(C) Costs not in AURORA 2007GRC 2" xfId="5774"/>
    <cellStyle name="_DEM-WP(C) Costs not in AURORA 2007GRC 2 2" xfId="5775"/>
    <cellStyle name="_DEM-WP(C) Costs not in AURORA 2007GRC 2 2 2" xfId="5776"/>
    <cellStyle name="_DEM-WP(C) Costs not in AURORA 2007GRC 2 3" xfId="5777"/>
    <cellStyle name="_DEM-WP(C) Costs not in AURORA 2007GRC 3" xfId="5778"/>
    <cellStyle name="_DEM-WP(C) Costs not in AURORA 2007GRC 3 2" xfId="5779"/>
    <cellStyle name="_DEM-WP(C) Costs not in AURORA 2007GRC 4" xfId="5780"/>
    <cellStyle name="_DEM-WP(C) Costs not in AURORA 2007GRC Update" xfId="5781"/>
    <cellStyle name="_DEM-WP(C) Costs not in AURORA 2007GRC Update 2" xfId="5782"/>
    <cellStyle name="_DEM-WP(C) Costs not in AURORA 2007GRC Update 2 2" xfId="5783"/>
    <cellStyle name="_DEM-WP(C) Costs not in AURORA 2007GRC Update 2 2 2" xfId="5784"/>
    <cellStyle name="_DEM-WP(C) Costs not in AURORA 2007GRC Update 2 3" xfId="5785"/>
    <cellStyle name="_DEM-WP(C) Costs not in AURORA 2007GRC Update 3" xfId="5786"/>
    <cellStyle name="_DEM-WP(C) Costs not in AURORA 2007GRC Update 3 2" xfId="5787"/>
    <cellStyle name="_DEM-WP(C) Costs not in AURORA 2007GRC Update 4" xfId="5788"/>
    <cellStyle name="_DEM-WP(C) Costs not in AURORA 2007GRC Update_DEM-WP(C) ENERG10C--ctn Mid-C_042010 2010GRC" xfId="5789"/>
    <cellStyle name="_DEM-WP(C) Costs not in AURORA 2007GRC Update_DEM-WP(C) ENERG10C--ctn Mid-C_042010 2010GRC 2" xfId="5790"/>
    <cellStyle name="_DEM-WP(C) Costs not in AURORA 2007GRC Update_NIM Summary" xfId="5791"/>
    <cellStyle name="_DEM-WP(C) Costs not in AURORA 2007GRC Update_NIM Summary 2" xfId="5792"/>
    <cellStyle name="_DEM-WP(C) Costs not in AURORA 2007GRC Update_NIM Summary 2 2" xfId="5793"/>
    <cellStyle name="_DEM-WP(C) Costs not in AURORA 2007GRC Update_NIM Summary 2 2 2" xfId="5794"/>
    <cellStyle name="_DEM-WP(C) Costs not in AURORA 2007GRC Update_NIM Summary 2 3" xfId="5795"/>
    <cellStyle name="_DEM-WP(C) Costs not in AURORA 2007GRC Update_NIM Summary 3" xfId="5796"/>
    <cellStyle name="_DEM-WP(C) Costs not in AURORA 2007GRC Update_NIM Summary 3 2" xfId="5797"/>
    <cellStyle name="_DEM-WP(C) Costs not in AURORA 2007GRC Update_NIM Summary 4" xfId="5798"/>
    <cellStyle name="_DEM-WP(C) Costs not in AURORA 2007GRC Update_NIM Summary_DEM-WP(C) ENERG10C--ctn Mid-C_042010 2010GRC" xfId="5799"/>
    <cellStyle name="_DEM-WP(C) Costs not in AURORA 2007GRC Update_NIM Summary_DEM-WP(C) ENERG10C--ctn Mid-C_042010 2010GRC 2" xfId="5800"/>
    <cellStyle name="_DEM-WP(C) Costs not in AURORA 2007GRC_16.37E Wild Horse Expansion DeferralRevwrkingfile SF" xfId="5801"/>
    <cellStyle name="_DEM-WP(C) Costs not in AURORA 2007GRC_16.37E Wild Horse Expansion DeferralRevwrkingfile SF 2" xfId="5802"/>
    <cellStyle name="_DEM-WP(C) Costs not in AURORA 2007GRC_16.37E Wild Horse Expansion DeferralRevwrkingfile SF 2 2" xfId="5803"/>
    <cellStyle name="_DEM-WP(C) Costs not in AURORA 2007GRC_16.37E Wild Horse Expansion DeferralRevwrkingfile SF 2 2 2" xfId="5804"/>
    <cellStyle name="_DEM-WP(C) Costs not in AURORA 2007GRC_16.37E Wild Horse Expansion DeferralRevwrkingfile SF 2 3" xfId="5805"/>
    <cellStyle name="_DEM-WP(C) Costs not in AURORA 2007GRC_16.37E Wild Horse Expansion DeferralRevwrkingfile SF 3" xfId="5806"/>
    <cellStyle name="_DEM-WP(C) Costs not in AURORA 2007GRC_16.37E Wild Horse Expansion DeferralRevwrkingfile SF 3 2" xfId="5807"/>
    <cellStyle name="_DEM-WP(C) Costs not in AURORA 2007GRC_16.37E Wild Horse Expansion DeferralRevwrkingfile SF 4" xfId="5808"/>
    <cellStyle name="_DEM-WP(C) Costs not in AURORA 2007GRC_16.37E Wild Horse Expansion DeferralRevwrkingfile SF_DEM-WP(C) ENERG10C--ctn Mid-C_042010 2010GRC" xfId="5809"/>
    <cellStyle name="_DEM-WP(C) Costs not in AURORA 2007GRC_16.37E Wild Horse Expansion DeferralRevwrkingfile SF_DEM-WP(C) ENERG10C--ctn Mid-C_042010 2010GRC 2" xfId="5810"/>
    <cellStyle name="_DEM-WP(C) Costs not in AURORA 2007GRC_2009 GRC Compl Filing - Exhibit D" xfId="5811"/>
    <cellStyle name="_DEM-WP(C) Costs not in AURORA 2007GRC_2009 GRC Compl Filing - Exhibit D 2" xfId="5812"/>
    <cellStyle name="_DEM-WP(C) Costs not in AURORA 2007GRC_2009 GRC Compl Filing - Exhibit D 2 2" xfId="5813"/>
    <cellStyle name="_DEM-WP(C) Costs not in AURORA 2007GRC_2009 GRC Compl Filing - Exhibit D 2 2 2" xfId="5814"/>
    <cellStyle name="_DEM-WP(C) Costs not in AURORA 2007GRC_2009 GRC Compl Filing - Exhibit D 2 3" xfId="5815"/>
    <cellStyle name="_DEM-WP(C) Costs not in AURORA 2007GRC_2009 GRC Compl Filing - Exhibit D 3" xfId="5816"/>
    <cellStyle name="_DEM-WP(C) Costs not in AURORA 2007GRC_2009 GRC Compl Filing - Exhibit D 3 2" xfId="5817"/>
    <cellStyle name="_DEM-WP(C) Costs not in AURORA 2007GRC_2009 GRC Compl Filing - Exhibit D 4" xfId="5818"/>
    <cellStyle name="_DEM-WP(C) Costs not in AURORA 2007GRC_2009 GRC Compl Filing - Exhibit D_DEM-WP(C) ENERG10C--ctn Mid-C_042010 2010GRC" xfId="5819"/>
    <cellStyle name="_DEM-WP(C) Costs not in AURORA 2007GRC_2009 GRC Compl Filing - Exhibit D_DEM-WP(C) ENERG10C--ctn Mid-C_042010 2010GRC 2" xfId="5820"/>
    <cellStyle name="_DEM-WP(C) Costs not in AURORA 2007GRC_Adj Bench DR 3 for Initial Briefs (Electric)" xfId="5821"/>
    <cellStyle name="_DEM-WP(C) Costs not in AURORA 2007GRC_Adj Bench DR 3 for Initial Briefs (Electric) 2" xfId="5822"/>
    <cellStyle name="_DEM-WP(C) Costs not in AURORA 2007GRC_Adj Bench DR 3 for Initial Briefs (Electric) 2 2" xfId="5823"/>
    <cellStyle name="_DEM-WP(C) Costs not in AURORA 2007GRC_Adj Bench DR 3 for Initial Briefs (Electric) 2 2 2" xfId="5824"/>
    <cellStyle name="_DEM-WP(C) Costs not in AURORA 2007GRC_Adj Bench DR 3 for Initial Briefs (Electric) 2 3" xfId="5825"/>
    <cellStyle name="_DEM-WP(C) Costs not in AURORA 2007GRC_Adj Bench DR 3 for Initial Briefs (Electric) 3" xfId="5826"/>
    <cellStyle name="_DEM-WP(C) Costs not in AURORA 2007GRC_Adj Bench DR 3 for Initial Briefs (Electric) 3 2" xfId="5827"/>
    <cellStyle name="_DEM-WP(C) Costs not in AURORA 2007GRC_Adj Bench DR 3 for Initial Briefs (Electric) 4" xfId="5828"/>
    <cellStyle name="_DEM-WP(C) Costs not in AURORA 2007GRC_Adj Bench DR 3 for Initial Briefs (Electric)_DEM-WP(C) ENERG10C--ctn Mid-C_042010 2010GRC" xfId="5829"/>
    <cellStyle name="_DEM-WP(C) Costs not in AURORA 2007GRC_Adj Bench DR 3 for Initial Briefs (Electric)_DEM-WP(C) ENERG10C--ctn Mid-C_042010 2010GRC 2" xfId="5830"/>
    <cellStyle name="_DEM-WP(C) Costs not in AURORA 2007GRC_Book1" xfId="5831"/>
    <cellStyle name="_DEM-WP(C) Costs not in AURORA 2007GRC_Book1 2" xfId="5832"/>
    <cellStyle name="_DEM-WP(C) Costs not in AURORA 2007GRC_Book2" xfId="5833"/>
    <cellStyle name="_DEM-WP(C) Costs not in AURORA 2007GRC_Book2 2" xfId="5834"/>
    <cellStyle name="_DEM-WP(C) Costs not in AURORA 2007GRC_Book2 2 2" xfId="5835"/>
    <cellStyle name="_DEM-WP(C) Costs not in AURORA 2007GRC_Book2 2 2 2" xfId="5836"/>
    <cellStyle name="_DEM-WP(C) Costs not in AURORA 2007GRC_Book2 2 3" xfId="5837"/>
    <cellStyle name="_DEM-WP(C) Costs not in AURORA 2007GRC_Book2 3" xfId="5838"/>
    <cellStyle name="_DEM-WP(C) Costs not in AURORA 2007GRC_Book2 3 2" xfId="5839"/>
    <cellStyle name="_DEM-WP(C) Costs not in AURORA 2007GRC_Book2 4" xfId="5840"/>
    <cellStyle name="_DEM-WP(C) Costs not in AURORA 2007GRC_Book2_DEM-WP(C) ENERG10C--ctn Mid-C_042010 2010GRC" xfId="5841"/>
    <cellStyle name="_DEM-WP(C) Costs not in AURORA 2007GRC_Book2_DEM-WP(C) ENERG10C--ctn Mid-C_042010 2010GRC 2" xfId="5842"/>
    <cellStyle name="_DEM-WP(C) Costs not in AURORA 2007GRC_Book4" xfId="5843"/>
    <cellStyle name="_DEM-WP(C) Costs not in AURORA 2007GRC_Book4 2" xfId="5844"/>
    <cellStyle name="_DEM-WP(C) Costs not in AURORA 2007GRC_Book4 2 2" xfId="5845"/>
    <cellStyle name="_DEM-WP(C) Costs not in AURORA 2007GRC_Book4 2 2 2" xfId="5846"/>
    <cellStyle name="_DEM-WP(C) Costs not in AURORA 2007GRC_Book4 2 3" xfId="5847"/>
    <cellStyle name="_DEM-WP(C) Costs not in AURORA 2007GRC_Book4 3" xfId="5848"/>
    <cellStyle name="_DEM-WP(C) Costs not in AURORA 2007GRC_Book4 3 2" xfId="5849"/>
    <cellStyle name="_DEM-WP(C) Costs not in AURORA 2007GRC_Book4 4" xfId="5850"/>
    <cellStyle name="_DEM-WP(C) Costs not in AURORA 2007GRC_Book4_DEM-WP(C) ENERG10C--ctn Mid-C_042010 2010GRC" xfId="5851"/>
    <cellStyle name="_DEM-WP(C) Costs not in AURORA 2007GRC_Book4_DEM-WP(C) ENERG10C--ctn Mid-C_042010 2010GRC 2" xfId="5852"/>
    <cellStyle name="_DEM-WP(C) Costs not in AURORA 2007GRC_DEM-WP(C) ENERG10C--ctn Mid-C_042010 2010GRC" xfId="5853"/>
    <cellStyle name="_DEM-WP(C) Costs not in AURORA 2007GRC_DEM-WP(C) ENERG10C--ctn Mid-C_042010 2010GRC 2" xfId="5854"/>
    <cellStyle name="_DEM-WP(C) Costs not in AURORA 2007GRC_Electric Rev Req Model (2009 GRC) " xfId="5855"/>
    <cellStyle name="_DEM-WP(C) Costs not in AURORA 2007GRC_Electric Rev Req Model (2009 GRC)  2" xfId="5856"/>
    <cellStyle name="_DEM-WP(C) Costs not in AURORA 2007GRC_Electric Rev Req Model (2009 GRC)  2 2" xfId="5857"/>
    <cellStyle name="_DEM-WP(C) Costs not in AURORA 2007GRC_Electric Rev Req Model (2009 GRC)  2 2 2" xfId="5858"/>
    <cellStyle name="_DEM-WP(C) Costs not in AURORA 2007GRC_Electric Rev Req Model (2009 GRC)  2 3" xfId="5859"/>
    <cellStyle name="_DEM-WP(C) Costs not in AURORA 2007GRC_Electric Rev Req Model (2009 GRC)  3" xfId="5860"/>
    <cellStyle name="_DEM-WP(C) Costs not in AURORA 2007GRC_Electric Rev Req Model (2009 GRC)  3 2" xfId="5861"/>
    <cellStyle name="_DEM-WP(C) Costs not in AURORA 2007GRC_Electric Rev Req Model (2009 GRC)  4" xfId="5862"/>
    <cellStyle name="_DEM-WP(C) Costs not in AURORA 2007GRC_Electric Rev Req Model (2009 GRC) _DEM-WP(C) ENERG10C--ctn Mid-C_042010 2010GRC" xfId="5863"/>
    <cellStyle name="_DEM-WP(C) Costs not in AURORA 2007GRC_Electric Rev Req Model (2009 GRC) _DEM-WP(C) ENERG10C--ctn Mid-C_042010 2010GRC 2" xfId="5864"/>
    <cellStyle name="_DEM-WP(C) Costs not in AURORA 2007GRC_Electric Rev Req Model (2009 GRC) Rebuttal" xfId="5865"/>
    <cellStyle name="_DEM-WP(C) Costs not in AURORA 2007GRC_Electric Rev Req Model (2009 GRC) Rebuttal 2" xfId="5866"/>
    <cellStyle name="_DEM-WP(C) Costs not in AURORA 2007GRC_Electric Rev Req Model (2009 GRC) Rebuttal 2 2" xfId="5867"/>
    <cellStyle name="_DEM-WP(C) Costs not in AURORA 2007GRC_Electric Rev Req Model (2009 GRC) Rebuttal 3" xfId="5868"/>
    <cellStyle name="_DEM-WP(C) Costs not in AURORA 2007GRC_Electric Rev Req Model (2009 GRC) Rebuttal REmoval of New  WH Solar AdjustMI" xfId="5869"/>
    <cellStyle name="_DEM-WP(C) Costs not in AURORA 2007GRC_Electric Rev Req Model (2009 GRC) Rebuttal REmoval of New  WH Solar AdjustMI 2" xfId="5870"/>
    <cellStyle name="_DEM-WP(C) Costs not in AURORA 2007GRC_Electric Rev Req Model (2009 GRC) Rebuttal REmoval of New  WH Solar AdjustMI 2 2" xfId="5871"/>
    <cellStyle name="_DEM-WP(C) Costs not in AURORA 2007GRC_Electric Rev Req Model (2009 GRC) Rebuttal REmoval of New  WH Solar AdjustMI 2 2 2" xfId="5872"/>
    <cellStyle name="_DEM-WP(C) Costs not in AURORA 2007GRC_Electric Rev Req Model (2009 GRC) Rebuttal REmoval of New  WH Solar AdjustMI 2 3" xfId="5873"/>
    <cellStyle name="_DEM-WP(C) Costs not in AURORA 2007GRC_Electric Rev Req Model (2009 GRC) Rebuttal REmoval of New  WH Solar AdjustMI 3" xfId="5874"/>
    <cellStyle name="_DEM-WP(C) Costs not in AURORA 2007GRC_Electric Rev Req Model (2009 GRC) Rebuttal REmoval of New  WH Solar AdjustMI 3 2" xfId="5875"/>
    <cellStyle name="_DEM-WP(C) Costs not in AURORA 2007GRC_Electric Rev Req Model (2009 GRC) Rebuttal REmoval of New  WH Solar AdjustMI 4" xfId="5876"/>
    <cellStyle name="_DEM-WP(C) Costs not in AURORA 2007GRC_Electric Rev Req Model (2009 GRC) Rebuttal REmoval of New  WH Solar AdjustMI_DEM-WP(C) ENERG10C--ctn Mid-C_042010 2010GRC" xfId="5877"/>
    <cellStyle name="_DEM-WP(C) Costs not in AURORA 2007GRC_Electric Rev Req Model (2009 GRC) Rebuttal REmoval of New  WH Solar AdjustMI_DEM-WP(C) ENERG10C--ctn Mid-C_042010 2010GRC 2" xfId="5878"/>
    <cellStyle name="_DEM-WP(C) Costs not in AURORA 2007GRC_Electric Rev Req Model (2009 GRC) Revised 01-18-2010" xfId="5879"/>
    <cellStyle name="_DEM-WP(C) Costs not in AURORA 2007GRC_Electric Rev Req Model (2009 GRC) Revised 01-18-2010 2" xfId="5880"/>
    <cellStyle name="_DEM-WP(C) Costs not in AURORA 2007GRC_Electric Rev Req Model (2009 GRC) Revised 01-18-2010 2 2" xfId="5881"/>
    <cellStyle name="_DEM-WP(C) Costs not in AURORA 2007GRC_Electric Rev Req Model (2009 GRC) Revised 01-18-2010 2 2 2" xfId="5882"/>
    <cellStyle name="_DEM-WP(C) Costs not in AURORA 2007GRC_Electric Rev Req Model (2009 GRC) Revised 01-18-2010 2 3" xfId="5883"/>
    <cellStyle name="_DEM-WP(C) Costs not in AURORA 2007GRC_Electric Rev Req Model (2009 GRC) Revised 01-18-2010 3" xfId="5884"/>
    <cellStyle name="_DEM-WP(C) Costs not in AURORA 2007GRC_Electric Rev Req Model (2009 GRC) Revised 01-18-2010 3 2" xfId="5885"/>
    <cellStyle name="_DEM-WP(C) Costs not in AURORA 2007GRC_Electric Rev Req Model (2009 GRC) Revised 01-18-2010 4" xfId="5886"/>
    <cellStyle name="_DEM-WP(C) Costs not in AURORA 2007GRC_Electric Rev Req Model (2009 GRC) Revised 01-18-2010_DEM-WP(C) ENERG10C--ctn Mid-C_042010 2010GRC" xfId="5887"/>
    <cellStyle name="_DEM-WP(C) Costs not in AURORA 2007GRC_Electric Rev Req Model (2009 GRC) Revised 01-18-2010_DEM-WP(C) ENERG10C--ctn Mid-C_042010 2010GRC 2" xfId="5888"/>
    <cellStyle name="_DEM-WP(C) Costs not in AURORA 2007GRC_Electric Rev Req Model (2010 GRC)" xfId="5889"/>
    <cellStyle name="_DEM-WP(C) Costs not in AURORA 2007GRC_Electric Rev Req Model (2010 GRC) 2" xfId="5890"/>
    <cellStyle name="_DEM-WP(C) Costs not in AURORA 2007GRC_Electric Rev Req Model (2010 GRC) SF" xfId="5891"/>
    <cellStyle name="_DEM-WP(C) Costs not in AURORA 2007GRC_Electric Rev Req Model (2010 GRC) SF 2" xfId="5892"/>
    <cellStyle name="_DEM-WP(C) Costs not in AURORA 2007GRC_Final Order Electric EXHIBIT A-1" xfId="5893"/>
    <cellStyle name="_DEM-WP(C) Costs not in AURORA 2007GRC_Final Order Electric EXHIBIT A-1 2" xfId="5894"/>
    <cellStyle name="_DEM-WP(C) Costs not in AURORA 2007GRC_Final Order Electric EXHIBIT A-1 2 2" xfId="5895"/>
    <cellStyle name="_DEM-WP(C) Costs not in AURORA 2007GRC_Final Order Electric EXHIBIT A-1 3" xfId="5896"/>
    <cellStyle name="_DEM-WP(C) Costs not in AURORA 2007GRC_NIM Summary" xfId="5897"/>
    <cellStyle name="_DEM-WP(C) Costs not in AURORA 2007GRC_NIM Summary 2" xfId="5898"/>
    <cellStyle name="_DEM-WP(C) Costs not in AURORA 2007GRC_NIM Summary 2 2" xfId="5899"/>
    <cellStyle name="_DEM-WP(C) Costs not in AURORA 2007GRC_NIM Summary 2 2 2" xfId="5900"/>
    <cellStyle name="_DEM-WP(C) Costs not in AURORA 2007GRC_NIM Summary 2 3" xfId="5901"/>
    <cellStyle name="_DEM-WP(C) Costs not in AURORA 2007GRC_NIM Summary 3" xfId="5902"/>
    <cellStyle name="_DEM-WP(C) Costs not in AURORA 2007GRC_NIM Summary 3 2" xfId="5903"/>
    <cellStyle name="_DEM-WP(C) Costs not in AURORA 2007GRC_NIM Summary 4" xfId="5904"/>
    <cellStyle name="_DEM-WP(C) Costs not in AURORA 2007GRC_NIM Summary_DEM-WP(C) ENERG10C--ctn Mid-C_042010 2010GRC" xfId="5905"/>
    <cellStyle name="_DEM-WP(C) Costs not in AURORA 2007GRC_NIM Summary_DEM-WP(C) ENERG10C--ctn Mid-C_042010 2010GRC 2" xfId="5906"/>
    <cellStyle name="_DEM-WP(C) Costs not in AURORA 2007GRC_NIM+O&amp;M Monthly" xfId="5907"/>
    <cellStyle name="_DEM-WP(C) Costs not in AURORA 2007GRC_NIM+O&amp;M Monthly 2" xfId="5908"/>
    <cellStyle name="_DEM-WP(C) Costs not in AURORA 2007GRC_Power Costs - Comparison bx Rbtl-Staff-Jt-PC" xfId="5909"/>
    <cellStyle name="_DEM-WP(C) Costs not in AURORA 2007GRC_Power Costs - Comparison bx Rbtl-Staff-Jt-PC 2" xfId="5910"/>
    <cellStyle name="_DEM-WP(C) Costs not in AURORA 2007GRC_Power Costs - Comparison bx Rbtl-Staff-Jt-PC 2 2" xfId="5911"/>
    <cellStyle name="_DEM-WP(C) Costs not in AURORA 2007GRC_Power Costs - Comparison bx Rbtl-Staff-Jt-PC 2 2 2" xfId="5912"/>
    <cellStyle name="_DEM-WP(C) Costs not in AURORA 2007GRC_Power Costs - Comparison bx Rbtl-Staff-Jt-PC 2 3" xfId="5913"/>
    <cellStyle name="_DEM-WP(C) Costs not in AURORA 2007GRC_Power Costs - Comparison bx Rbtl-Staff-Jt-PC 3" xfId="5914"/>
    <cellStyle name="_DEM-WP(C) Costs not in AURORA 2007GRC_Power Costs - Comparison bx Rbtl-Staff-Jt-PC 3 2" xfId="5915"/>
    <cellStyle name="_DEM-WP(C) Costs not in AURORA 2007GRC_Power Costs - Comparison bx Rbtl-Staff-Jt-PC 4" xfId="5916"/>
    <cellStyle name="_DEM-WP(C) Costs not in AURORA 2007GRC_Power Costs - Comparison bx Rbtl-Staff-Jt-PC_DEM-WP(C) ENERG10C--ctn Mid-C_042010 2010GRC" xfId="5917"/>
    <cellStyle name="_DEM-WP(C) Costs not in AURORA 2007GRC_Power Costs - Comparison bx Rbtl-Staff-Jt-PC_DEM-WP(C) ENERG10C--ctn Mid-C_042010 2010GRC 2" xfId="5918"/>
    <cellStyle name="_DEM-WP(C) Costs not in AURORA 2007GRC_Rebuttal Power Costs" xfId="5919"/>
    <cellStyle name="_DEM-WP(C) Costs not in AURORA 2007GRC_Rebuttal Power Costs 2" xfId="5920"/>
    <cellStyle name="_DEM-WP(C) Costs not in AURORA 2007GRC_Rebuttal Power Costs 2 2" xfId="5921"/>
    <cellStyle name="_DEM-WP(C) Costs not in AURORA 2007GRC_Rebuttal Power Costs 2 2 2" xfId="5922"/>
    <cellStyle name="_DEM-WP(C) Costs not in AURORA 2007GRC_Rebuttal Power Costs 2 3" xfId="5923"/>
    <cellStyle name="_DEM-WP(C) Costs not in AURORA 2007GRC_Rebuttal Power Costs 3" xfId="5924"/>
    <cellStyle name="_DEM-WP(C) Costs not in AURORA 2007GRC_Rebuttal Power Costs 3 2" xfId="5925"/>
    <cellStyle name="_DEM-WP(C) Costs not in AURORA 2007GRC_Rebuttal Power Costs 4" xfId="5926"/>
    <cellStyle name="_DEM-WP(C) Costs not in AURORA 2007GRC_Rebuttal Power Costs_DEM-WP(C) ENERG10C--ctn Mid-C_042010 2010GRC" xfId="5927"/>
    <cellStyle name="_DEM-WP(C) Costs not in AURORA 2007GRC_Rebuttal Power Costs_DEM-WP(C) ENERG10C--ctn Mid-C_042010 2010GRC 2" xfId="5928"/>
    <cellStyle name="_DEM-WP(C) Costs not in AURORA 2007GRC_TENASKA REGULATORY ASSET" xfId="5929"/>
    <cellStyle name="_DEM-WP(C) Costs not in AURORA 2007GRC_TENASKA REGULATORY ASSET 2" xfId="5930"/>
    <cellStyle name="_DEM-WP(C) Costs not in AURORA 2007GRC_TENASKA REGULATORY ASSET 2 2" xfId="5931"/>
    <cellStyle name="_DEM-WP(C) Costs not in AURORA 2007GRC_TENASKA REGULATORY ASSET 3" xfId="5932"/>
    <cellStyle name="_DEM-WP(C) Costs not in AURORA 2007PCORC" xfId="5933"/>
    <cellStyle name="_DEM-WP(C) Costs not in AURORA 2007PCORC 2" xfId="5934"/>
    <cellStyle name="_DEM-WP(C) Costs not in AURORA 2007PCORC 2 2" xfId="5935"/>
    <cellStyle name="_DEM-WP(C) Costs not in AURORA 2007PCORC 2 2 2" xfId="5936"/>
    <cellStyle name="_DEM-WP(C) Costs not in AURORA 2007PCORC 2 3" xfId="5937"/>
    <cellStyle name="_DEM-WP(C) Costs not in AURORA 2007PCORC 3" xfId="5938"/>
    <cellStyle name="_DEM-WP(C) Costs not in AURORA 2007PCORC 3 2" xfId="5939"/>
    <cellStyle name="_DEM-WP(C) Costs not in AURORA 2007PCORC 4" xfId="5940"/>
    <cellStyle name="_DEM-WP(C) Costs not in AURORA 2007PCORC_Chelan PUD Power Costs (8-10)" xfId="5941"/>
    <cellStyle name="_DEM-WP(C) Costs not in AURORA 2007PCORC_Chelan PUD Power Costs (8-10) 2" xfId="5942"/>
    <cellStyle name="_DEM-WP(C) Costs not in AURORA 2007PCORC_DEM-WP(C) ENERG10C--ctn Mid-C_042010 2010GRC" xfId="5943"/>
    <cellStyle name="_DEM-WP(C) Costs not in AURORA 2007PCORC_DEM-WP(C) ENERG10C--ctn Mid-C_042010 2010GRC 2" xfId="5944"/>
    <cellStyle name="_DEM-WP(C) Costs not in AURORA 2007PCORC_NIM Summary" xfId="5945"/>
    <cellStyle name="_DEM-WP(C) Costs not in AURORA 2007PCORC_NIM Summary 2" xfId="5946"/>
    <cellStyle name="_DEM-WP(C) Costs not in AURORA 2007PCORC_NIM Summary 2 2" xfId="5947"/>
    <cellStyle name="_DEM-WP(C) Costs not in AURORA 2007PCORC_NIM Summary 2 2 2" xfId="5948"/>
    <cellStyle name="_DEM-WP(C) Costs not in AURORA 2007PCORC_NIM Summary 2 3" xfId="5949"/>
    <cellStyle name="_DEM-WP(C) Costs not in AURORA 2007PCORC_NIM Summary 3" xfId="5950"/>
    <cellStyle name="_DEM-WP(C) Costs not in AURORA 2007PCORC_NIM Summary 3 2" xfId="5951"/>
    <cellStyle name="_DEM-WP(C) Costs not in AURORA 2007PCORC_NIM Summary 4" xfId="5952"/>
    <cellStyle name="_DEM-WP(C) Costs not in AURORA 2007PCORC_NIM Summary_DEM-WP(C) ENERG10C--ctn Mid-C_042010 2010GRC" xfId="5953"/>
    <cellStyle name="_DEM-WP(C) Costs not in AURORA 2007PCORC_NIM Summary_DEM-WP(C) ENERG10C--ctn Mid-C_042010 2010GRC 2" xfId="5954"/>
    <cellStyle name="_DEM-WP(C) Costs not in AURORA 2007PCORC-5.07Update" xfId="5955"/>
    <cellStyle name="_DEM-WP(C) Costs not in AURORA 2007PCORC-5.07Update 2" xfId="5956"/>
    <cellStyle name="_DEM-WP(C) Costs not in AURORA 2007PCORC-5.07Update 2 2" xfId="5957"/>
    <cellStyle name="_DEM-WP(C) Costs not in AURORA 2007PCORC-5.07Update 2 2 2" xfId="5958"/>
    <cellStyle name="_DEM-WP(C) Costs not in AURORA 2007PCORC-5.07Update 2 3" xfId="5959"/>
    <cellStyle name="_DEM-WP(C) Costs not in AURORA 2007PCORC-5.07Update 3" xfId="5960"/>
    <cellStyle name="_DEM-WP(C) Costs not in AURORA 2007PCORC-5.07Update 3 2" xfId="5961"/>
    <cellStyle name="_DEM-WP(C) Costs not in AURORA 2007PCORC-5.07Update 4" xfId="5962"/>
    <cellStyle name="_DEM-WP(C) Costs not in AURORA 2007PCORC-5.07Update 4 2" xfId="5963"/>
    <cellStyle name="_DEM-WP(C) Costs not in AURORA 2007PCORC-5.07Update 5" xfId="5964"/>
    <cellStyle name="_DEM-WP(C) Costs not in AURORA 2007PCORC-5.07Update 5 2" xfId="5965"/>
    <cellStyle name="_DEM-WP(C) Costs not in AURORA 2007PCORC-5.07Update 6" xfId="5966"/>
    <cellStyle name="_DEM-WP(C) Costs not in AURORA 2007PCORC-5.07Update 6 2" xfId="5967"/>
    <cellStyle name="_DEM-WP(C) Costs not in AURORA 2007PCORC-5.07Update_16.37E Wild Horse Expansion DeferralRevwrkingfile SF" xfId="5968"/>
    <cellStyle name="_DEM-WP(C) Costs not in AURORA 2007PCORC-5.07Update_16.37E Wild Horse Expansion DeferralRevwrkingfile SF 2" xfId="5969"/>
    <cellStyle name="_DEM-WP(C) Costs not in AURORA 2007PCORC-5.07Update_16.37E Wild Horse Expansion DeferralRevwrkingfile SF 2 2" xfId="5970"/>
    <cellStyle name="_DEM-WP(C) Costs not in AURORA 2007PCORC-5.07Update_16.37E Wild Horse Expansion DeferralRevwrkingfile SF 2 2 2" xfId="5971"/>
    <cellStyle name="_DEM-WP(C) Costs not in AURORA 2007PCORC-5.07Update_16.37E Wild Horse Expansion DeferralRevwrkingfile SF 2 3" xfId="5972"/>
    <cellStyle name="_DEM-WP(C) Costs not in AURORA 2007PCORC-5.07Update_16.37E Wild Horse Expansion DeferralRevwrkingfile SF 3" xfId="5973"/>
    <cellStyle name="_DEM-WP(C) Costs not in AURORA 2007PCORC-5.07Update_16.37E Wild Horse Expansion DeferralRevwrkingfile SF 3 2" xfId="5974"/>
    <cellStyle name="_DEM-WP(C) Costs not in AURORA 2007PCORC-5.07Update_16.37E Wild Horse Expansion DeferralRevwrkingfile SF 4" xfId="5975"/>
    <cellStyle name="_DEM-WP(C) Costs not in AURORA 2007PCORC-5.07Update_16.37E Wild Horse Expansion DeferralRevwrkingfile SF_DEM-WP(C) ENERG10C--ctn Mid-C_042010 2010GRC" xfId="5976"/>
    <cellStyle name="_DEM-WP(C) Costs not in AURORA 2007PCORC-5.07Update_16.37E Wild Horse Expansion DeferralRevwrkingfile SF_DEM-WP(C) ENERG10C--ctn Mid-C_042010 2010GRC 2" xfId="5977"/>
    <cellStyle name="_DEM-WP(C) Costs not in AURORA 2007PCORC-5.07Update_2009 GRC Compl Filing - Exhibit D" xfId="5978"/>
    <cellStyle name="_DEM-WP(C) Costs not in AURORA 2007PCORC-5.07Update_2009 GRC Compl Filing - Exhibit D 2" xfId="5979"/>
    <cellStyle name="_DEM-WP(C) Costs not in AURORA 2007PCORC-5.07Update_2009 GRC Compl Filing - Exhibit D 2 2" xfId="5980"/>
    <cellStyle name="_DEM-WP(C) Costs not in AURORA 2007PCORC-5.07Update_2009 GRC Compl Filing - Exhibit D 2 2 2" xfId="5981"/>
    <cellStyle name="_DEM-WP(C) Costs not in AURORA 2007PCORC-5.07Update_2009 GRC Compl Filing - Exhibit D 2 3" xfId="5982"/>
    <cellStyle name="_DEM-WP(C) Costs not in AURORA 2007PCORC-5.07Update_2009 GRC Compl Filing - Exhibit D 3" xfId="5983"/>
    <cellStyle name="_DEM-WP(C) Costs not in AURORA 2007PCORC-5.07Update_2009 GRC Compl Filing - Exhibit D 3 2" xfId="5984"/>
    <cellStyle name="_DEM-WP(C) Costs not in AURORA 2007PCORC-5.07Update_2009 GRC Compl Filing - Exhibit D 4" xfId="5985"/>
    <cellStyle name="_DEM-WP(C) Costs not in AURORA 2007PCORC-5.07Update_2009 GRC Compl Filing - Exhibit D_DEM-WP(C) ENERG10C--ctn Mid-C_042010 2010GRC" xfId="5986"/>
    <cellStyle name="_DEM-WP(C) Costs not in AURORA 2007PCORC-5.07Update_2009 GRC Compl Filing - Exhibit D_DEM-WP(C) ENERG10C--ctn Mid-C_042010 2010GRC 2" xfId="5987"/>
    <cellStyle name="_DEM-WP(C) Costs not in AURORA 2007PCORC-5.07Update_Adj Bench DR 3 for Initial Briefs (Electric)" xfId="5988"/>
    <cellStyle name="_DEM-WP(C) Costs not in AURORA 2007PCORC-5.07Update_Adj Bench DR 3 for Initial Briefs (Electric) 2" xfId="5989"/>
    <cellStyle name="_DEM-WP(C) Costs not in AURORA 2007PCORC-5.07Update_Adj Bench DR 3 for Initial Briefs (Electric) 2 2" xfId="5990"/>
    <cellStyle name="_DEM-WP(C) Costs not in AURORA 2007PCORC-5.07Update_Adj Bench DR 3 for Initial Briefs (Electric) 2 2 2" xfId="5991"/>
    <cellStyle name="_DEM-WP(C) Costs not in AURORA 2007PCORC-5.07Update_Adj Bench DR 3 for Initial Briefs (Electric) 2 3" xfId="5992"/>
    <cellStyle name="_DEM-WP(C) Costs not in AURORA 2007PCORC-5.07Update_Adj Bench DR 3 for Initial Briefs (Electric) 3" xfId="5993"/>
    <cellStyle name="_DEM-WP(C) Costs not in AURORA 2007PCORC-5.07Update_Adj Bench DR 3 for Initial Briefs (Electric) 3 2" xfId="5994"/>
    <cellStyle name="_DEM-WP(C) Costs not in AURORA 2007PCORC-5.07Update_Adj Bench DR 3 for Initial Briefs (Electric) 4" xfId="5995"/>
    <cellStyle name="_DEM-WP(C) Costs not in AURORA 2007PCORC-5.07Update_Adj Bench DR 3 for Initial Briefs (Electric)_DEM-WP(C) ENERG10C--ctn Mid-C_042010 2010GRC" xfId="5996"/>
    <cellStyle name="_DEM-WP(C) Costs not in AURORA 2007PCORC-5.07Update_Adj Bench DR 3 for Initial Briefs (Electric)_DEM-WP(C) ENERG10C--ctn Mid-C_042010 2010GRC 2" xfId="5997"/>
    <cellStyle name="_DEM-WP(C) Costs not in AURORA 2007PCORC-5.07Update_Book1" xfId="5998"/>
    <cellStyle name="_DEM-WP(C) Costs not in AURORA 2007PCORC-5.07Update_Book1 2" xfId="5999"/>
    <cellStyle name="_DEM-WP(C) Costs not in AURORA 2007PCORC-5.07Update_Book2" xfId="6000"/>
    <cellStyle name="_DEM-WP(C) Costs not in AURORA 2007PCORC-5.07Update_Book2 2" xfId="6001"/>
    <cellStyle name="_DEM-WP(C) Costs not in AURORA 2007PCORC-5.07Update_Book2 2 2" xfId="6002"/>
    <cellStyle name="_DEM-WP(C) Costs not in AURORA 2007PCORC-5.07Update_Book2 2 2 2" xfId="6003"/>
    <cellStyle name="_DEM-WP(C) Costs not in AURORA 2007PCORC-5.07Update_Book2 2 3" xfId="6004"/>
    <cellStyle name="_DEM-WP(C) Costs not in AURORA 2007PCORC-5.07Update_Book2 3" xfId="6005"/>
    <cellStyle name="_DEM-WP(C) Costs not in AURORA 2007PCORC-5.07Update_Book2 3 2" xfId="6006"/>
    <cellStyle name="_DEM-WP(C) Costs not in AURORA 2007PCORC-5.07Update_Book2 4" xfId="6007"/>
    <cellStyle name="_DEM-WP(C) Costs not in AURORA 2007PCORC-5.07Update_Book2_DEM-WP(C) ENERG10C--ctn Mid-C_042010 2010GRC" xfId="6008"/>
    <cellStyle name="_DEM-WP(C) Costs not in AURORA 2007PCORC-5.07Update_Book2_DEM-WP(C) ENERG10C--ctn Mid-C_042010 2010GRC 2" xfId="6009"/>
    <cellStyle name="_DEM-WP(C) Costs not in AURORA 2007PCORC-5.07Update_Book4" xfId="6010"/>
    <cellStyle name="_DEM-WP(C) Costs not in AURORA 2007PCORC-5.07Update_Book4 2" xfId="6011"/>
    <cellStyle name="_DEM-WP(C) Costs not in AURORA 2007PCORC-5.07Update_Book4 2 2" xfId="6012"/>
    <cellStyle name="_DEM-WP(C) Costs not in AURORA 2007PCORC-5.07Update_Book4 2 2 2" xfId="6013"/>
    <cellStyle name="_DEM-WP(C) Costs not in AURORA 2007PCORC-5.07Update_Book4 2 3" xfId="6014"/>
    <cellStyle name="_DEM-WP(C) Costs not in AURORA 2007PCORC-5.07Update_Book4 3" xfId="6015"/>
    <cellStyle name="_DEM-WP(C) Costs not in AURORA 2007PCORC-5.07Update_Book4 3 2" xfId="6016"/>
    <cellStyle name="_DEM-WP(C) Costs not in AURORA 2007PCORC-5.07Update_Book4 4" xfId="6017"/>
    <cellStyle name="_DEM-WP(C) Costs not in AURORA 2007PCORC-5.07Update_Book4_DEM-WP(C) ENERG10C--ctn Mid-C_042010 2010GRC" xfId="6018"/>
    <cellStyle name="_DEM-WP(C) Costs not in AURORA 2007PCORC-5.07Update_Book4_DEM-WP(C) ENERG10C--ctn Mid-C_042010 2010GRC 2" xfId="6019"/>
    <cellStyle name="_DEM-WP(C) Costs not in AURORA 2007PCORC-5.07Update_Chelan PUD Power Costs (8-10)" xfId="6020"/>
    <cellStyle name="_DEM-WP(C) Costs not in AURORA 2007PCORC-5.07Update_Chelan PUD Power Costs (8-10) 2" xfId="6021"/>
    <cellStyle name="_DEM-WP(C) Costs not in AURORA 2007PCORC-5.07Update_Colstrip 1&amp;2 Annual O&amp;M Budgets" xfId="6022"/>
    <cellStyle name="_DEM-WP(C) Costs not in AURORA 2007PCORC-5.07Update_Colstrip 1&amp;2 Annual O&amp;M Budgets 2" xfId="6023"/>
    <cellStyle name="_DEM-WP(C) Costs not in AURORA 2007PCORC-5.07Update_Colstrip 1&amp;2 Annual O&amp;M Budgets 3" xfId="6024"/>
    <cellStyle name="_DEM-WP(C) Costs not in AURORA 2007PCORC-5.07Update_Confidential Material" xfId="6025"/>
    <cellStyle name="_DEM-WP(C) Costs not in AURORA 2007PCORC-5.07Update_Confidential Material 2" xfId="6026"/>
    <cellStyle name="_DEM-WP(C) Costs not in AURORA 2007PCORC-5.07Update_DEM-WP(C) Colstrip 12 Coal Cost Forecast 2010GRC" xfId="6027"/>
    <cellStyle name="_DEM-WP(C) Costs not in AURORA 2007PCORC-5.07Update_DEM-WP(C) Colstrip 12 Coal Cost Forecast 2010GRC 2" xfId="6028"/>
    <cellStyle name="_DEM-WP(C) Costs not in AURORA 2007PCORC-5.07Update_DEM-WP(C) ENERG10C--ctn Mid-C_042010 2010GRC" xfId="6029"/>
    <cellStyle name="_DEM-WP(C) Costs not in AURORA 2007PCORC-5.07Update_DEM-WP(C) ENERG10C--ctn Mid-C_042010 2010GRC 2" xfId="6030"/>
    <cellStyle name="_DEM-WP(C) Costs not in AURORA 2007PCORC-5.07Update_DEM-WP(C) Production O&amp;M 2009GRC Rebuttal" xfId="6031"/>
    <cellStyle name="_DEM-WP(C) Costs not in AURORA 2007PCORC-5.07Update_DEM-WP(C) Production O&amp;M 2009GRC Rebuttal 2" xfId="6032"/>
    <cellStyle name="_DEM-WP(C) Costs not in AURORA 2007PCORC-5.07Update_DEM-WP(C) Production O&amp;M 2009GRC Rebuttal 2 2" xfId="6033"/>
    <cellStyle name="_DEM-WP(C) Costs not in AURORA 2007PCORC-5.07Update_DEM-WP(C) Production O&amp;M 2009GRC Rebuttal 2 2 2" xfId="6034"/>
    <cellStyle name="_DEM-WP(C) Costs not in AURORA 2007PCORC-5.07Update_DEM-WP(C) Production O&amp;M 2009GRC Rebuttal 2 3" xfId="6035"/>
    <cellStyle name="_DEM-WP(C) Costs not in AURORA 2007PCORC-5.07Update_DEM-WP(C) Production O&amp;M 2009GRC Rebuttal 3" xfId="6036"/>
    <cellStyle name="_DEM-WP(C) Costs not in AURORA 2007PCORC-5.07Update_DEM-WP(C) Production O&amp;M 2009GRC Rebuttal 3 2" xfId="6037"/>
    <cellStyle name="_DEM-WP(C) Costs not in AURORA 2007PCORC-5.07Update_DEM-WP(C) Production O&amp;M 2009GRC Rebuttal 4" xfId="6038"/>
    <cellStyle name="_DEM-WP(C) Costs not in AURORA 2007PCORC-5.07Update_DEM-WP(C) Production O&amp;M 2009GRC Rebuttal_Adj Bench DR 3 for Initial Briefs (Electric)" xfId="6039"/>
    <cellStyle name="_DEM-WP(C) Costs not in AURORA 2007PCORC-5.07Update_DEM-WP(C) Production O&amp;M 2009GRC Rebuttal_Adj Bench DR 3 for Initial Briefs (Electric) 2" xfId="6040"/>
    <cellStyle name="_DEM-WP(C) Costs not in AURORA 2007PCORC-5.07Update_DEM-WP(C) Production O&amp;M 2009GRC Rebuttal_Adj Bench DR 3 for Initial Briefs (Electric) 2 2" xfId="6041"/>
    <cellStyle name="_DEM-WP(C) Costs not in AURORA 2007PCORC-5.07Update_DEM-WP(C) Production O&amp;M 2009GRC Rebuttal_Adj Bench DR 3 for Initial Briefs (Electric) 2 2 2" xfId="6042"/>
    <cellStyle name="_DEM-WP(C) Costs not in AURORA 2007PCORC-5.07Update_DEM-WP(C) Production O&amp;M 2009GRC Rebuttal_Adj Bench DR 3 for Initial Briefs (Electric) 2 3" xfId="6043"/>
    <cellStyle name="_DEM-WP(C) Costs not in AURORA 2007PCORC-5.07Update_DEM-WP(C) Production O&amp;M 2009GRC Rebuttal_Adj Bench DR 3 for Initial Briefs (Electric) 3" xfId="6044"/>
    <cellStyle name="_DEM-WP(C) Costs not in AURORA 2007PCORC-5.07Update_DEM-WP(C) Production O&amp;M 2009GRC Rebuttal_Adj Bench DR 3 for Initial Briefs (Electric) 3 2" xfId="6045"/>
    <cellStyle name="_DEM-WP(C) Costs not in AURORA 2007PCORC-5.07Update_DEM-WP(C) Production O&amp;M 2009GRC Rebuttal_Adj Bench DR 3 for Initial Briefs (Electric) 4" xfId="6046"/>
    <cellStyle name="_DEM-WP(C) Costs not in AURORA 2007PCORC-5.07Update_DEM-WP(C) Production O&amp;M 2009GRC Rebuttal_Adj Bench DR 3 for Initial Briefs (Electric)_DEM-WP(C) ENERG10C--ctn Mid-C_042010 2010GRC" xfId="6047"/>
    <cellStyle name="_DEM-WP(C) Costs not in AURORA 2007PCORC-5.07Update_DEM-WP(C) Production O&amp;M 2009GRC Rebuttal_Adj Bench DR 3 for Initial Briefs (Electric)_DEM-WP(C) ENERG10C--ctn Mid-C_042010 2010GRC 2" xfId="6048"/>
    <cellStyle name="_DEM-WP(C) Costs not in AURORA 2007PCORC-5.07Update_DEM-WP(C) Production O&amp;M 2009GRC Rebuttal_Book2" xfId="6049"/>
    <cellStyle name="_DEM-WP(C) Costs not in AURORA 2007PCORC-5.07Update_DEM-WP(C) Production O&amp;M 2009GRC Rebuttal_Book2 2" xfId="6050"/>
    <cellStyle name="_DEM-WP(C) Costs not in AURORA 2007PCORC-5.07Update_DEM-WP(C) Production O&amp;M 2009GRC Rebuttal_Book2 2 2" xfId="6051"/>
    <cellStyle name="_DEM-WP(C) Costs not in AURORA 2007PCORC-5.07Update_DEM-WP(C) Production O&amp;M 2009GRC Rebuttal_Book2 2 2 2" xfId="6052"/>
    <cellStyle name="_DEM-WP(C) Costs not in AURORA 2007PCORC-5.07Update_DEM-WP(C) Production O&amp;M 2009GRC Rebuttal_Book2 2 3" xfId="6053"/>
    <cellStyle name="_DEM-WP(C) Costs not in AURORA 2007PCORC-5.07Update_DEM-WP(C) Production O&amp;M 2009GRC Rebuttal_Book2 3" xfId="6054"/>
    <cellStyle name="_DEM-WP(C) Costs not in AURORA 2007PCORC-5.07Update_DEM-WP(C) Production O&amp;M 2009GRC Rebuttal_Book2 3 2" xfId="6055"/>
    <cellStyle name="_DEM-WP(C) Costs not in AURORA 2007PCORC-5.07Update_DEM-WP(C) Production O&amp;M 2009GRC Rebuttal_Book2 4" xfId="6056"/>
    <cellStyle name="_DEM-WP(C) Costs not in AURORA 2007PCORC-5.07Update_DEM-WP(C) Production O&amp;M 2009GRC Rebuttal_Book2_Adj Bench DR 3 for Initial Briefs (Electric)" xfId="6057"/>
    <cellStyle name="_DEM-WP(C) Costs not in AURORA 2007PCORC-5.07Update_DEM-WP(C) Production O&amp;M 2009GRC Rebuttal_Book2_Adj Bench DR 3 for Initial Briefs (Electric) 2" xfId="6058"/>
    <cellStyle name="_DEM-WP(C) Costs not in AURORA 2007PCORC-5.07Update_DEM-WP(C) Production O&amp;M 2009GRC Rebuttal_Book2_Adj Bench DR 3 for Initial Briefs (Electric) 2 2" xfId="6059"/>
    <cellStyle name="_DEM-WP(C) Costs not in AURORA 2007PCORC-5.07Update_DEM-WP(C) Production O&amp;M 2009GRC Rebuttal_Book2_Adj Bench DR 3 for Initial Briefs (Electric) 2 2 2" xfId="6060"/>
    <cellStyle name="_DEM-WP(C) Costs not in AURORA 2007PCORC-5.07Update_DEM-WP(C) Production O&amp;M 2009GRC Rebuttal_Book2_Adj Bench DR 3 for Initial Briefs (Electric) 2 3" xfId="6061"/>
    <cellStyle name="_DEM-WP(C) Costs not in AURORA 2007PCORC-5.07Update_DEM-WP(C) Production O&amp;M 2009GRC Rebuttal_Book2_Adj Bench DR 3 for Initial Briefs (Electric) 3" xfId="6062"/>
    <cellStyle name="_DEM-WP(C) Costs not in AURORA 2007PCORC-5.07Update_DEM-WP(C) Production O&amp;M 2009GRC Rebuttal_Book2_Adj Bench DR 3 for Initial Briefs (Electric) 3 2" xfId="6063"/>
    <cellStyle name="_DEM-WP(C) Costs not in AURORA 2007PCORC-5.07Update_DEM-WP(C) Production O&amp;M 2009GRC Rebuttal_Book2_Adj Bench DR 3 for Initial Briefs (Electric) 4" xfId="6064"/>
    <cellStyle name="_DEM-WP(C) Costs not in AURORA 2007PCORC-5.07Update_DEM-WP(C) Production O&amp;M 2009GRC Rebuttal_Book2_Adj Bench DR 3 for Initial Briefs (Electric)_DEM-WP(C) ENERG10C--ctn Mid-C_042010 2010GRC" xfId="6065"/>
    <cellStyle name="_DEM-WP(C) Costs not in AURORA 2007PCORC-5.07Update_DEM-WP(C) Production O&amp;M 2009GRC Rebuttal_Book2_Adj Bench DR 3 for Initial Briefs (Electric)_DEM-WP(C) ENERG10C--ctn Mid-C_042010 2010GRC 2" xfId="6066"/>
    <cellStyle name="_DEM-WP(C) Costs not in AURORA 2007PCORC-5.07Update_DEM-WP(C) Production O&amp;M 2009GRC Rebuttal_Book2_DEM-WP(C) ENERG10C--ctn Mid-C_042010 2010GRC" xfId="6067"/>
    <cellStyle name="_DEM-WP(C) Costs not in AURORA 2007PCORC-5.07Update_DEM-WP(C) Production O&amp;M 2009GRC Rebuttal_Book2_DEM-WP(C) ENERG10C--ctn Mid-C_042010 2010GRC 2" xfId="6068"/>
    <cellStyle name="_DEM-WP(C) Costs not in AURORA 2007PCORC-5.07Update_DEM-WP(C) Production O&amp;M 2009GRC Rebuttal_Book2_Electric Rev Req Model (2009 GRC) Rebuttal" xfId="6069"/>
    <cellStyle name="_DEM-WP(C) Costs not in AURORA 2007PCORC-5.07Update_DEM-WP(C) Production O&amp;M 2009GRC Rebuttal_Book2_Electric Rev Req Model (2009 GRC) Rebuttal 2" xfId="6070"/>
    <cellStyle name="_DEM-WP(C) Costs not in AURORA 2007PCORC-5.07Update_DEM-WP(C) Production O&amp;M 2009GRC Rebuttal_Book2_Electric Rev Req Model (2009 GRC) Rebuttal 2 2" xfId="6071"/>
    <cellStyle name="_DEM-WP(C) Costs not in AURORA 2007PCORC-5.07Update_DEM-WP(C) Production O&amp;M 2009GRC Rebuttal_Book2_Electric Rev Req Model (2009 GRC) Rebuttal 3" xfId="6072"/>
    <cellStyle name="_DEM-WP(C) Costs not in AURORA 2007PCORC-5.07Update_DEM-WP(C) Production O&amp;M 2009GRC Rebuttal_Book2_Electric Rev Req Model (2009 GRC) Rebuttal REmoval of New  WH Solar AdjustMI" xfId="6073"/>
    <cellStyle name="_DEM-WP(C) Costs not in AURORA 2007PCORC-5.07Update_DEM-WP(C) Production O&amp;M 2009GRC Rebuttal_Book2_Electric Rev Req Model (2009 GRC) Rebuttal REmoval of New  WH Solar AdjustMI 2" xfId="6074"/>
    <cellStyle name="_DEM-WP(C) Costs not in AURORA 2007PCORC-5.07Update_DEM-WP(C) Production O&amp;M 2009GRC Rebuttal_Book2_Electric Rev Req Model (2009 GRC) Rebuttal REmoval of New  WH Solar AdjustMI 2 2" xfId="6075"/>
    <cellStyle name="_DEM-WP(C) Costs not in AURORA 2007PCORC-5.07Update_DEM-WP(C) Production O&amp;M 2009GRC Rebuttal_Book2_Electric Rev Req Model (2009 GRC) Rebuttal REmoval of New  WH Solar AdjustMI 2 2 2" xfId="6076"/>
    <cellStyle name="_DEM-WP(C) Costs not in AURORA 2007PCORC-5.07Update_DEM-WP(C) Production O&amp;M 2009GRC Rebuttal_Book2_Electric Rev Req Model (2009 GRC) Rebuttal REmoval of New  WH Solar AdjustMI 2 3" xfId="6077"/>
    <cellStyle name="_DEM-WP(C) Costs not in AURORA 2007PCORC-5.07Update_DEM-WP(C) Production O&amp;M 2009GRC Rebuttal_Book2_Electric Rev Req Model (2009 GRC) Rebuttal REmoval of New  WH Solar AdjustMI 3" xfId="6078"/>
    <cellStyle name="_DEM-WP(C) Costs not in AURORA 2007PCORC-5.07Update_DEM-WP(C) Production O&amp;M 2009GRC Rebuttal_Book2_Electric Rev Req Model (2009 GRC) Rebuttal REmoval of New  WH Solar AdjustMI 3 2" xfId="6079"/>
    <cellStyle name="_DEM-WP(C) Costs not in AURORA 2007PCORC-5.07Update_DEM-WP(C) Production O&amp;M 2009GRC Rebuttal_Book2_Electric Rev Req Model (2009 GRC) Rebuttal REmoval of New  WH Solar AdjustMI 4" xfId="6080"/>
    <cellStyle name="_DEM-WP(C) Costs not in AURORA 2007PCORC-5.07Update_DEM-WP(C) Production O&amp;M 2009GRC Rebuttal_Book2_Electric Rev Req Model (2009 GRC) Rebuttal REmoval of New  WH Solar AdjustMI_DEM-WP(C) ENERG10C--ctn Mid-C_042010 2010GRC" xfId="6081"/>
    <cellStyle name="_DEM-WP(C) Costs not in AURORA 2007PCORC-5.07Update_DEM-WP(C) Production O&amp;M 2009GRC Rebuttal_Book2_Electric Rev Req Model (2009 GRC) Rebuttal REmoval of New  WH Solar AdjustMI_DEM-WP(C) ENERG10C--ctn Mid-C_042010 2010GRC 2" xfId="6082"/>
    <cellStyle name="_DEM-WP(C) Costs not in AURORA 2007PCORC-5.07Update_DEM-WP(C) Production O&amp;M 2009GRC Rebuttal_Book2_Electric Rev Req Model (2009 GRC) Revised 01-18-2010" xfId="6083"/>
    <cellStyle name="_DEM-WP(C) Costs not in AURORA 2007PCORC-5.07Update_DEM-WP(C) Production O&amp;M 2009GRC Rebuttal_Book2_Electric Rev Req Model (2009 GRC) Revised 01-18-2010 2" xfId="6084"/>
    <cellStyle name="_DEM-WP(C) Costs not in AURORA 2007PCORC-5.07Update_DEM-WP(C) Production O&amp;M 2009GRC Rebuttal_Book2_Electric Rev Req Model (2009 GRC) Revised 01-18-2010 2 2" xfId="6085"/>
    <cellStyle name="_DEM-WP(C) Costs not in AURORA 2007PCORC-5.07Update_DEM-WP(C) Production O&amp;M 2009GRC Rebuttal_Book2_Electric Rev Req Model (2009 GRC) Revised 01-18-2010 2 2 2" xfId="6086"/>
    <cellStyle name="_DEM-WP(C) Costs not in AURORA 2007PCORC-5.07Update_DEM-WP(C) Production O&amp;M 2009GRC Rebuttal_Book2_Electric Rev Req Model (2009 GRC) Revised 01-18-2010 2 3" xfId="6087"/>
    <cellStyle name="_DEM-WP(C) Costs not in AURORA 2007PCORC-5.07Update_DEM-WP(C) Production O&amp;M 2009GRC Rebuttal_Book2_Electric Rev Req Model (2009 GRC) Revised 01-18-2010 3" xfId="6088"/>
    <cellStyle name="_DEM-WP(C) Costs not in AURORA 2007PCORC-5.07Update_DEM-WP(C) Production O&amp;M 2009GRC Rebuttal_Book2_Electric Rev Req Model (2009 GRC) Revised 01-18-2010 3 2" xfId="6089"/>
    <cellStyle name="_DEM-WP(C) Costs not in AURORA 2007PCORC-5.07Update_DEM-WP(C) Production O&amp;M 2009GRC Rebuttal_Book2_Electric Rev Req Model (2009 GRC) Revised 01-18-2010 4" xfId="6090"/>
    <cellStyle name="_DEM-WP(C) Costs not in AURORA 2007PCORC-5.07Update_DEM-WP(C) Production O&amp;M 2009GRC Rebuttal_Book2_Electric Rev Req Model (2009 GRC) Revised 01-18-2010_DEM-WP(C) ENERG10C--ctn Mid-C_042010 2010GRC" xfId="6091"/>
    <cellStyle name="_DEM-WP(C) Costs not in AURORA 2007PCORC-5.07Update_DEM-WP(C) Production O&amp;M 2009GRC Rebuttal_Book2_Electric Rev Req Model (2009 GRC) Revised 01-18-2010_DEM-WP(C) ENERG10C--ctn Mid-C_042010 2010GRC 2" xfId="6092"/>
    <cellStyle name="_DEM-WP(C) Costs not in AURORA 2007PCORC-5.07Update_DEM-WP(C) Production O&amp;M 2009GRC Rebuttal_Book2_Final Order Electric EXHIBIT A-1" xfId="6093"/>
    <cellStyle name="_DEM-WP(C) Costs not in AURORA 2007PCORC-5.07Update_DEM-WP(C) Production O&amp;M 2009GRC Rebuttal_Book2_Final Order Electric EXHIBIT A-1 2" xfId="6094"/>
    <cellStyle name="_DEM-WP(C) Costs not in AURORA 2007PCORC-5.07Update_DEM-WP(C) Production O&amp;M 2009GRC Rebuttal_Book2_Final Order Electric EXHIBIT A-1 2 2" xfId="6095"/>
    <cellStyle name="_DEM-WP(C) Costs not in AURORA 2007PCORC-5.07Update_DEM-WP(C) Production O&amp;M 2009GRC Rebuttal_Book2_Final Order Electric EXHIBIT A-1 3" xfId="6096"/>
    <cellStyle name="_DEM-WP(C) Costs not in AURORA 2007PCORC-5.07Update_DEM-WP(C) Production O&amp;M 2009GRC Rebuttal_DEM-WP(C) ENERG10C--ctn Mid-C_042010 2010GRC" xfId="6097"/>
    <cellStyle name="_DEM-WP(C) Costs not in AURORA 2007PCORC-5.07Update_DEM-WP(C) Production O&amp;M 2009GRC Rebuttal_DEM-WP(C) ENERG10C--ctn Mid-C_042010 2010GRC 2" xfId="6098"/>
    <cellStyle name="_DEM-WP(C) Costs not in AURORA 2007PCORC-5.07Update_DEM-WP(C) Production O&amp;M 2009GRC Rebuttal_Electric Rev Req Model (2009 GRC) Rebuttal" xfId="6099"/>
    <cellStyle name="_DEM-WP(C) Costs not in AURORA 2007PCORC-5.07Update_DEM-WP(C) Production O&amp;M 2009GRC Rebuttal_Electric Rev Req Model (2009 GRC) Rebuttal 2" xfId="6100"/>
    <cellStyle name="_DEM-WP(C) Costs not in AURORA 2007PCORC-5.07Update_DEM-WP(C) Production O&amp;M 2009GRC Rebuttal_Electric Rev Req Model (2009 GRC) Rebuttal 2 2" xfId="6101"/>
    <cellStyle name="_DEM-WP(C) Costs not in AURORA 2007PCORC-5.07Update_DEM-WP(C) Production O&amp;M 2009GRC Rebuttal_Electric Rev Req Model (2009 GRC) Rebuttal 3" xfId="6102"/>
    <cellStyle name="_DEM-WP(C) Costs not in AURORA 2007PCORC-5.07Update_DEM-WP(C) Production O&amp;M 2009GRC Rebuttal_Electric Rev Req Model (2009 GRC) Rebuttal REmoval of New  WH Solar AdjustMI" xfId="6103"/>
    <cellStyle name="_DEM-WP(C) Costs not in AURORA 2007PCORC-5.07Update_DEM-WP(C) Production O&amp;M 2009GRC Rebuttal_Electric Rev Req Model (2009 GRC) Rebuttal REmoval of New  WH Solar AdjustMI 2" xfId="6104"/>
    <cellStyle name="_DEM-WP(C) Costs not in AURORA 2007PCORC-5.07Update_DEM-WP(C) Production O&amp;M 2009GRC Rebuttal_Electric Rev Req Model (2009 GRC) Rebuttal REmoval of New  WH Solar AdjustMI 2 2" xfId="6105"/>
    <cellStyle name="_DEM-WP(C) Costs not in AURORA 2007PCORC-5.07Update_DEM-WP(C) Production O&amp;M 2009GRC Rebuttal_Electric Rev Req Model (2009 GRC) Rebuttal REmoval of New  WH Solar AdjustMI 2 2 2" xfId="6106"/>
    <cellStyle name="_DEM-WP(C) Costs not in AURORA 2007PCORC-5.07Update_DEM-WP(C) Production O&amp;M 2009GRC Rebuttal_Electric Rev Req Model (2009 GRC) Rebuttal REmoval of New  WH Solar AdjustMI 2 3" xfId="6107"/>
    <cellStyle name="_DEM-WP(C) Costs not in AURORA 2007PCORC-5.07Update_DEM-WP(C) Production O&amp;M 2009GRC Rebuttal_Electric Rev Req Model (2009 GRC) Rebuttal REmoval of New  WH Solar AdjustMI 3" xfId="6108"/>
    <cellStyle name="_DEM-WP(C) Costs not in AURORA 2007PCORC-5.07Update_DEM-WP(C) Production O&amp;M 2009GRC Rebuttal_Electric Rev Req Model (2009 GRC) Rebuttal REmoval of New  WH Solar AdjustMI 3 2" xfId="6109"/>
    <cellStyle name="_DEM-WP(C) Costs not in AURORA 2007PCORC-5.07Update_DEM-WP(C) Production O&amp;M 2009GRC Rebuttal_Electric Rev Req Model (2009 GRC) Rebuttal REmoval of New  WH Solar AdjustMI 4" xfId="6110"/>
    <cellStyle name="_DEM-WP(C) Costs not in AURORA 2007PCORC-5.07Update_DEM-WP(C) Production O&amp;M 2009GRC Rebuttal_Electric Rev Req Model (2009 GRC) Rebuttal REmoval of New  WH Solar AdjustMI_DEM-WP(C) ENERG10C--ctn Mid-C_042010 2010GRC" xfId="6111"/>
    <cellStyle name="_DEM-WP(C) Costs not in AURORA 2007PCORC-5.07Update_DEM-WP(C) Production O&amp;M 2009GRC Rebuttal_Electric Rev Req Model (2009 GRC) Rebuttal REmoval of New  WH Solar AdjustMI_DEM-WP(C) ENERG10C--ctn Mid-C_042010 2010GRC 2" xfId="6112"/>
    <cellStyle name="_DEM-WP(C) Costs not in AURORA 2007PCORC-5.07Update_DEM-WP(C) Production O&amp;M 2009GRC Rebuttal_Electric Rev Req Model (2009 GRC) Revised 01-18-2010" xfId="6113"/>
    <cellStyle name="_DEM-WP(C) Costs not in AURORA 2007PCORC-5.07Update_DEM-WP(C) Production O&amp;M 2009GRC Rebuttal_Electric Rev Req Model (2009 GRC) Revised 01-18-2010 2" xfId="6114"/>
    <cellStyle name="_DEM-WP(C) Costs not in AURORA 2007PCORC-5.07Update_DEM-WP(C) Production O&amp;M 2009GRC Rebuttal_Electric Rev Req Model (2009 GRC) Revised 01-18-2010 2 2" xfId="6115"/>
    <cellStyle name="_DEM-WP(C) Costs not in AURORA 2007PCORC-5.07Update_DEM-WP(C) Production O&amp;M 2009GRC Rebuttal_Electric Rev Req Model (2009 GRC) Revised 01-18-2010 2 2 2" xfId="6116"/>
    <cellStyle name="_DEM-WP(C) Costs not in AURORA 2007PCORC-5.07Update_DEM-WP(C) Production O&amp;M 2009GRC Rebuttal_Electric Rev Req Model (2009 GRC) Revised 01-18-2010 2 3" xfId="6117"/>
    <cellStyle name="_DEM-WP(C) Costs not in AURORA 2007PCORC-5.07Update_DEM-WP(C) Production O&amp;M 2009GRC Rebuttal_Electric Rev Req Model (2009 GRC) Revised 01-18-2010 3" xfId="6118"/>
    <cellStyle name="_DEM-WP(C) Costs not in AURORA 2007PCORC-5.07Update_DEM-WP(C) Production O&amp;M 2009GRC Rebuttal_Electric Rev Req Model (2009 GRC) Revised 01-18-2010 3 2" xfId="6119"/>
    <cellStyle name="_DEM-WP(C) Costs not in AURORA 2007PCORC-5.07Update_DEM-WP(C) Production O&amp;M 2009GRC Rebuttal_Electric Rev Req Model (2009 GRC) Revised 01-18-2010 4" xfId="6120"/>
    <cellStyle name="_DEM-WP(C) Costs not in AURORA 2007PCORC-5.07Update_DEM-WP(C) Production O&amp;M 2009GRC Rebuttal_Electric Rev Req Model (2009 GRC) Revised 01-18-2010_DEM-WP(C) ENERG10C--ctn Mid-C_042010 2010GRC" xfId="6121"/>
    <cellStyle name="_DEM-WP(C) Costs not in AURORA 2007PCORC-5.07Update_DEM-WP(C) Production O&amp;M 2009GRC Rebuttal_Electric Rev Req Model (2009 GRC) Revised 01-18-2010_DEM-WP(C) ENERG10C--ctn Mid-C_042010 2010GRC 2" xfId="6122"/>
    <cellStyle name="_DEM-WP(C) Costs not in AURORA 2007PCORC-5.07Update_DEM-WP(C) Production O&amp;M 2009GRC Rebuttal_Final Order Electric EXHIBIT A-1" xfId="6123"/>
    <cellStyle name="_DEM-WP(C) Costs not in AURORA 2007PCORC-5.07Update_DEM-WP(C) Production O&amp;M 2009GRC Rebuttal_Final Order Electric EXHIBIT A-1 2" xfId="6124"/>
    <cellStyle name="_DEM-WP(C) Costs not in AURORA 2007PCORC-5.07Update_DEM-WP(C) Production O&amp;M 2009GRC Rebuttal_Final Order Electric EXHIBIT A-1 2 2" xfId="6125"/>
    <cellStyle name="_DEM-WP(C) Costs not in AURORA 2007PCORC-5.07Update_DEM-WP(C) Production O&amp;M 2009GRC Rebuttal_Final Order Electric EXHIBIT A-1 3" xfId="6126"/>
    <cellStyle name="_DEM-WP(C) Costs not in AURORA 2007PCORC-5.07Update_DEM-WP(C) Production O&amp;M 2009GRC Rebuttal_Rebuttal Power Costs" xfId="6127"/>
    <cellStyle name="_DEM-WP(C) Costs not in AURORA 2007PCORC-5.07Update_DEM-WP(C) Production O&amp;M 2009GRC Rebuttal_Rebuttal Power Costs 2" xfId="6128"/>
    <cellStyle name="_DEM-WP(C) Costs not in AURORA 2007PCORC-5.07Update_DEM-WP(C) Production O&amp;M 2009GRC Rebuttal_Rebuttal Power Costs 2 2" xfId="6129"/>
    <cellStyle name="_DEM-WP(C) Costs not in AURORA 2007PCORC-5.07Update_DEM-WP(C) Production O&amp;M 2009GRC Rebuttal_Rebuttal Power Costs 2 2 2" xfId="6130"/>
    <cellStyle name="_DEM-WP(C) Costs not in AURORA 2007PCORC-5.07Update_DEM-WP(C) Production O&amp;M 2009GRC Rebuttal_Rebuttal Power Costs 2 3" xfId="6131"/>
    <cellStyle name="_DEM-WP(C) Costs not in AURORA 2007PCORC-5.07Update_DEM-WP(C) Production O&amp;M 2009GRC Rebuttal_Rebuttal Power Costs 3" xfId="6132"/>
    <cellStyle name="_DEM-WP(C) Costs not in AURORA 2007PCORC-5.07Update_DEM-WP(C) Production O&amp;M 2009GRC Rebuttal_Rebuttal Power Costs 3 2" xfId="6133"/>
    <cellStyle name="_DEM-WP(C) Costs not in AURORA 2007PCORC-5.07Update_DEM-WP(C) Production O&amp;M 2009GRC Rebuttal_Rebuttal Power Costs 4" xfId="6134"/>
    <cellStyle name="_DEM-WP(C) Costs not in AURORA 2007PCORC-5.07Update_DEM-WP(C) Production O&amp;M 2009GRC Rebuttal_Rebuttal Power Costs_Adj Bench DR 3 for Initial Briefs (Electric)" xfId="6135"/>
    <cellStyle name="_DEM-WP(C) Costs not in AURORA 2007PCORC-5.07Update_DEM-WP(C) Production O&amp;M 2009GRC Rebuttal_Rebuttal Power Costs_Adj Bench DR 3 for Initial Briefs (Electric) 2" xfId="6136"/>
    <cellStyle name="_DEM-WP(C) Costs not in AURORA 2007PCORC-5.07Update_DEM-WP(C) Production O&amp;M 2009GRC Rebuttal_Rebuttal Power Costs_Adj Bench DR 3 for Initial Briefs (Electric) 2 2" xfId="6137"/>
    <cellStyle name="_DEM-WP(C) Costs not in AURORA 2007PCORC-5.07Update_DEM-WP(C) Production O&amp;M 2009GRC Rebuttal_Rebuttal Power Costs_Adj Bench DR 3 for Initial Briefs (Electric) 2 2 2" xfId="6138"/>
    <cellStyle name="_DEM-WP(C) Costs not in AURORA 2007PCORC-5.07Update_DEM-WP(C) Production O&amp;M 2009GRC Rebuttal_Rebuttal Power Costs_Adj Bench DR 3 for Initial Briefs (Electric) 2 3" xfId="6139"/>
    <cellStyle name="_DEM-WP(C) Costs not in AURORA 2007PCORC-5.07Update_DEM-WP(C) Production O&amp;M 2009GRC Rebuttal_Rebuttal Power Costs_Adj Bench DR 3 for Initial Briefs (Electric) 3" xfId="6140"/>
    <cellStyle name="_DEM-WP(C) Costs not in AURORA 2007PCORC-5.07Update_DEM-WP(C) Production O&amp;M 2009GRC Rebuttal_Rebuttal Power Costs_Adj Bench DR 3 for Initial Briefs (Electric) 3 2" xfId="6141"/>
    <cellStyle name="_DEM-WP(C) Costs not in AURORA 2007PCORC-5.07Update_DEM-WP(C) Production O&amp;M 2009GRC Rebuttal_Rebuttal Power Costs_Adj Bench DR 3 for Initial Briefs (Electric) 4" xfId="6142"/>
    <cellStyle name="_DEM-WP(C) Costs not in AURORA 2007PCORC-5.07Update_DEM-WP(C) Production O&amp;M 2009GRC Rebuttal_Rebuttal Power Costs_Adj Bench DR 3 for Initial Briefs (Electric)_DEM-WP(C) ENERG10C--ctn Mid-C_042010 2010GRC" xfId="6143"/>
    <cellStyle name="_DEM-WP(C) Costs not in AURORA 2007PCORC-5.07Update_DEM-WP(C) Production O&amp;M 2009GRC Rebuttal_Rebuttal Power Costs_Adj Bench DR 3 for Initial Briefs (Electric)_DEM-WP(C) ENERG10C--ctn Mid-C_042010 2010GRC 2" xfId="6144"/>
    <cellStyle name="_DEM-WP(C) Costs not in AURORA 2007PCORC-5.07Update_DEM-WP(C) Production O&amp;M 2009GRC Rebuttal_Rebuttal Power Costs_DEM-WP(C) ENERG10C--ctn Mid-C_042010 2010GRC" xfId="6145"/>
    <cellStyle name="_DEM-WP(C) Costs not in AURORA 2007PCORC-5.07Update_DEM-WP(C) Production O&amp;M 2009GRC Rebuttal_Rebuttal Power Costs_DEM-WP(C) ENERG10C--ctn Mid-C_042010 2010GRC 2" xfId="6146"/>
    <cellStyle name="_DEM-WP(C) Costs not in AURORA 2007PCORC-5.07Update_DEM-WP(C) Production O&amp;M 2009GRC Rebuttal_Rebuttal Power Costs_Electric Rev Req Model (2009 GRC) Rebuttal" xfId="6147"/>
    <cellStyle name="_DEM-WP(C) Costs not in AURORA 2007PCORC-5.07Update_DEM-WP(C) Production O&amp;M 2009GRC Rebuttal_Rebuttal Power Costs_Electric Rev Req Model (2009 GRC) Rebuttal 2" xfId="6148"/>
    <cellStyle name="_DEM-WP(C) Costs not in AURORA 2007PCORC-5.07Update_DEM-WP(C) Production O&amp;M 2009GRC Rebuttal_Rebuttal Power Costs_Electric Rev Req Model (2009 GRC) Rebuttal 2 2" xfId="6149"/>
    <cellStyle name="_DEM-WP(C) Costs not in AURORA 2007PCORC-5.07Update_DEM-WP(C) Production O&amp;M 2009GRC Rebuttal_Rebuttal Power Costs_Electric Rev Req Model (2009 GRC) Rebuttal 3" xfId="6150"/>
    <cellStyle name="_DEM-WP(C) Costs not in AURORA 2007PCORC-5.07Update_DEM-WP(C) Production O&amp;M 2009GRC Rebuttal_Rebuttal Power Costs_Electric Rev Req Model (2009 GRC) Rebuttal REmoval of New  WH Solar AdjustMI" xfId="6151"/>
    <cellStyle name="_DEM-WP(C) Costs not in AURORA 2007PCORC-5.07Update_DEM-WP(C) Production O&amp;M 2009GRC Rebuttal_Rebuttal Power Costs_Electric Rev Req Model (2009 GRC) Rebuttal REmoval of New  WH Solar AdjustMI 2" xfId="6152"/>
    <cellStyle name="_DEM-WP(C) Costs not in AURORA 2007PCORC-5.07Update_DEM-WP(C) Production O&amp;M 2009GRC Rebuttal_Rebuttal Power Costs_Electric Rev Req Model (2009 GRC) Rebuttal REmoval of New  WH Solar AdjustMI 2 2" xfId="6153"/>
    <cellStyle name="_DEM-WP(C) Costs not in AURORA 2007PCORC-5.07Update_DEM-WP(C) Production O&amp;M 2009GRC Rebuttal_Rebuttal Power Costs_Electric Rev Req Model (2009 GRC) Rebuttal REmoval of New  WH Solar AdjustMI 2 2 2" xfId="6154"/>
    <cellStyle name="_DEM-WP(C) Costs not in AURORA 2007PCORC-5.07Update_DEM-WP(C) Production O&amp;M 2009GRC Rebuttal_Rebuttal Power Costs_Electric Rev Req Model (2009 GRC) Rebuttal REmoval of New  WH Solar AdjustMI 2 3" xfId="6155"/>
    <cellStyle name="_DEM-WP(C) Costs not in AURORA 2007PCORC-5.07Update_DEM-WP(C) Production O&amp;M 2009GRC Rebuttal_Rebuttal Power Costs_Electric Rev Req Model (2009 GRC) Rebuttal REmoval of New  WH Solar AdjustMI 3" xfId="6156"/>
    <cellStyle name="_DEM-WP(C) Costs not in AURORA 2007PCORC-5.07Update_DEM-WP(C) Production O&amp;M 2009GRC Rebuttal_Rebuttal Power Costs_Electric Rev Req Model (2009 GRC) Rebuttal REmoval of New  WH Solar AdjustMI 3 2" xfId="6157"/>
    <cellStyle name="_DEM-WP(C) Costs not in AURORA 2007PCORC-5.07Update_DEM-WP(C) Production O&amp;M 2009GRC Rebuttal_Rebuttal Power Costs_Electric Rev Req Model (2009 GRC) Rebuttal REmoval of New  WH Solar AdjustMI 4" xfId="6158"/>
    <cellStyle name="_DEM-WP(C) Costs not in AURORA 2007PCORC-5.07Update_DEM-WP(C) Production O&amp;M 2009GRC Rebuttal_Rebuttal Power Costs_Electric Rev Req Model (2009 GRC) Rebuttal REmoval of New  WH Solar AdjustMI_DEM-WP(C) ENERG10C--ctn Mid-C_042010 2010GRC" xfId="6159"/>
    <cellStyle name="_DEM-WP(C) Costs not in AURORA 2007PCORC-5.07Update_DEM-WP(C) Production O&amp;M 2009GRC Rebuttal_Rebuttal Power Costs_Electric Rev Req Model (2009 GRC) Rebuttal REmoval of New  WH Solar AdjustMI_DEM-WP(C) ENERG10C--ctn Mid-C_042010 2010GRC 2" xfId="6160"/>
    <cellStyle name="_DEM-WP(C) Costs not in AURORA 2007PCORC-5.07Update_DEM-WP(C) Production O&amp;M 2009GRC Rebuttal_Rebuttal Power Costs_Electric Rev Req Model (2009 GRC) Revised 01-18-2010" xfId="6161"/>
    <cellStyle name="_DEM-WP(C) Costs not in AURORA 2007PCORC-5.07Update_DEM-WP(C) Production O&amp;M 2009GRC Rebuttal_Rebuttal Power Costs_Electric Rev Req Model (2009 GRC) Revised 01-18-2010 2" xfId="6162"/>
    <cellStyle name="_DEM-WP(C) Costs not in AURORA 2007PCORC-5.07Update_DEM-WP(C) Production O&amp;M 2009GRC Rebuttal_Rebuttal Power Costs_Electric Rev Req Model (2009 GRC) Revised 01-18-2010 2 2" xfId="6163"/>
    <cellStyle name="_DEM-WP(C) Costs not in AURORA 2007PCORC-5.07Update_DEM-WP(C) Production O&amp;M 2009GRC Rebuttal_Rebuttal Power Costs_Electric Rev Req Model (2009 GRC) Revised 01-18-2010 2 2 2" xfId="6164"/>
    <cellStyle name="_DEM-WP(C) Costs not in AURORA 2007PCORC-5.07Update_DEM-WP(C) Production O&amp;M 2009GRC Rebuttal_Rebuttal Power Costs_Electric Rev Req Model (2009 GRC) Revised 01-18-2010 2 3" xfId="6165"/>
    <cellStyle name="_DEM-WP(C) Costs not in AURORA 2007PCORC-5.07Update_DEM-WP(C) Production O&amp;M 2009GRC Rebuttal_Rebuttal Power Costs_Electric Rev Req Model (2009 GRC) Revised 01-18-2010 3" xfId="6166"/>
    <cellStyle name="_DEM-WP(C) Costs not in AURORA 2007PCORC-5.07Update_DEM-WP(C) Production O&amp;M 2009GRC Rebuttal_Rebuttal Power Costs_Electric Rev Req Model (2009 GRC) Revised 01-18-2010 3 2" xfId="6167"/>
    <cellStyle name="_DEM-WP(C) Costs not in AURORA 2007PCORC-5.07Update_DEM-WP(C) Production O&amp;M 2009GRC Rebuttal_Rebuttal Power Costs_Electric Rev Req Model (2009 GRC) Revised 01-18-2010 4" xfId="6168"/>
    <cellStyle name="_DEM-WP(C) Costs not in AURORA 2007PCORC-5.07Update_DEM-WP(C) Production O&amp;M 2009GRC Rebuttal_Rebuttal Power Costs_Electric Rev Req Model (2009 GRC) Revised 01-18-2010_DEM-WP(C) ENERG10C--ctn Mid-C_042010 2010GRC" xfId="6169"/>
    <cellStyle name="_DEM-WP(C) Costs not in AURORA 2007PCORC-5.07Update_DEM-WP(C) Production O&amp;M 2009GRC Rebuttal_Rebuttal Power Costs_Electric Rev Req Model (2009 GRC) Revised 01-18-2010_DEM-WP(C) ENERG10C--ctn Mid-C_042010 2010GRC 2" xfId="6170"/>
    <cellStyle name="_DEM-WP(C) Costs not in AURORA 2007PCORC-5.07Update_DEM-WP(C) Production O&amp;M 2009GRC Rebuttal_Rebuttal Power Costs_Final Order Electric EXHIBIT A-1" xfId="6171"/>
    <cellStyle name="_DEM-WP(C) Costs not in AURORA 2007PCORC-5.07Update_DEM-WP(C) Production O&amp;M 2009GRC Rebuttal_Rebuttal Power Costs_Final Order Electric EXHIBIT A-1 2" xfId="6172"/>
    <cellStyle name="_DEM-WP(C) Costs not in AURORA 2007PCORC-5.07Update_DEM-WP(C) Production O&amp;M 2009GRC Rebuttal_Rebuttal Power Costs_Final Order Electric EXHIBIT A-1 2 2" xfId="6173"/>
    <cellStyle name="_DEM-WP(C) Costs not in AURORA 2007PCORC-5.07Update_DEM-WP(C) Production O&amp;M 2009GRC Rebuttal_Rebuttal Power Costs_Final Order Electric EXHIBIT A-1 3" xfId="6174"/>
    <cellStyle name="_DEM-WP(C) Costs not in AURORA 2007PCORC-5.07Update_DEM-WP(C) Production O&amp;M 2010GRC As-Filed" xfId="6175"/>
    <cellStyle name="_DEM-WP(C) Costs not in AURORA 2007PCORC-5.07Update_DEM-WP(C) Production O&amp;M 2010GRC As-Filed 2" xfId="6176"/>
    <cellStyle name="_DEM-WP(C) Costs not in AURORA 2007PCORC-5.07Update_DEM-WP(C) Production O&amp;M 2010GRC As-Filed 2 2" xfId="6177"/>
    <cellStyle name="_DEM-WP(C) Costs not in AURORA 2007PCORC-5.07Update_DEM-WP(C) Production O&amp;M 2010GRC As-Filed 2 3" xfId="6178"/>
    <cellStyle name="_DEM-WP(C) Costs not in AURORA 2007PCORC-5.07Update_DEM-WP(C) Production O&amp;M 2010GRC As-Filed 3" xfId="6179"/>
    <cellStyle name="_DEM-WP(C) Costs not in AURORA 2007PCORC-5.07Update_DEM-WP(C) Production O&amp;M 2010GRC As-Filed 3 2" xfId="6180"/>
    <cellStyle name="_DEM-WP(C) Costs not in AURORA 2007PCORC-5.07Update_DEM-WP(C) Production O&amp;M 2010GRC As-Filed 4" xfId="6181"/>
    <cellStyle name="_DEM-WP(C) Costs not in AURORA 2007PCORC-5.07Update_DEM-WP(C) Production O&amp;M 2010GRC As-Filed 4 2" xfId="6182"/>
    <cellStyle name="_DEM-WP(C) Costs not in AURORA 2007PCORC-5.07Update_DEM-WP(C) Production O&amp;M 2010GRC As-Filed 5" xfId="6183"/>
    <cellStyle name="_DEM-WP(C) Costs not in AURORA 2007PCORC-5.07Update_DEM-WP(C) Production O&amp;M 2010GRC As-Filed 5 2" xfId="6184"/>
    <cellStyle name="_DEM-WP(C) Costs not in AURORA 2007PCORC-5.07Update_DEM-WP(C) Production O&amp;M 2010GRC As-Filed 6" xfId="6185"/>
    <cellStyle name="_DEM-WP(C) Costs not in AURORA 2007PCORC-5.07Update_DEM-WP(C) Production O&amp;M 2010GRC As-Filed 6 2" xfId="6186"/>
    <cellStyle name="_DEM-WP(C) Costs not in AURORA 2007PCORC-5.07Update_Electric Rev Req Model (2009 GRC) " xfId="6187"/>
    <cellStyle name="_DEM-WP(C) Costs not in AURORA 2007PCORC-5.07Update_Electric Rev Req Model (2009 GRC)  2" xfId="6188"/>
    <cellStyle name="_DEM-WP(C) Costs not in AURORA 2007PCORC-5.07Update_Electric Rev Req Model (2009 GRC)  2 2" xfId="6189"/>
    <cellStyle name="_DEM-WP(C) Costs not in AURORA 2007PCORC-5.07Update_Electric Rev Req Model (2009 GRC)  2 2 2" xfId="6190"/>
    <cellStyle name="_DEM-WP(C) Costs not in AURORA 2007PCORC-5.07Update_Electric Rev Req Model (2009 GRC)  2 3" xfId="6191"/>
    <cellStyle name="_DEM-WP(C) Costs not in AURORA 2007PCORC-5.07Update_Electric Rev Req Model (2009 GRC)  3" xfId="6192"/>
    <cellStyle name="_DEM-WP(C) Costs not in AURORA 2007PCORC-5.07Update_Electric Rev Req Model (2009 GRC)  3 2" xfId="6193"/>
    <cellStyle name="_DEM-WP(C) Costs not in AURORA 2007PCORC-5.07Update_Electric Rev Req Model (2009 GRC)  4" xfId="6194"/>
    <cellStyle name="_DEM-WP(C) Costs not in AURORA 2007PCORC-5.07Update_Electric Rev Req Model (2009 GRC) _DEM-WP(C) ENERG10C--ctn Mid-C_042010 2010GRC" xfId="6195"/>
    <cellStyle name="_DEM-WP(C) Costs not in AURORA 2007PCORC-5.07Update_Electric Rev Req Model (2009 GRC) _DEM-WP(C) ENERG10C--ctn Mid-C_042010 2010GRC 2" xfId="6196"/>
    <cellStyle name="_DEM-WP(C) Costs not in AURORA 2007PCORC-5.07Update_Electric Rev Req Model (2009 GRC) Rebuttal" xfId="6197"/>
    <cellStyle name="_DEM-WP(C) Costs not in AURORA 2007PCORC-5.07Update_Electric Rev Req Model (2009 GRC) Rebuttal 2" xfId="6198"/>
    <cellStyle name="_DEM-WP(C) Costs not in AURORA 2007PCORC-5.07Update_Electric Rev Req Model (2009 GRC) Rebuttal 2 2" xfId="6199"/>
    <cellStyle name="_DEM-WP(C) Costs not in AURORA 2007PCORC-5.07Update_Electric Rev Req Model (2009 GRC) Rebuttal 3" xfId="6200"/>
    <cellStyle name="_DEM-WP(C) Costs not in AURORA 2007PCORC-5.07Update_Electric Rev Req Model (2009 GRC) Rebuttal REmoval of New  WH Solar AdjustMI" xfId="6201"/>
    <cellStyle name="_DEM-WP(C) Costs not in AURORA 2007PCORC-5.07Update_Electric Rev Req Model (2009 GRC) Rebuttal REmoval of New  WH Solar AdjustMI 2" xfId="6202"/>
    <cellStyle name="_DEM-WP(C) Costs not in AURORA 2007PCORC-5.07Update_Electric Rev Req Model (2009 GRC) Rebuttal REmoval of New  WH Solar AdjustMI 2 2" xfId="6203"/>
    <cellStyle name="_DEM-WP(C) Costs not in AURORA 2007PCORC-5.07Update_Electric Rev Req Model (2009 GRC) Rebuttal REmoval of New  WH Solar AdjustMI 2 2 2" xfId="6204"/>
    <cellStyle name="_DEM-WP(C) Costs not in AURORA 2007PCORC-5.07Update_Electric Rev Req Model (2009 GRC) Rebuttal REmoval of New  WH Solar AdjustMI 2 3" xfId="6205"/>
    <cellStyle name="_DEM-WP(C) Costs not in AURORA 2007PCORC-5.07Update_Electric Rev Req Model (2009 GRC) Rebuttal REmoval of New  WH Solar AdjustMI 3" xfId="6206"/>
    <cellStyle name="_DEM-WP(C) Costs not in AURORA 2007PCORC-5.07Update_Electric Rev Req Model (2009 GRC) Rebuttal REmoval of New  WH Solar AdjustMI 3 2" xfId="6207"/>
    <cellStyle name="_DEM-WP(C) Costs not in AURORA 2007PCORC-5.07Update_Electric Rev Req Model (2009 GRC) Rebuttal REmoval of New  WH Solar AdjustMI 4" xfId="6208"/>
    <cellStyle name="_DEM-WP(C) Costs not in AURORA 2007PCORC-5.07Update_Electric Rev Req Model (2009 GRC) Rebuttal REmoval of New  WH Solar AdjustMI_DEM-WP(C) ENERG10C--ctn Mid-C_042010 2010GRC" xfId="6209"/>
    <cellStyle name="_DEM-WP(C) Costs not in AURORA 2007PCORC-5.07Update_Electric Rev Req Model (2009 GRC) Rebuttal REmoval of New  WH Solar AdjustMI_DEM-WP(C) ENERG10C--ctn Mid-C_042010 2010GRC 2" xfId="6210"/>
    <cellStyle name="_DEM-WP(C) Costs not in AURORA 2007PCORC-5.07Update_Electric Rev Req Model (2009 GRC) Revised 01-18-2010" xfId="6211"/>
    <cellStyle name="_DEM-WP(C) Costs not in AURORA 2007PCORC-5.07Update_Electric Rev Req Model (2009 GRC) Revised 01-18-2010 2" xfId="6212"/>
    <cellStyle name="_DEM-WP(C) Costs not in AURORA 2007PCORC-5.07Update_Electric Rev Req Model (2009 GRC) Revised 01-18-2010 2 2" xfId="6213"/>
    <cellStyle name="_DEM-WP(C) Costs not in AURORA 2007PCORC-5.07Update_Electric Rev Req Model (2009 GRC) Revised 01-18-2010 2 2 2" xfId="6214"/>
    <cellStyle name="_DEM-WP(C) Costs not in AURORA 2007PCORC-5.07Update_Electric Rev Req Model (2009 GRC) Revised 01-18-2010 2 3" xfId="6215"/>
    <cellStyle name="_DEM-WP(C) Costs not in AURORA 2007PCORC-5.07Update_Electric Rev Req Model (2009 GRC) Revised 01-18-2010 3" xfId="6216"/>
    <cellStyle name="_DEM-WP(C) Costs not in AURORA 2007PCORC-5.07Update_Electric Rev Req Model (2009 GRC) Revised 01-18-2010 3 2" xfId="6217"/>
    <cellStyle name="_DEM-WP(C) Costs not in AURORA 2007PCORC-5.07Update_Electric Rev Req Model (2009 GRC) Revised 01-18-2010 4" xfId="6218"/>
    <cellStyle name="_DEM-WP(C) Costs not in AURORA 2007PCORC-5.07Update_Electric Rev Req Model (2009 GRC) Revised 01-18-2010_DEM-WP(C) ENERG10C--ctn Mid-C_042010 2010GRC" xfId="6219"/>
    <cellStyle name="_DEM-WP(C) Costs not in AURORA 2007PCORC-5.07Update_Electric Rev Req Model (2009 GRC) Revised 01-18-2010_DEM-WP(C) ENERG10C--ctn Mid-C_042010 2010GRC 2" xfId="6220"/>
    <cellStyle name="_DEM-WP(C) Costs not in AURORA 2007PCORC-5.07Update_Electric Rev Req Model (2010 GRC)" xfId="6221"/>
    <cellStyle name="_DEM-WP(C) Costs not in AURORA 2007PCORC-5.07Update_Electric Rev Req Model (2010 GRC) 2" xfId="6222"/>
    <cellStyle name="_DEM-WP(C) Costs not in AURORA 2007PCORC-5.07Update_Electric Rev Req Model (2010 GRC) SF" xfId="6223"/>
    <cellStyle name="_DEM-WP(C) Costs not in AURORA 2007PCORC-5.07Update_Electric Rev Req Model (2010 GRC) SF 2" xfId="6224"/>
    <cellStyle name="_DEM-WP(C) Costs not in AURORA 2007PCORC-5.07Update_Final Order Electric EXHIBIT A-1" xfId="6225"/>
    <cellStyle name="_DEM-WP(C) Costs not in AURORA 2007PCORC-5.07Update_Final Order Electric EXHIBIT A-1 2" xfId="6226"/>
    <cellStyle name="_DEM-WP(C) Costs not in AURORA 2007PCORC-5.07Update_Final Order Electric EXHIBIT A-1 2 2" xfId="6227"/>
    <cellStyle name="_DEM-WP(C) Costs not in AURORA 2007PCORC-5.07Update_Final Order Electric EXHIBIT A-1 3" xfId="6228"/>
    <cellStyle name="_DEM-WP(C) Costs not in AURORA 2007PCORC-5.07Update_NIM Summary" xfId="6229"/>
    <cellStyle name="_DEM-WP(C) Costs not in AURORA 2007PCORC-5.07Update_NIM Summary 09GRC" xfId="6230"/>
    <cellStyle name="_DEM-WP(C) Costs not in AURORA 2007PCORC-5.07Update_NIM Summary 09GRC 2" xfId="6231"/>
    <cellStyle name="_DEM-WP(C) Costs not in AURORA 2007PCORC-5.07Update_NIM Summary 09GRC 2 2" xfId="6232"/>
    <cellStyle name="_DEM-WP(C) Costs not in AURORA 2007PCORC-5.07Update_NIM Summary 09GRC 2 2 2" xfId="6233"/>
    <cellStyle name="_DEM-WP(C) Costs not in AURORA 2007PCORC-5.07Update_NIM Summary 09GRC 2 3" xfId="6234"/>
    <cellStyle name="_DEM-WP(C) Costs not in AURORA 2007PCORC-5.07Update_NIM Summary 09GRC 3" xfId="6235"/>
    <cellStyle name="_DEM-WP(C) Costs not in AURORA 2007PCORC-5.07Update_NIM Summary 09GRC 3 2" xfId="6236"/>
    <cellStyle name="_DEM-WP(C) Costs not in AURORA 2007PCORC-5.07Update_NIM Summary 09GRC 4" xfId="6237"/>
    <cellStyle name="_DEM-WP(C) Costs not in AURORA 2007PCORC-5.07Update_NIM Summary 09GRC_DEM-WP(C) ENERG10C--ctn Mid-C_042010 2010GRC" xfId="6238"/>
    <cellStyle name="_DEM-WP(C) Costs not in AURORA 2007PCORC-5.07Update_NIM Summary 09GRC_DEM-WP(C) ENERG10C--ctn Mid-C_042010 2010GRC 2" xfId="6239"/>
    <cellStyle name="_DEM-WP(C) Costs not in AURORA 2007PCORC-5.07Update_NIM Summary 09GRC_NIM Summary" xfId="6240"/>
    <cellStyle name="_DEM-WP(C) Costs not in AURORA 2007PCORC-5.07Update_NIM Summary 09GRC_NIM Summary 2" xfId="6241"/>
    <cellStyle name="_DEM-WP(C) Costs not in AURORA 2007PCORC-5.07Update_NIM Summary 09GRC_NIM Summary 2 2" xfId="6242"/>
    <cellStyle name="_DEM-WP(C) Costs not in AURORA 2007PCORC-5.07Update_NIM Summary 09GRC_NIM Summary 2 2 2" xfId="6243"/>
    <cellStyle name="_DEM-WP(C) Costs not in AURORA 2007PCORC-5.07Update_NIM Summary 09GRC_NIM Summary 2 3" xfId="6244"/>
    <cellStyle name="_DEM-WP(C) Costs not in AURORA 2007PCORC-5.07Update_NIM Summary 09GRC_NIM Summary 3" xfId="6245"/>
    <cellStyle name="_DEM-WP(C) Costs not in AURORA 2007PCORC-5.07Update_NIM Summary 09GRC_NIM Summary 3 2" xfId="6246"/>
    <cellStyle name="_DEM-WP(C) Costs not in AURORA 2007PCORC-5.07Update_NIM Summary 09GRC_NIM Summary 4" xfId="6247"/>
    <cellStyle name="_DEM-WP(C) Costs not in AURORA 2007PCORC-5.07Update_NIM Summary 09GRC_NIM Summary_DEM-WP(C) ENERG10C--ctn Mid-C_042010 2010GRC" xfId="6248"/>
    <cellStyle name="_DEM-WP(C) Costs not in AURORA 2007PCORC-5.07Update_NIM Summary 09GRC_NIM Summary_DEM-WP(C) ENERG10C--ctn Mid-C_042010 2010GRC 2" xfId="6249"/>
    <cellStyle name="_DEM-WP(C) Costs not in AURORA 2007PCORC-5.07Update_NIM Summary 10" xfId="6250"/>
    <cellStyle name="_DEM-WP(C) Costs not in AURORA 2007PCORC-5.07Update_NIM Summary 10 2" xfId="6251"/>
    <cellStyle name="_DEM-WP(C) Costs not in AURORA 2007PCORC-5.07Update_NIM Summary 11" xfId="6252"/>
    <cellStyle name="_DEM-WP(C) Costs not in AURORA 2007PCORC-5.07Update_NIM Summary 11 2" xfId="6253"/>
    <cellStyle name="_DEM-WP(C) Costs not in AURORA 2007PCORC-5.07Update_NIM Summary 12" xfId="6254"/>
    <cellStyle name="_DEM-WP(C) Costs not in AURORA 2007PCORC-5.07Update_NIM Summary 12 2" xfId="6255"/>
    <cellStyle name="_DEM-WP(C) Costs not in AURORA 2007PCORC-5.07Update_NIM Summary 13" xfId="6256"/>
    <cellStyle name="_DEM-WP(C) Costs not in AURORA 2007PCORC-5.07Update_NIM Summary 13 2" xfId="6257"/>
    <cellStyle name="_DEM-WP(C) Costs not in AURORA 2007PCORC-5.07Update_NIM Summary 14" xfId="6258"/>
    <cellStyle name="_DEM-WP(C) Costs not in AURORA 2007PCORC-5.07Update_NIM Summary 14 2" xfId="6259"/>
    <cellStyle name="_DEM-WP(C) Costs not in AURORA 2007PCORC-5.07Update_NIM Summary 15" xfId="6260"/>
    <cellStyle name="_DEM-WP(C) Costs not in AURORA 2007PCORC-5.07Update_NIM Summary 15 2" xfId="6261"/>
    <cellStyle name="_DEM-WP(C) Costs not in AURORA 2007PCORC-5.07Update_NIM Summary 16" xfId="6262"/>
    <cellStyle name="_DEM-WP(C) Costs not in AURORA 2007PCORC-5.07Update_NIM Summary 16 2" xfId="6263"/>
    <cellStyle name="_DEM-WP(C) Costs not in AURORA 2007PCORC-5.07Update_NIM Summary 17" xfId="6264"/>
    <cellStyle name="_DEM-WP(C) Costs not in AURORA 2007PCORC-5.07Update_NIM Summary 17 2" xfId="6265"/>
    <cellStyle name="_DEM-WP(C) Costs not in AURORA 2007PCORC-5.07Update_NIM Summary 18" xfId="6266"/>
    <cellStyle name="_DEM-WP(C) Costs not in AURORA 2007PCORC-5.07Update_NIM Summary 18 2" xfId="6267"/>
    <cellStyle name="_DEM-WP(C) Costs not in AURORA 2007PCORC-5.07Update_NIM Summary 19" xfId="6268"/>
    <cellStyle name="_DEM-WP(C) Costs not in AURORA 2007PCORC-5.07Update_NIM Summary 19 2" xfId="6269"/>
    <cellStyle name="_DEM-WP(C) Costs not in AURORA 2007PCORC-5.07Update_NIM Summary 2" xfId="6270"/>
    <cellStyle name="_DEM-WP(C) Costs not in AURORA 2007PCORC-5.07Update_NIM Summary 2 2" xfId="6271"/>
    <cellStyle name="_DEM-WP(C) Costs not in AURORA 2007PCORC-5.07Update_NIM Summary 2 2 2" xfId="6272"/>
    <cellStyle name="_DEM-WP(C) Costs not in AURORA 2007PCORC-5.07Update_NIM Summary 2 3" xfId="6273"/>
    <cellStyle name="_DEM-WP(C) Costs not in AURORA 2007PCORC-5.07Update_NIM Summary 20" xfId="6274"/>
    <cellStyle name="_DEM-WP(C) Costs not in AURORA 2007PCORC-5.07Update_NIM Summary 20 2" xfId="6275"/>
    <cellStyle name="_DEM-WP(C) Costs not in AURORA 2007PCORC-5.07Update_NIM Summary 21" xfId="6276"/>
    <cellStyle name="_DEM-WP(C) Costs not in AURORA 2007PCORC-5.07Update_NIM Summary 21 2" xfId="6277"/>
    <cellStyle name="_DEM-WP(C) Costs not in AURORA 2007PCORC-5.07Update_NIM Summary 22" xfId="6278"/>
    <cellStyle name="_DEM-WP(C) Costs not in AURORA 2007PCORC-5.07Update_NIM Summary 22 2" xfId="6279"/>
    <cellStyle name="_DEM-WP(C) Costs not in AURORA 2007PCORC-5.07Update_NIM Summary 23" xfId="6280"/>
    <cellStyle name="_DEM-WP(C) Costs not in AURORA 2007PCORC-5.07Update_NIM Summary 23 2" xfId="6281"/>
    <cellStyle name="_DEM-WP(C) Costs not in AURORA 2007PCORC-5.07Update_NIM Summary 24" xfId="6282"/>
    <cellStyle name="_DEM-WP(C) Costs not in AURORA 2007PCORC-5.07Update_NIM Summary 24 2" xfId="6283"/>
    <cellStyle name="_DEM-WP(C) Costs not in AURORA 2007PCORC-5.07Update_NIM Summary 25" xfId="6284"/>
    <cellStyle name="_DEM-WP(C) Costs not in AURORA 2007PCORC-5.07Update_NIM Summary 25 2" xfId="6285"/>
    <cellStyle name="_DEM-WP(C) Costs not in AURORA 2007PCORC-5.07Update_NIM Summary 26" xfId="6286"/>
    <cellStyle name="_DEM-WP(C) Costs not in AURORA 2007PCORC-5.07Update_NIM Summary 26 2" xfId="6287"/>
    <cellStyle name="_DEM-WP(C) Costs not in AURORA 2007PCORC-5.07Update_NIM Summary 27" xfId="6288"/>
    <cellStyle name="_DEM-WP(C) Costs not in AURORA 2007PCORC-5.07Update_NIM Summary 27 2" xfId="6289"/>
    <cellStyle name="_DEM-WP(C) Costs not in AURORA 2007PCORC-5.07Update_NIM Summary 28" xfId="6290"/>
    <cellStyle name="_DEM-WP(C) Costs not in AURORA 2007PCORC-5.07Update_NIM Summary 28 2" xfId="6291"/>
    <cellStyle name="_DEM-WP(C) Costs not in AURORA 2007PCORC-5.07Update_NIM Summary 29" xfId="6292"/>
    <cellStyle name="_DEM-WP(C) Costs not in AURORA 2007PCORC-5.07Update_NIM Summary 29 2" xfId="6293"/>
    <cellStyle name="_DEM-WP(C) Costs not in AURORA 2007PCORC-5.07Update_NIM Summary 3" xfId="6294"/>
    <cellStyle name="_DEM-WP(C) Costs not in AURORA 2007PCORC-5.07Update_NIM Summary 3 2" xfId="6295"/>
    <cellStyle name="_DEM-WP(C) Costs not in AURORA 2007PCORC-5.07Update_NIM Summary 30" xfId="6296"/>
    <cellStyle name="_DEM-WP(C) Costs not in AURORA 2007PCORC-5.07Update_NIM Summary 30 2" xfId="6297"/>
    <cellStyle name="_DEM-WP(C) Costs not in AURORA 2007PCORC-5.07Update_NIM Summary 31" xfId="6298"/>
    <cellStyle name="_DEM-WP(C) Costs not in AURORA 2007PCORC-5.07Update_NIM Summary 31 2" xfId="6299"/>
    <cellStyle name="_DEM-WP(C) Costs not in AURORA 2007PCORC-5.07Update_NIM Summary 32" xfId="6300"/>
    <cellStyle name="_DEM-WP(C) Costs not in AURORA 2007PCORC-5.07Update_NIM Summary 32 2" xfId="6301"/>
    <cellStyle name="_DEM-WP(C) Costs not in AURORA 2007PCORC-5.07Update_NIM Summary 33" xfId="6302"/>
    <cellStyle name="_DEM-WP(C) Costs not in AURORA 2007PCORC-5.07Update_NIM Summary 33 2" xfId="6303"/>
    <cellStyle name="_DEM-WP(C) Costs not in AURORA 2007PCORC-5.07Update_NIM Summary 34" xfId="6304"/>
    <cellStyle name="_DEM-WP(C) Costs not in AURORA 2007PCORC-5.07Update_NIM Summary 34 2" xfId="6305"/>
    <cellStyle name="_DEM-WP(C) Costs not in AURORA 2007PCORC-5.07Update_NIM Summary 35" xfId="6306"/>
    <cellStyle name="_DEM-WP(C) Costs not in AURORA 2007PCORC-5.07Update_NIM Summary 35 2" xfId="6307"/>
    <cellStyle name="_DEM-WP(C) Costs not in AURORA 2007PCORC-5.07Update_NIM Summary 36" xfId="6308"/>
    <cellStyle name="_DEM-WP(C) Costs not in AURORA 2007PCORC-5.07Update_NIM Summary 36 2" xfId="6309"/>
    <cellStyle name="_DEM-WP(C) Costs not in AURORA 2007PCORC-5.07Update_NIM Summary 37" xfId="6310"/>
    <cellStyle name="_DEM-WP(C) Costs not in AURORA 2007PCORC-5.07Update_NIM Summary 37 2" xfId="6311"/>
    <cellStyle name="_DEM-WP(C) Costs not in AURORA 2007PCORC-5.07Update_NIM Summary 38" xfId="6312"/>
    <cellStyle name="_DEM-WP(C) Costs not in AURORA 2007PCORC-5.07Update_NIM Summary 38 2" xfId="6313"/>
    <cellStyle name="_DEM-WP(C) Costs not in AURORA 2007PCORC-5.07Update_NIM Summary 39" xfId="6314"/>
    <cellStyle name="_DEM-WP(C) Costs not in AURORA 2007PCORC-5.07Update_NIM Summary 39 2" xfId="6315"/>
    <cellStyle name="_DEM-WP(C) Costs not in AURORA 2007PCORC-5.07Update_NIM Summary 4" xfId="6316"/>
    <cellStyle name="_DEM-WP(C) Costs not in AURORA 2007PCORC-5.07Update_NIM Summary 4 2" xfId="6317"/>
    <cellStyle name="_DEM-WP(C) Costs not in AURORA 2007PCORC-5.07Update_NIM Summary 40" xfId="6318"/>
    <cellStyle name="_DEM-WP(C) Costs not in AURORA 2007PCORC-5.07Update_NIM Summary 40 2" xfId="6319"/>
    <cellStyle name="_DEM-WP(C) Costs not in AURORA 2007PCORC-5.07Update_NIM Summary 41" xfId="6320"/>
    <cellStyle name="_DEM-WP(C) Costs not in AURORA 2007PCORC-5.07Update_NIM Summary 41 2" xfId="6321"/>
    <cellStyle name="_DEM-WP(C) Costs not in AURORA 2007PCORC-5.07Update_NIM Summary 42" xfId="6322"/>
    <cellStyle name="_DEM-WP(C) Costs not in AURORA 2007PCORC-5.07Update_NIM Summary 42 2" xfId="6323"/>
    <cellStyle name="_DEM-WP(C) Costs not in AURORA 2007PCORC-5.07Update_NIM Summary 43" xfId="6324"/>
    <cellStyle name="_DEM-WP(C) Costs not in AURORA 2007PCORC-5.07Update_NIM Summary 43 2" xfId="6325"/>
    <cellStyle name="_DEM-WP(C) Costs not in AURORA 2007PCORC-5.07Update_NIM Summary 44" xfId="6326"/>
    <cellStyle name="_DEM-WP(C) Costs not in AURORA 2007PCORC-5.07Update_NIM Summary 44 2" xfId="6327"/>
    <cellStyle name="_DEM-WP(C) Costs not in AURORA 2007PCORC-5.07Update_NIM Summary 45" xfId="6328"/>
    <cellStyle name="_DEM-WP(C) Costs not in AURORA 2007PCORC-5.07Update_NIM Summary 45 2" xfId="6329"/>
    <cellStyle name="_DEM-WP(C) Costs not in AURORA 2007PCORC-5.07Update_NIM Summary 46" xfId="6330"/>
    <cellStyle name="_DEM-WP(C) Costs not in AURORA 2007PCORC-5.07Update_NIM Summary 46 2" xfId="6331"/>
    <cellStyle name="_DEM-WP(C) Costs not in AURORA 2007PCORC-5.07Update_NIM Summary 47" xfId="6332"/>
    <cellStyle name="_DEM-WP(C) Costs not in AURORA 2007PCORC-5.07Update_NIM Summary 47 2" xfId="6333"/>
    <cellStyle name="_DEM-WP(C) Costs not in AURORA 2007PCORC-5.07Update_NIM Summary 48" xfId="6334"/>
    <cellStyle name="_DEM-WP(C) Costs not in AURORA 2007PCORC-5.07Update_NIM Summary 49" xfId="6335"/>
    <cellStyle name="_DEM-WP(C) Costs not in AURORA 2007PCORC-5.07Update_NIM Summary 5" xfId="6336"/>
    <cellStyle name="_DEM-WP(C) Costs not in AURORA 2007PCORC-5.07Update_NIM Summary 5 2" xfId="6337"/>
    <cellStyle name="_DEM-WP(C) Costs not in AURORA 2007PCORC-5.07Update_NIM Summary 50" xfId="6338"/>
    <cellStyle name="_DEM-WP(C) Costs not in AURORA 2007PCORC-5.07Update_NIM Summary 51" xfId="6339"/>
    <cellStyle name="_DEM-WP(C) Costs not in AURORA 2007PCORC-5.07Update_NIM Summary 52" xfId="6340"/>
    <cellStyle name="_DEM-WP(C) Costs not in AURORA 2007PCORC-5.07Update_NIM Summary 6" xfId="6341"/>
    <cellStyle name="_DEM-WP(C) Costs not in AURORA 2007PCORC-5.07Update_NIM Summary 6 2" xfId="6342"/>
    <cellStyle name="_DEM-WP(C) Costs not in AURORA 2007PCORC-5.07Update_NIM Summary 7" xfId="6343"/>
    <cellStyle name="_DEM-WP(C) Costs not in AURORA 2007PCORC-5.07Update_NIM Summary 7 2" xfId="6344"/>
    <cellStyle name="_DEM-WP(C) Costs not in AURORA 2007PCORC-5.07Update_NIM Summary 8" xfId="6345"/>
    <cellStyle name="_DEM-WP(C) Costs not in AURORA 2007PCORC-5.07Update_NIM Summary 8 2" xfId="6346"/>
    <cellStyle name="_DEM-WP(C) Costs not in AURORA 2007PCORC-5.07Update_NIM Summary 9" xfId="6347"/>
    <cellStyle name="_DEM-WP(C) Costs not in AURORA 2007PCORC-5.07Update_NIM Summary 9 2" xfId="6348"/>
    <cellStyle name="_DEM-WP(C) Costs not in AURORA 2007PCORC-5.07Update_NIM Summary_DEM-WP(C) ENERG10C--ctn Mid-C_042010 2010GRC" xfId="6349"/>
    <cellStyle name="_DEM-WP(C) Costs not in AURORA 2007PCORC-5.07Update_NIM Summary_DEM-WP(C) ENERG10C--ctn Mid-C_042010 2010GRC 2" xfId="6350"/>
    <cellStyle name="_DEM-WP(C) Costs not in AURORA 2007PCORC-5.07Update_NIM+O&amp;M Monthly" xfId="6351"/>
    <cellStyle name="_DEM-WP(C) Costs not in AURORA 2007PCORC-5.07Update_NIM+O&amp;M Monthly 2" xfId="6352"/>
    <cellStyle name="_DEM-WP(C) Costs not in AURORA 2007PCORC-5.07Update_Power Costs - Comparison bx Rbtl-Staff-Jt-PC" xfId="6353"/>
    <cellStyle name="_DEM-WP(C) Costs not in AURORA 2007PCORC-5.07Update_Power Costs - Comparison bx Rbtl-Staff-Jt-PC 2" xfId="6354"/>
    <cellStyle name="_DEM-WP(C) Costs not in AURORA 2007PCORC-5.07Update_Power Costs - Comparison bx Rbtl-Staff-Jt-PC 2 2" xfId="6355"/>
    <cellStyle name="_DEM-WP(C) Costs not in AURORA 2007PCORC-5.07Update_Power Costs - Comparison bx Rbtl-Staff-Jt-PC 2 2 2" xfId="6356"/>
    <cellStyle name="_DEM-WP(C) Costs not in AURORA 2007PCORC-5.07Update_Power Costs - Comparison bx Rbtl-Staff-Jt-PC 2 3" xfId="6357"/>
    <cellStyle name="_DEM-WP(C) Costs not in AURORA 2007PCORC-5.07Update_Power Costs - Comparison bx Rbtl-Staff-Jt-PC 3" xfId="6358"/>
    <cellStyle name="_DEM-WP(C) Costs not in AURORA 2007PCORC-5.07Update_Power Costs - Comparison bx Rbtl-Staff-Jt-PC 3 2" xfId="6359"/>
    <cellStyle name="_DEM-WP(C) Costs not in AURORA 2007PCORC-5.07Update_Power Costs - Comparison bx Rbtl-Staff-Jt-PC 4" xfId="6360"/>
    <cellStyle name="_DEM-WP(C) Costs not in AURORA 2007PCORC-5.07Update_Power Costs - Comparison bx Rbtl-Staff-Jt-PC_DEM-WP(C) ENERG10C--ctn Mid-C_042010 2010GRC" xfId="6361"/>
    <cellStyle name="_DEM-WP(C) Costs not in AURORA 2007PCORC-5.07Update_Power Costs - Comparison bx Rbtl-Staff-Jt-PC_DEM-WP(C) ENERG10C--ctn Mid-C_042010 2010GRC 2" xfId="6362"/>
    <cellStyle name="_DEM-WP(C) Costs not in AURORA 2007PCORC-5.07Update_Rebuttal Power Costs" xfId="6363"/>
    <cellStyle name="_DEM-WP(C) Costs not in AURORA 2007PCORC-5.07Update_Rebuttal Power Costs 2" xfId="6364"/>
    <cellStyle name="_DEM-WP(C) Costs not in AURORA 2007PCORC-5.07Update_Rebuttal Power Costs 2 2" xfId="6365"/>
    <cellStyle name="_DEM-WP(C) Costs not in AURORA 2007PCORC-5.07Update_Rebuttal Power Costs 2 2 2" xfId="6366"/>
    <cellStyle name="_DEM-WP(C) Costs not in AURORA 2007PCORC-5.07Update_Rebuttal Power Costs 2 3" xfId="6367"/>
    <cellStyle name="_DEM-WP(C) Costs not in AURORA 2007PCORC-5.07Update_Rebuttal Power Costs 3" xfId="6368"/>
    <cellStyle name="_DEM-WP(C) Costs not in AURORA 2007PCORC-5.07Update_Rebuttal Power Costs 3 2" xfId="6369"/>
    <cellStyle name="_DEM-WP(C) Costs not in AURORA 2007PCORC-5.07Update_Rebuttal Power Costs 4" xfId="6370"/>
    <cellStyle name="_DEM-WP(C) Costs not in AURORA 2007PCORC-5.07Update_Rebuttal Power Costs_DEM-WP(C) ENERG10C--ctn Mid-C_042010 2010GRC" xfId="6371"/>
    <cellStyle name="_DEM-WP(C) Costs not in AURORA 2007PCORC-5.07Update_Rebuttal Power Costs_DEM-WP(C) ENERG10C--ctn Mid-C_042010 2010GRC 2" xfId="6372"/>
    <cellStyle name="_DEM-WP(C) Costs not in AURORA 2007PCORC-5.07Update_TENASKA REGULATORY ASSET" xfId="6373"/>
    <cellStyle name="_DEM-WP(C) Costs not in AURORA 2007PCORC-5.07Update_TENASKA REGULATORY ASSET 2" xfId="6374"/>
    <cellStyle name="_DEM-WP(C) Costs not in AURORA 2007PCORC-5.07Update_TENASKA REGULATORY ASSET 2 2" xfId="6375"/>
    <cellStyle name="_DEM-WP(C) Costs not in AURORA 2007PCORC-5.07Update_TENASKA REGULATORY ASSET 3" xfId="6376"/>
    <cellStyle name="_DEM-WP(C) Costs Not In AURORA 2009GRC" xfId="6377"/>
    <cellStyle name="_DEM-WP(C) Costs Not In AURORA 2009GRC 2" xfId="6378"/>
    <cellStyle name="_x0013__DEM-WP(C) ENERG10C--ctn Mid-C_042010 2010GRC" xfId="6379"/>
    <cellStyle name="_x0013__DEM-WP(C) ENERG10C--ctn Mid-C_042010 2010GRC 2" xfId="6380"/>
    <cellStyle name="_DEM-WP(C) Prod O&amp;M 2007GRC" xfId="6381"/>
    <cellStyle name="_DEM-WP(C) Prod O&amp;M 2007GRC 2" xfId="6382"/>
    <cellStyle name="_DEM-WP(C) Prod O&amp;M 2007GRC 2 2" xfId="6383"/>
    <cellStyle name="_DEM-WP(C) Prod O&amp;M 2007GRC 2 2 2" xfId="6384"/>
    <cellStyle name="_DEM-WP(C) Prod O&amp;M 2007GRC 2 3" xfId="6385"/>
    <cellStyle name="_DEM-WP(C) Prod O&amp;M 2007GRC 3" xfId="6386"/>
    <cellStyle name="_DEM-WP(C) Prod O&amp;M 2007GRC 3 2" xfId="6387"/>
    <cellStyle name="_DEM-WP(C) Prod O&amp;M 2007GRC 4" xfId="6388"/>
    <cellStyle name="_DEM-WP(C) Prod O&amp;M 2007GRC 4 2" xfId="6389"/>
    <cellStyle name="_DEM-WP(C) Prod O&amp;M 2007GRC 5" xfId="6390"/>
    <cellStyle name="_DEM-WP(C) Prod O&amp;M 2007GRC 5 2" xfId="6391"/>
    <cellStyle name="_DEM-WP(C) Prod O&amp;M 2007GRC 6" xfId="6392"/>
    <cellStyle name="_DEM-WP(C) Prod O&amp;M 2007GRC 6 2" xfId="6393"/>
    <cellStyle name="_DEM-WP(C) Prod O&amp;M 2007GRC_Adj Bench DR 3 for Initial Briefs (Electric)" xfId="6394"/>
    <cellStyle name="_DEM-WP(C) Prod O&amp;M 2007GRC_Adj Bench DR 3 for Initial Briefs (Electric) 2" xfId="6395"/>
    <cellStyle name="_DEM-WP(C) Prod O&amp;M 2007GRC_Adj Bench DR 3 for Initial Briefs (Electric) 2 2" xfId="6396"/>
    <cellStyle name="_DEM-WP(C) Prod O&amp;M 2007GRC_Adj Bench DR 3 for Initial Briefs (Electric) 2 2 2" xfId="6397"/>
    <cellStyle name="_DEM-WP(C) Prod O&amp;M 2007GRC_Adj Bench DR 3 for Initial Briefs (Electric) 2 3" xfId="6398"/>
    <cellStyle name="_DEM-WP(C) Prod O&amp;M 2007GRC_Adj Bench DR 3 for Initial Briefs (Electric) 3" xfId="6399"/>
    <cellStyle name="_DEM-WP(C) Prod O&amp;M 2007GRC_Adj Bench DR 3 for Initial Briefs (Electric) 3 2" xfId="6400"/>
    <cellStyle name="_DEM-WP(C) Prod O&amp;M 2007GRC_Adj Bench DR 3 for Initial Briefs (Electric) 4" xfId="6401"/>
    <cellStyle name="_DEM-WP(C) Prod O&amp;M 2007GRC_Adj Bench DR 3 for Initial Briefs (Electric)_DEM-WP(C) ENERG10C--ctn Mid-C_042010 2010GRC" xfId="6402"/>
    <cellStyle name="_DEM-WP(C) Prod O&amp;M 2007GRC_Adj Bench DR 3 for Initial Briefs (Electric)_DEM-WP(C) ENERG10C--ctn Mid-C_042010 2010GRC 2" xfId="6403"/>
    <cellStyle name="_DEM-WP(C) Prod O&amp;M 2007GRC_Book2" xfId="6404"/>
    <cellStyle name="_DEM-WP(C) Prod O&amp;M 2007GRC_Book2 2" xfId="6405"/>
    <cellStyle name="_DEM-WP(C) Prod O&amp;M 2007GRC_Book2 2 2" xfId="6406"/>
    <cellStyle name="_DEM-WP(C) Prod O&amp;M 2007GRC_Book2 2 2 2" xfId="6407"/>
    <cellStyle name="_DEM-WP(C) Prod O&amp;M 2007GRC_Book2 2 3" xfId="6408"/>
    <cellStyle name="_DEM-WP(C) Prod O&amp;M 2007GRC_Book2 3" xfId="6409"/>
    <cellStyle name="_DEM-WP(C) Prod O&amp;M 2007GRC_Book2 3 2" xfId="6410"/>
    <cellStyle name="_DEM-WP(C) Prod O&amp;M 2007GRC_Book2 4" xfId="6411"/>
    <cellStyle name="_DEM-WP(C) Prod O&amp;M 2007GRC_Book2_Adj Bench DR 3 for Initial Briefs (Electric)" xfId="6412"/>
    <cellStyle name="_DEM-WP(C) Prod O&amp;M 2007GRC_Book2_Adj Bench DR 3 for Initial Briefs (Electric) 2" xfId="6413"/>
    <cellStyle name="_DEM-WP(C) Prod O&amp;M 2007GRC_Book2_Adj Bench DR 3 for Initial Briefs (Electric) 2 2" xfId="6414"/>
    <cellStyle name="_DEM-WP(C) Prod O&amp;M 2007GRC_Book2_Adj Bench DR 3 for Initial Briefs (Electric) 2 2 2" xfId="6415"/>
    <cellStyle name="_DEM-WP(C) Prod O&amp;M 2007GRC_Book2_Adj Bench DR 3 for Initial Briefs (Electric) 2 3" xfId="6416"/>
    <cellStyle name="_DEM-WP(C) Prod O&amp;M 2007GRC_Book2_Adj Bench DR 3 for Initial Briefs (Electric) 3" xfId="6417"/>
    <cellStyle name="_DEM-WP(C) Prod O&amp;M 2007GRC_Book2_Adj Bench DR 3 for Initial Briefs (Electric) 3 2" xfId="6418"/>
    <cellStyle name="_DEM-WP(C) Prod O&amp;M 2007GRC_Book2_Adj Bench DR 3 for Initial Briefs (Electric) 4" xfId="6419"/>
    <cellStyle name="_DEM-WP(C) Prod O&amp;M 2007GRC_Book2_Adj Bench DR 3 for Initial Briefs (Electric)_DEM-WP(C) ENERG10C--ctn Mid-C_042010 2010GRC" xfId="6420"/>
    <cellStyle name="_DEM-WP(C) Prod O&amp;M 2007GRC_Book2_Adj Bench DR 3 for Initial Briefs (Electric)_DEM-WP(C) ENERG10C--ctn Mid-C_042010 2010GRC 2" xfId="6421"/>
    <cellStyle name="_DEM-WP(C) Prod O&amp;M 2007GRC_Book2_DEM-WP(C) ENERG10C--ctn Mid-C_042010 2010GRC" xfId="6422"/>
    <cellStyle name="_DEM-WP(C) Prod O&amp;M 2007GRC_Book2_DEM-WP(C) ENERG10C--ctn Mid-C_042010 2010GRC 2" xfId="6423"/>
    <cellStyle name="_DEM-WP(C) Prod O&amp;M 2007GRC_Book2_Electric Rev Req Model (2009 GRC) Rebuttal" xfId="6424"/>
    <cellStyle name="_DEM-WP(C) Prod O&amp;M 2007GRC_Book2_Electric Rev Req Model (2009 GRC) Rebuttal 2" xfId="6425"/>
    <cellStyle name="_DEM-WP(C) Prod O&amp;M 2007GRC_Book2_Electric Rev Req Model (2009 GRC) Rebuttal 2 2" xfId="6426"/>
    <cellStyle name="_DEM-WP(C) Prod O&amp;M 2007GRC_Book2_Electric Rev Req Model (2009 GRC) Rebuttal 3" xfId="6427"/>
    <cellStyle name="_DEM-WP(C) Prod O&amp;M 2007GRC_Book2_Electric Rev Req Model (2009 GRC) Rebuttal REmoval of New  WH Solar AdjustMI" xfId="6428"/>
    <cellStyle name="_DEM-WP(C) Prod O&amp;M 2007GRC_Book2_Electric Rev Req Model (2009 GRC) Rebuttal REmoval of New  WH Solar AdjustMI 2" xfId="6429"/>
    <cellStyle name="_DEM-WP(C) Prod O&amp;M 2007GRC_Book2_Electric Rev Req Model (2009 GRC) Rebuttal REmoval of New  WH Solar AdjustMI 2 2" xfId="6430"/>
    <cellStyle name="_DEM-WP(C) Prod O&amp;M 2007GRC_Book2_Electric Rev Req Model (2009 GRC) Rebuttal REmoval of New  WH Solar AdjustMI 2 2 2" xfId="6431"/>
    <cellStyle name="_DEM-WP(C) Prod O&amp;M 2007GRC_Book2_Electric Rev Req Model (2009 GRC) Rebuttal REmoval of New  WH Solar AdjustMI 2 3" xfId="6432"/>
    <cellStyle name="_DEM-WP(C) Prod O&amp;M 2007GRC_Book2_Electric Rev Req Model (2009 GRC) Rebuttal REmoval of New  WH Solar AdjustMI 3" xfId="6433"/>
    <cellStyle name="_DEM-WP(C) Prod O&amp;M 2007GRC_Book2_Electric Rev Req Model (2009 GRC) Rebuttal REmoval of New  WH Solar AdjustMI 3 2" xfId="6434"/>
    <cellStyle name="_DEM-WP(C) Prod O&amp;M 2007GRC_Book2_Electric Rev Req Model (2009 GRC) Rebuttal REmoval of New  WH Solar AdjustMI 4" xfId="6435"/>
    <cellStyle name="_DEM-WP(C) Prod O&amp;M 2007GRC_Book2_Electric Rev Req Model (2009 GRC) Rebuttal REmoval of New  WH Solar AdjustMI_DEM-WP(C) ENERG10C--ctn Mid-C_042010 2010GRC" xfId="6436"/>
    <cellStyle name="_DEM-WP(C) Prod O&amp;M 2007GRC_Book2_Electric Rev Req Model (2009 GRC) Rebuttal REmoval of New  WH Solar AdjustMI_DEM-WP(C) ENERG10C--ctn Mid-C_042010 2010GRC 2" xfId="6437"/>
    <cellStyle name="_DEM-WP(C) Prod O&amp;M 2007GRC_Book2_Electric Rev Req Model (2009 GRC) Revised 01-18-2010" xfId="6438"/>
    <cellStyle name="_DEM-WP(C) Prod O&amp;M 2007GRC_Book2_Electric Rev Req Model (2009 GRC) Revised 01-18-2010 2" xfId="6439"/>
    <cellStyle name="_DEM-WP(C) Prod O&amp;M 2007GRC_Book2_Electric Rev Req Model (2009 GRC) Revised 01-18-2010 2 2" xfId="6440"/>
    <cellStyle name="_DEM-WP(C) Prod O&amp;M 2007GRC_Book2_Electric Rev Req Model (2009 GRC) Revised 01-18-2010 2 2 2" xfId="6441"/>
    <cellStyle name="_DEM-WP(C) Prod O&amp;M 2007GRC_Book2_Electric Rev Req Model (2009 GRC) Revised 01-18-2010 2 3" xfId="6442"/>
    <cellStyle name="_DEM-WP(C) Prod O&amp;M 2007GRC_Book2_Electric Rev Req Model (2009 GRC) Revised 01-18-2010 3" xfId="6443"/>
    <cellStyle name="_DEM-WP(C) Prod O&amp;M 2007GRC_Book2_Electric Rev Req Model (2009 GRC) Revised 01-18-2010 3 2" xfId="6444"/>
    <cellStyle name="_DEM-WP(C) Prod O&amp;M 2007GRC_Book2_Electric Rev Req Model (2009 GRC) Revised 01-18-2010 4" xfId="6445"/>
    <cellStyle name="_DEM-WP(C) Prod O&amp;M 2007GRC_Book2_Electric Rev Req Model (2009 GRC) Revised 01-18-2010_DEM-WP(C) ENERG10C--ctn Mid-C_042010 2010GRC" xfId="6446"/>
    <cellStyle name="_DEM-WP(C) Prod O&amp;M 2007GRC_Book2_Electric Rev Req Model (2009 GRC) Revised 01-18-2010_DEM-WP(C) ENERG10C--ctn Mid-C_042010 2010GRC 2" xfId="6447"/>
    <cellStyle name="_DEM-WP(C) Prod O&amp;M 2007GRC_Book2_Final Order Electric EXHIBIT A-1" xfId="6448"/>
    <cellStyle name="_DEM-WP(C) Prod O&amp;M 2007GRC_Book2_Final Order Electric EXHIBIT A-1 2" xfId="6449"/>
    <cellStyle name="_DEM-WP(C) Prod O&amp;M 2007GRC_Book2_Final Order Electric EXHIBIT A-1 2 2" xfId="6450"/>
    <cellStyle name="_DEM-WP(C) Prod O&amp;M 2007GRC_Book2_Final Order Electric EXHIBIT A-1 3" xfId="6451"/>
    <cellStyle name="_DEM-WP(C) Prod O&amp;M 2007GRC_Colstrip 1&amp;2 Annual O&amp;M Budgets" xfId="6452"/>
    <cellStyle name="_DEM-WP(C) Prod O&amp;M 2007GRC_Colstrip 1&amp;2 Annual O&amp;M Budgets 2" xfId="6453"/>
    <cellStyle name="_DEM-WP(C) Prod O&amp;M 2007GRC_Colstrip 1&amp;2 Annual O&amp;M Budgets 3" xfId="6454"/>
    <cellStyle name="_DEM-WP(C) Prod O&amp;M 2007GRC_Confidential Material" xfId="6455"/>
    <cellStyle name="_DEM-WP(C) Prod O&amp;M 2007GRC_Confidential Material 2" xfId="6456"/>
    <cellStyle name="_DEM-WP(C) Prod O&amp;M 2007GRC_DEM-WP(C) Colstrip 12 Coal Cost Forecast 2010GRC" xfId="6457"/>
    <cellStyle name="_DEM-WP(C) Prod O&amp;M 2007GRC_DEM-WP(C) Colstrip 12 Coal Cost Forecast 2010GRC 2" xfId="6458"/>
    <cellStyle name="_DEM-WP(C) Prod O&amp;M 2007GRC_DEM-WP(C) ENERG10C--ctn Mid-C_042010 2010GRC" xfId="6459"/>
    <cellStyle name="_DEM-WP(C) Prod O&amp;M 2007GRC_DEM-WP(C) ENERG10C--ctn Mid-C_042010 2010GRC 2" xfId="6460"/>
    <cellStyle name="_DEM-WP(C) Prod O&amp;M 2007GRC_DEM-WP(C) Production O&amp;M 2010GRC As-Filed" xfId="6461"/>
    <cellStyle name="_DEM-WP(C) Prod O&amp;M 2007GRC_DEM-WP(C) Production O&amp;M 2010GRC As-Filed 2" xfId="6462"/>
    <cellStyle name="_DEM-WP(C) Prod O&amp;M 2007GRC_DEM-WP(C) Production O&amp;M 2010GRC As-Filed 2 2" xfId="6463"/>
    <cellStyle name="_DEM-WP(C) Prod O&amp;M 2007GRC_DEM-WP(C) Production O&amp;M 2010GRC As-Filed 2 3" xfId="6464"/>
    <cellStyle name="_DEM-WP(C) Prod O&amp;M 2007GRC_DEM-WP(C) Production O&amp;M 2010GRC As-Filed 3" xfId="6465"/>
    <cellStyle name="_DEM-WP(C) Prod O&amp;M 2007GRC_DEM-WP(C) Production O&amp;M 2010GRC As-Filed 3 2" xfId="6466"/>
    <cellStyle name="_DEM-WP(C) Prod O&amp;M 2007GRC_DEM-WP(C) Production O&amp;M 2010GRC As-Filed 4" xfId="6467"/>
    <cellStyle name="_DEM-WP(C) Prod O&amp;M 2007GRC_DEM-WP(C) Production O&amp;M 2010GRC As-Filed 4 2" xfId="6468"/>
    <cellStyle name="_DEM-WP(C) Prod O&amp;M 2007GRC_DEM-WP(C) Production O&amp;M 2010GRC As-Filed 5" xfId="6469"/>
    <cellStyle name="_DEM-WP(C) Prod O&amp;M 2007GRC_DEM-WP(C) Production O&amp;M 2010GRC As-Filed 5 2" xfId="6470"/>
    <cellStyle name="_DEM-WP(C) Prod O&amp;M 2007GRC_DEM-WP(C) Production O&amp;M 2010GRC As-Filed 6" xfId="6471"/>
    <cellStyle name="_DEM-WP(C) Prod O&amp;M 2007GRC_DEM-WP(C) Production O&amp;M 2010GRC As-Filed 6 2" xfId="6472"/>
    <cellStyle name="_DEM-WP(C) Prod O&amp;M 2007GRC_Electric Rev Req Model (2009 GRC) Rebuttal" xfId="6473"/>
    <cellStyle name="_DEM-WP(C) Prod O&amp;M 2007GRC_Electric Rev Req Model (2009 GRC) Rebuttal 2" xfId="6474"/>
    <cellStyle name="_DEM-WP(C) Prod O&amp;M 2007GRC_Electric Rev Req Model (2009 GRC) Rebuttal 2 2" xfId="6475"/>
    <cellStyle name="_DEM-WP(C) Prod O&amp;M 2007GRC_Electric Rev Req Model (2009 GRC) Rebuttal 3" xfId="6476"/>
    <cellStyle name="_DEM-WP(C) Prod O&amp;M 2007GRC_Electric Rev Req Model (2009 GRC) Rebuttal REmoval of New  WH Solar AdjustMI" xfId="6477"/>
    <cellStyle name="_DEM-WP(C) Prod O&amp;M 2007GRC_Electric Rev Req Model (2009 GRC) Rebuttal REmoval of New  WH Solar AdjustMI 2" xfId="6478"/>
    <cellStyle name="_DEM-WP(C) Prod O&amp;M 2007GRC_Electric Rev Req Model (2009 GRC) Rebuttal REmoval of New  WH Solar AdjustMI 2 2" xfId="6479"/>
    <cellStyle name="_DEM-WP(C) Prod O&amp;M 2007GRC_Electric Rev Req Model (2009 GRC) Rebuttal REmoval of New  WH Solar AdjustMI 2 2 2" xfId="6480"/>
    <cellStyle name="_DEM-WP(C) Prod O&amp;M 2007GRC_Electric Rev Req Model (2009 GRC) Rebuttal REmoval of New  WH Solar AdjustMI 2 3" xfId="6481"/>
    <cellStyle name="_DEM-WP(C) Prod O&amp;M 2007GRC_Electric Rev Req Model (2009 GRC) Rebuttal REmoval of New  WH Solar AdjustMI 3" xfId="6482"/>
    <cellStyle name="_DEM-WP(C) Prod O&amp;M 2007GRC_Electric Rev Req Model (2009 GRC) Rebuttal REmoval of New  WH Solar AdjustMI 3 2" xfId="6483"/>
    <cellStyle name="_DEM-WP(C) Prod O&amp;M 2007GRC_Electric Rev Req Model (2009 GRC) Rebuttal REmoval of New  WH Solar AdjustMI 4" xfId="6484"/>
    <cellStyle name="_DEM-WP(C) Prod O&amp;M 2007GRC_Electric Rev Req Model (2009 GRC) Rebuttal REmoval of New  WH Solar AdjustMI_DEM-WP(C) ENERG10C--ctn Mid-C_042010 2010GRC" xfId="6485"/>
    <cellStyle name="_DEM-WP(C) Prod O&amp;M 2007GRC_Electric Rev Req Model (2009 GRC) Rebuttal REmoval of New  WH Solar AdjustMI_DEM-WP(C) ENERG10C--ctn Mid-C_042010 2010GRC 2" xfId="6486"/>
    <cellStyle name="_DEM-WP(C) Prod O&amp;M 2007GRC_Electric Rev Req Model (2009 GRC) Revised 01-18-2010" xfId="6487"/>
    <cellStyle name="_DEM-WP(C) Prod O&amp;M 2007GRC_Electric Rev Req Model (2009 GRC) Revised 01-18-2010 2" xfId="6488"/>
    <cellStyle name="_DEM-WP(C) Prod O&amp;M 2007GRC_Electric Rev Req Model (2009 GRC) Revised 01-18-2010 2 2" xfId="6489"/>
    <cellStyle name="_DEM-WP(C) Prod O&amp;M 2007GRC_Electric Rev Req Model (2009 GRC) Revised 01-18-2010 2 2 2" xfId="6490"/>
    <cellStyle name="_DEM-WP(C) Prod O&amp;M 2007GRC_Electric Rev Req Model (2009 GRC) Revised 01-18-2010 2 3" xfId="6491"/>
    <cellStyle name="_DEM-WP(C) Prod O&amp;M 2007GRC_Electric Rev Req Model (2009 GRC) Revised 01-18-2010 3" xfId="6492"/>
    <cellStyle name="_DEM-WP(C) Prod O&amp;M 2007GRC_Electric Rev Req Model (2009 GRC) Revised 01-18-2010 3 2" xfId="6493"/>
    <cellStyle name="_DEM-WP(C) Prod O&amp;M 2007GRC_Electric Rev Req Model (2009 GRC) Revised 01-18-2010 4" xfId="6494"/>
    <cellStyle name="_DEM-WP(C) Prod O&amp;M 2007GRC_Electric Rev Req Model (2009 GRC) Revised 01-18-2010_DEM-WP(C) ENERG10C--ctn Mid-C_042010 2010GRC" xfId="6495"/>
    <cellStyle name="_DEM-WP(C) Prod O&amp;M 2007GRC_Electric Rev Req Model (2009 GRC) Revised 01-18-2010_DEM-WP(C) ENERG10C--ctn Mid-C_042010 2010GRC 2" xfId="6496"/>
    <cellStyle name="_DEM-WP(C) Prod O&amp;M 2007GRC_Final Order Electric EXHIBIT A-1" xfId="6497"/>
    <cellStyle name="_DEM-WP(C) Prod O&amp;M 2007GRC_Final Order Electric EXHIBIT A-1 2" xfId="6498"/>
    <cellStyle name="_DEM-WP(C) Prod O&amp;M 2007GRC_Final Order Electric EXHIBIT A-1 2 2" xfId="6499"/>
    <cellStyle name="_DEM-WP(C) Prod O&amp;M 2007GRC_Final Order Electric EXHIBIT A-1 3" xfId="6500"/>
    <cellStyle name="_DEM-WP(C) Prod O&amp;M 2007GRC_Rebuttal Power Costs" xfId="6501"/>
    <cellStyle name="_DEM-WP(C) Prod O&amp;M 2007GRC_Rebuttal Power Costs 2" xfId="6502"/>
    <cellStyle name="_DEM-WP(C) Prod O&amp;M 2007GRC_Rebuttal Power Costs 2 2" xfId="6503"/>
    <cellStyle name="_DEM-WP(C) Prod O&amp;M 2007GRC_Rebuttal Power Costs 2 2 2" xfId="6504"/>
    <cellStyle name="_DEM-WP(C) Prod O&amp;M 2007GRC_Rebuttal Power Costs 2 3" xfId="6505"/>
    <cellStyle name="_DEM-WP(C) Prod O&amp;M 2007GRC_Rebuttal Power Costs 3" xfId="6506"/>
    <cellStyle name="_DEM-WP(C) Prod O&amp;M 2007GRC_Rebuttal Power Costs 3 2" xfId="6507"/>
    <cellStyle name="_DEM-WP(C) Prod O&amp;M 2007GRC_Rebuttal Power Costs 4" xfId="6508"/>
    <cellStyle name="_DEM-WP(C) Prod O&amp;M 2007GRC_Rebuttal Power Costs_Adj Bench DR 3 for Initial Briefs (Electric)" xfId="6509"/>
    <cellStyle name="_DEM-WP(C) Prod O&amp;M 2007GRC_Rebuttal Power Costs_Adj Bench DR 3 for Initial Briefs (Electric) 2" xfId="6510"/>
    <cellStyle name="_DEM-WP(C) Prod O&amp;M 2007GRC_Rebuttal Power Costs_Adj Bench DR 3 for Initial Briefs (Electric) 2 2" xfId="6511"/>
    <cellStyle name="_DEM-WP(C) Prod O&amp;M 2007GRC_Rebuttal Power Costs_Adj Bench DR 3 for Initial Briefs (Electric) 2 2 2" xfId="6512"/>
    <cellStyle name="_DEM-WP(C) Prod O&amp;M 2007GRC_Rebuttal Power Costs_Adj Bench DR 3 for Initial Briefs (Electric) 2 3" xfId="6513"/>
    <cellStyle name="_DEM-WP(C) Prod O&amp;M 2007GRC_Rebuttal Power Costs_Adj Bench DR 3 for Initial Briefs (Electric) 3" xfId="6514"/>
    <cellStyle name="_DEM-WP(C) Prod O&amp;M 2007GRC_Rebuttal Power Costs_Adj Bench DR 3 for Initial Briefs (Electric) 3 2" xfId="6515"/>
    <cellStyle name="_DEM-WP(C) Prod O&amp;M 2007GRC_Rebuttal Power Costs_Adj Bench DR 3 for Initial Briefs (Electric) 4" xfId="6516"/>
    <cellStyle name="_DEM-WP(C) Prod O&amp;M 2007GRC_Rebuttal Power Costs_Adj Bench DR 3 for Initial Briefs (Electric)_DEM-WP(C) ENERG10C--ctn Mid-C_042010 2010GRC" xfId="6517"/>
    <cellStyle name="_DEM-WP(C) Prod O&amp;M 2007GRC_Rebuttal Power Costs_Adj Bench DR 3 for Initial Briefs (Electric)_DEM-WP(C) ENERG10C--ctn Mid-C_042010 2010GRC 2" xfId="6518"/>
    <cellStyle name="_DEM-WP(C) Prod O&amp;M 2007GRC_Rebuttal Power Costs_DEM-WP(C) ENERG10C--ctn Mid-C_042010 2010GRC" xfId="6519"/>
    <cellStyle name="_DEM-WP(C) Prod O&amp;M 2007GRC_Rebuttal Power Costs_DEM-WP(C) ENERG10C--ctn Mid-C_042010 2010GRC 2" xfId="6520"/>
    <cellStyle name="_DEM-WP(C) Prod O&amp;M 2007GRC_Rebuttal Power Costs_Electric Rev Req Model (2009 GRC) Rebuttal" xfId="6521"/>
    <cellStyle name="_DEM-WP(C) Prod O&amp;M 2007GRC_Rebuttal Power Costs_Electric Rev Req Model (2009 GRC) Rebuttal 2" xfId="6522"/>
    <cellStyle name="_DEM-WP(C) Prod O&amp;M 2007GRC_Rebuttal Power Costs_Electric Rev Req Model (2009 GRC) Rebuttal 2 2" xfId="6523"/>
    <cellStyle name="_DEM-WP(C) Prod O&amp;M 2007GRC_Rebuttal Power Costs_Electric Rev Req Model (2009 GRC) Rebuttal 3" xfId="6524"/>
    <cellStyle name="_DEM-WP(C) Prod O&amp;M 2007GRC_Rebuttal Power Costs_Electric Rev Req Model (2009 GRC) Rebuttal REmoval of New  WH Solar AdjustMI" xfId="6525"/>
    <cellStyle name="_DEM-WP(C) Prod O&amp;M 2007GRC_Rebuttal Power Costs_Electric Rev Req Model (2009 GRC) Rebuttal REmoval of New  WH Solar AdjustMI 2" xfId="6526"/>
    <cellStyle name="_DEM-WP(C) Prod O&amp;M 2007GRC_Rebuttal Power Costs_Electric Rev Req Model (2009 GRC) Rebuttal REmoval of New  WH Solar AdjustMI 2 2" xfId="6527"/>
    <cellStyle name="_DEM-WP(C) Prod O&amp;M 2007GRC_Rebuttal Power Costs_Electric Rev Req Model (2009 GRC) Rebuttal REmoval of New  WH Solar AdjustMI 2 2 2" xfId="6528"/>
    <cellStyle name="_DEM-WP(C) Prod O&amp;M 2007GRC_Rebuttal Power Costs_Electric Rev Req Model (2009 GRC) Rebuttal REmoval of New  WH Solar AdjustMI 2 3" xfId="6529"/>
    <cellStyle name="_DEM-WP(C) Prod O&amp;M 2007GRC_Rebuttal Power Costs_Electric Rev Req Model (2009 GRC) Rebuttal REmoval of New  WH Solar AdjustMI 3" xfId="6530"/>
    <cellStyle name="_DEM-WP(C) Prod O&amp;M 2007GRC_Rebuttal Power Costs_Electric Rev Req Model (2009 GRC) Rebuttal REmoval of New  WH Solar AdjustMI 3 2" xfId="6531"/>
    <cellStyle name="_DEM-WP(C) Prod O&amp;M 2007GRC_Rebuttal Power Costs_Electric Rev Req Model (2009 GRC) Rebuttal REmoval of New  WH Solar AdjustMI 4" xfId="6532"/>
    <cellStyle name="_DEM-WP(C) Prod O&amp;M 2007GRC_Rebuttal Power Costs_Electric Rev Req Model (2009 GRC) Rebuttal REmoval of New  WH Solar AdjustMI_DEM-WP(C) ENERG10C--ctn Mid-C_042010 2010GRC" xfId="6533"/>
    <cellStyle name="_DEM-WP(C) Prod O&amp;M 2007GRC_Rebuttal Power Costs_Electric Rev Req Model (2009 GRC) Rebuttal REmoval of New  WH Solar AdjustMI_DEM-WP(C) ENERG10C--ctn Mid-C_042010 2010GRC 2" xfId="6534"/>
    <cellStyle name="_DEM-WP(C) Prod O&amp;M 2007GRC_Rebuttal Power Costs_Electric Rev Req Model (2009 GRC) Revised 01-18-2010" xfId="6535"/>
    <cellStyle name="_DEM-WP(C) Prod O&amp;M 2007GRC_Rebuttal Power Costs_Electric Rev Req Model (2009 GRC) Revised 01-18-2010 2" xfId="6536"/>
    <cellStyle name="_DEM-WP(C) Prod O&amp;M 2007GRC_Rebuttal Power Costs_Electric Rev Req Model (2009 GRC) Revised 01-18-2010 2 2" xfId="6537"/>
    <cellStyle name="_DEM-WP(C) Prod O&amp;M 2007GRC_Rebuttal Power Costs_Electric Rev Req Model (2009 GRC) Revised 01-18-2010 2 2 2" xfId="6538"/>
    <cellStyle name="_DEM-WP(C) Prod O&amp;M 2007GRC_Rebuttal Power Costs_Electric Rev Req Model (2009 GRC) Revised 01-18-2010 2 3" xfId="6539"/>
    <cellStyle name="_DEM-WP(C) Prod O&amp;M 2007GRC_Rebuttal Power Costs_Electric Rev Req Model (2009 GRC) Revised 01-18-2010 3" xfId="6540"/>
    <cellStyle name="_DEM-WP(C) Prod O&amp;M 2007GRC_Rebuttal Power Costs_Electric Rev Req Model (2009 GRC) Revised 01-18-2010 3 2" xfId="6541"/>
    <cellStyle name="_DEM-WP(C) Prod O&amp;M 2007GRC_Rebuttal Power Costs_Electric Rev Req Model (2009 GRC) Revised 01-18-2010 4" xfId="6542"/>
    <cellStyle name="_DEM-WP(C) Prod O&amp;M 2007GRC_Rebuttal Power Costs_Electric Rev Req Model (2009 GRC) Revised 01-18-2010_DEM-WP(C) ENERG10C--ctn Mid-C_042010 2010GRC" xfId="6543"/>
    <cellStyle name="_DEM-WP(C) Prod O&amp;M 2007GRC_Rebuttal Power Costs_Electric Rev Req Model (2009 GRC) Revised 01-18-2010_DEM-WP(C) ENERG10C--ctn Mid-C_042010 2010GRC 2" xfId="6544"/>
    <cellStyle name="_DEM-WP(C) Prod O&amp;M 2007GRC_Rebuttal Power Costs_Final Order Electric EXHIBIT A-1" xfId="6545"/>
    <cellStyle name="_DEM-WP(C) Prod O&amp;M 2007GRC_Rebuttal Power Costs_Final Order Electric EXHIBIT A-1 2" xfId="6546"/>
    <cellStyle name="_DEM-WP(C) Prod O&amp;M 2007GRC_Rebuttal Power Costs_Final Order Electric EXHIBIT A-1 2 2" xfId="6547"/>
    <cellStyle name="_DEM-WP(C) Prod O&amp;M 2007GRC_Rebuttal Power Costs_Final Order Electric EXHIBIT A-1 3" xfId="6548"/>
    <cellStyle name="_x0013__DEM-WP(C) Production O&amp;M 2010GRC As-Filed" xfId="6549"/>
    <cellStyle name="_x0013__DEM-WP(C) Production O&amp;M 2010GRC As-Filed 2" xfId="6550"/>
    <cellStyle name="_x0013__DEM-WP(C) Production O&amp;M 2010GRC As-Filed 2 2" xfId="6551"/>
    <cellStyle name="_x0013__DEM-WP(C) Production O&amp;M 2010GRC As-Filed 2 3" xfId="6552"/>
    <cellStyle name="_x0013__DEM-WP(C) Production O&amp;M 2010GRC As-Filed 3" xfId="6553"/>
    <cellStyle name="_x0013__DEM-WP(C) Production O&amp;M 2010GRC As-Filed 3 2" xfId="6554"/>
    <cellStyle name="_x0013__DEM-WP(C) Production O&amp;M 2010GRC As-Filed 4" xfId="6555"/>
    <cellStyle name="_x0013__DEM-WP(C) Production O&amp;M 2010GRC As-Filed 4 2" xfId="6556"/>
    <cellStyle name="_x0013__DEM-WP(C) Production O&amp;M 2010GRC As-Filed 5" xfId="6557"/>
    <cellStyle name="_x0013__DEM-WP(C) Production O&amp;M 2010GRC As-Filed 5 2" xfId="6558"/>
    <cellStyle name="_x0013__DEM-WP(C) Production O&amp;M 2010GRC As-Filed 6" xfId="6559"/>
    <cellStyle name="_x0013__DEM-WP(C) Production O&amp;M 2010GRC As-Filed 6 2" xfId="6560"/>
    <cellStyle name="_DEM-WP(C) Rate Year Sumas by Month Update Corrected" xfId="6561"/>
    <cellStyle name="_DEM-WP(C) Rate Year Sumas by Month Update Corrected 2" xfId="6562"/>
    <cellStyle name="_DEM-WP(C) ST Power Contracts 3102008" xfId="6563"/>
    <cellStyle name="_DEM-WP(C) ST Power Contracts 3102008 2" xfId="6564"/>
    <cellStyle name="_DEM-WP(C) ST Power Contracts 3102008 2 2" xfId="6565"/>
    <cellStyle name="_DEM-WP(C) ST Power Contracts 3102008 3" xfId="6566"/>
    <cellStyle name="_DEM-WP(C) ST Power Contracts 3102008 3 2" xfId="6567"/>
    <cellStyle name="_DEM-WP(C) ST Power Contracts 3102008 3 2 2" xfId="6568"/>
    <cellStyle name="_DEM-WP(C) ST Power Contracts 3102008 3 3" xfId="6569"/>
    <cellStyle name="_DEM-WP(C) ST Power Contracts 3102008 4" xfId="6570"/>
    <cellStyle name="_DEM-WP(C) Sumas Proforma 11.14.07" xfId="6571"/>
    <cellStyle name="_DEM-WP(C) Sumas Proforma 11.14.07 2" xfId="6572"/>
    <cellStyle name="_DEM-WP(C) Sumas Proforma 11.5.07" xfId="6573"/>
    <cellStyle name="_DEM-WP(C) Sumas Proforma 11.5.07 2" xfId="6574"/>
    <cellStyle name="_DEM-WP(C) Wells_Power_Cost" xfId="6575"/>
    <cellStyle name="_DEM-WP(C) Wells_Power_Cost 2" xfId="6576"/>
    <cellStyle name="_DEM-WP(C) Wells_Power_Cost 2 2" xfId="6577"/>
    <cellStyle name="_DEM-WP(C) Wells_Power_Cost 2 2 2" xfId="6578"/>
    <cellStyle name="_DEM-WP(C) Wells_Power_Cost 2 3" xfId="6579"/>
    <cellStyle name="_DEM-WP(C) Wells_Power_Cost 3" xfId="6580"/>
    <cellStyle name="_DEM-WP(C) Westside Hydro Data_051007" xfId="6581"/>
    <cellStyle name="_DEM-WP(C) Westside Hydro Data_051007 2" xfId="6582"/>
    <cellStyle name="_DEM-WP(C) Westside Hydro Data_051007 2 2" xfId="6583"/>
    <cellStyle name="_DEM-WP(C) Westside Hydro Data_051007 2 2 2" xfId="6584"/>
    <cellStyle name="_DEM-WP(C) Westside Hydro Data_051007 2 3" xfId="6585"/>
    <cellStyle name="_DEM-WP(C) Westside Hydro Data_051007 3" xfId="6586"/>
    <cellStyle name="_DEM-WP(C) Westside Hydro Data_051007 3 2" xfId="6587"/>
    <cellStyle name="_DEM-WP(C) Westside Hydro Data_051007 4" xfId="6588"/>
    <cellStyle name="_DEM-WP(C) Westside Hydro Data_051007_16.37E Wild Horse Expansion DeferralRevwrkingfile SF" xfId="6589"/>
    <cellStyle name="_DEM-WP(C) Westside Hydro Data_051007_16.37E Wild Horse Expansion DeferralRevwrkingfile SF 2" xfId="6590"/>
    <cellStyle name="_DEM-WP(C) Westside Hydro Data_051007_16.37E Wild Horse Expansion DeferralRevwrkingfile SF 2 2" xfId="6591"/>
    <cellStyle name="_DEM-WP(C) Westside Hydro Data_051007_16.37E Wild Horse Expansion DeferralRevwrkingfile SF 2 2 2" xfId="6592"/>
    <cellStyle name="_DEM-WP(C) Westside Hydro Data_051007_16.37E Wild Horse Expansion DeferralRevwrkingfile SF 2 3" xfId="6593"/>
    <cellStyle name="_DEM-WP(C) Westside Hydro Data_051007_16.37E Wild Horse Expansion DeferralRevwrkingfile SF 3" xfId="6594"/>
    <cellStyle name="_DEM-WP(C) Westside Hydro Data_051007_16.37E Wild Horse Expansion DeferralRevwrkingfile SF 3 2" xfId="6595"/>
    <cellStyle name="_DEM-WP(C) Westside Hydro Data_051007_16.37E Wild Horse Expansion DeferralRevwrkingfile SF 4" xfId="6596"/>
    <cellStyle name="_DEM-WP(C) Westside Hydro Data_051007_16.37E Wild Horse Expansion DeferralRevwrkingfile SF_DEM-WP(C) ENERG10C--ctn Mid-C_042010 2010GRC" xfId="6597"/>
    <cellStyle name="_DEM-WP(C) Westside Hydro Data_051007_16.37E Wild Horse Expansion DeferralRevwrkingfile SF_DEM-WP(C) ENERG10C--ctn Mid-C_042010 2010GRC 2" xfId="6598"/>
    <cellStyle name="_DEM-WP(C) Westside Hydro Data_051007_2009 GRC Compl Filing - Exhibit D" xfId="6599"/>
    <cellStyle name="_DEM-WP(C) Westside Hydro Data_051007_2009 GRC Compl Filing - Exhibit D 2" xfId="6600"/>
    <cellStyle name="_DEM-WP(C) Westside Hydro Data_051007_2009 GRC Compl Filing - Exhibit D 2 2" xfId="6601"/>
    <cellStyle name="_DEM-WP(C) Westside Hydro Data_051007_2009 GRC Compl Filing - Exhibit D 2 2 2" xfId="6602"/>
    <cellStyle name="_DEM-WP(C) Westside Hydro Data_051007_2009 GRC Compl Filing - Exhibit D 2 3" xfId="6603"/>
    <cellStyle name="_DEM-WP(C) Westside Hydro Data_051007_2009 GRC Compl Filing - Exhibit D 3" xfId="6604"/>
    <cellStyle name="_DEM-WP(C) Westside Hydro Data_051007_2009 GRC Compl Filing - Exhibit D 3 2" xfId="6605"/>
    <cellStyle name="_DEM-WP(C) Westside Hydro Data_051007_2009 GRC Compl Filing - Exhibit D 4" xfId="6606"/>
    <cellStyle name="_DEM-WP(C) Westside Hydro Data_051007_2009 GRC Compl Filing - Exhibit D_DEM-WP(C) ENERG10C--ctn Mid-C_042010 2010GRC" xfId="6607"/>
    <cellStyle name="_DEM-WP(C) Westside Hydro Data_051007_2009 GRC Compl Filing - Exhibit D_DEM-WP(C) ENERG10C--ctn Mid-C_042010 2010GRC 2" xfId="6608"/>
    <cellStyle name="_DEM-WP(C) Westside Hydro Data_051007_Adj Bench DR 3 for Initial Briefs (Electric)" xfId="6609"/>
    <cellStyle name="_DEM-WP(C) Westside Hydro Data_051007_Adj Bench DR 3 for Initial Briefs (Electric) 2" xfId="6610"/>
    <cellStyle name="_DEM-WP(C) Westside Hydro Data_051007_Adj Bench DR 3 for Initial Briefs (Electric) 2 2" xfId="6611"/>
    <cellStyle name="_DEM-WP(C) Westside Hydro Data_051007_Adj Bench DR 3 for Initial Briefs (Electric) 2 2 2" xfId="6612"/>
    <cellStyle name="_DEM-WP(C) Westside Hydro Data_051007_Adj Bench DR 3 for Initial Briefs (Electric) 2 3" xfId="6613"/>
    <cellStyle name="_DEM-WP(C) Westside Hydro Data_051007_Adj Bench DR 3 for Initial Briefs (Electric) 3" xfId="6614"/>
    <cellStyle name="_DEM-WP(C) Westside Hydro Data_051007_Adj Bench DR 3 for Initial Briefs (Electric) 3 2" xfId="6615"/>
    <cellStyle name="_DEM-WP(C) Westside Hydro Data_051007_Adj Bench DR 3 for Initial Briefs (Electric) 4" xfId="6616"/>
    <cellStyle name="_DEM-WP(C) Westside Hydro Data_051007_Adj Bench DR 3 for Initial Briefs (Electric)_DEM-WP(C) ENERG10C--ctn Mid-C_042010 2010GRC" xfId="6617"/>
    <cellStyle name="_DEM-WP(C) Westside Hydro Data_051007_Adj Bench DR 3 for Initial Briefs (Electric)_DEM-WP(C) ENERG10C--ctn Mid-C_042010 2010GRC 2" xfId="6618"/>
    <cellStyle name="_DEM-WP(C) Westside Hydro Data_051007_Book1" xfId="6619"/>
    <cellStyle name="_DEM-WP(C) Westside Hydro Data_051007_Book1 2" xfId="6620"/>
    <cellStyle name="_DEM-WP(C) Westside Hydro Data_051007_Book2" xfId="6621"/>
    <cellStyle name="_DEM-WP(C) Westside Hydro Data_051007_Book2 2" xfId="6622"/>
    <cellStyle name="_DEM-WP(C) Westside Hydro Data_051007_Book2 2 2" xfId="6623"/>
    <cellStyle name="_DEM-WP(C) Westside Hydro Data_051007_Book2 2 2 2" xfId="6624"/>
    <cellStyle name="_DEM-WP(C) Westside Hydro Data_051007_Book2 2 3" xfId="6625"/>
    <cellStyle name="_DEM-WP(C) Westside Hydro Data_051007_Book2 3" xfId="6626"/>
    <cellStyle name="_DEM-WP(C) Westside Hydro Data_051007_Book2 3 2" xfId="6627"/>
    <cellStyle name="_DEM-WP(C) Westside Hydro Data_051007_Book2 4" xfId="6628"/>
    <cellStyle name="_DEM-WP(C) Westside Hydro Data_051007_Book2_DEM-WP(C) ENERG10C--ctn Mid-C_042010 2010GRC" xfId="6629"/>
    <cellStyle name="_DEM-WP(C) Westside Hydro Data_051007_Book2_DEM-WP(C) ENERG10C--ctn Mid-C_042010 2010GRC 2" xfId="6630"/>
    <cellStyle name="_DEM-WP(C) Westside Hydro Data_051007_Book4" xfId="6631"/>
    <cellStyle name="_DEM-WP(C) Westside Hydro Data_051007_Book4 2" xfId="6632"/>
    <cellStyle name="_DEM-WP(C) Westside Hydro Data_051007_Book4 2 2" xfId="6633"/>
    <cellStyle name="_DEM-WP(C) Westside Hydro Data_051007_Book4 2 2 2" xfId="6634"/>
    <cellStyle name="_DEM-WP(C) Westside Hydro Data_051007_Book4 2 3" xfId="6635"/>
    <cellStyle name="_DEM-WP(C) Westside Hydro Data_051007_Book4 3" xfId="6636"/>
    <cellStyle name="_DEM-WP(C) Westside Hydro Data_051007_Book4 3 2" xfId="6637"/>
    <cellStyle name="_DEM-WP(C) Westside Hydro Data_051007_Book4 4" xfId="6638"/>
    <cellStyle name="_DEM-WP(C) Westside Hydro Data_051007_Book4_DEM-WP(C) ENERG10C--ctn Mid-C_042010 2010GRC" xfId="6639"/>
    <cellStyle name="_DEM-WP(C) Westside Hydro Data_051007_Book4_DEM-WP(C) ENERG10C--ctn Mid-C_042010 2010GRC 2" xfId="6640"/>
    <cellStyle name="_DEM-WP(C) Westside Hydro Data_051007_DEM-WP(C) ENERG10C--ctn Mid-C_042010 2010GRC" xfId="6641"/>
    <cellStyle name="_DEM-WP(C) Westside Hydro Data_051007_DEM-WP(C) ENERG10C--ctn Mid-C_042010 2010GRC 2" xfId="6642"/>
    <cellStyle name="_DEM-WP(C) Westside Hydro Data_051007_Electric Rev Req Model (2009 GRC) " xfId="6643"/>
    <cellStyle name="_DEM-WP(C) Westside Hydro Data_051007_Electric Rev Req Model (2009 GRC)  2" xfId="6644"/>
    <cellStyle name="_DEM-WP(C) Westside Hydro Data_051007_Electric Rev Req Model (2009 GRC)  2 2" xfId="6645"/>
    <cellStyle name="_DEM-WP(C) Westside Hydro Data_051007_Electric Rev Req Model (2009 GRC)  2 2 2" xfId="6646"/>
    <cellStyle name="_DEM-WP(C) Westside Hydro Data_051007_Electric Rev Req Model (2009 GRC)  2 3" xfId="6647"/>
    <cellStyle name="_DEM-WP(C) Westside Hydro Data_051007_Electric Rev Req Model (2009 GRC)  3" xfId="6648"/>
    <cellStyle name="_DEM-WP(C) Westside Hydro Data_051007_Electric Rev Req Model (2009 GRC)  3 2" xfId="6649"/>
    <cellStyle name="_DEM-WP(C) Westside Hydro Data_051007_Electric Rev Req Model (2009 GRC)  4" xfId="6650"/>
    <cellStyle name="_DEM-WP(C) Westside Hydro Data_051007_Electric Rev Req Model (2009 GRC) _DEM-WP(C) ENERG10C--ctn Mid-C_042010 2010GRC" xfId="6651"/>
    <cellStyle name="_DEM-WP(C) Westside Hydro Data_051007_Electric Rev Req Model (2009 GRC) _DEM-WP(C) ENERG10C--ctn Mid-C_042010 2010GRC 2" xfId="6652"/>
    <cellStyle name="_DEM-WP(C) Westside Hydro Data_051007_Electric Rev Req Model (2009 GRC) Rebuttal" xfId="6653"/>
    <cellStyle name="_DEM-WP(C) Westside Hydro Data_051007_Electric Rev Req Model (2009 GRC) Rebuttal 2" xfId="6654"/>
    <cellStyle name="_DEM-WP(C) Westside Hydro Data_051007_Electric Rev Req Model (2009 GRC) Rebuttal 2 2" xfId="6655"/>
    <cellStyle name="_DEM-WP(C) Westside Hydro Data_051007_Electric Rev Req Model (2009 GRC) Rebuttal 3" xfId="6656"/>
    <cellStyle name="_DEM-WP(C) Westside Hydro Data_051007_Electric Rev Req Model (2009 GRC) Rebuttal REmoval of New  WH Solar AdjustMI" xfId="6657"/>
    <cellStyle name="_DEM-WP(C) Westside Hydro Data_051007_Electric Rev Req Model (2009 GRC) Rebuttal REmoval of New  WH Solar AdjustMI 2" xfId="6658"/>
    <cellStyle name="_DEM-WP(C) Westside Hydro Data_051007_Electric Rev Req Model (2009 GRC) Rebuttal REmoval of New  WH Solar AdjustMI 2 2" xfId="6659"/>
    <cellStyle name="_DEM-WP(C) Westside Hydro Data_051007_Electric Rev Req Model (2009 GRC) Rebuttal REmoval of New  WH Solar AdjustMI 2 2 2" xfId="6660"/>
    <cellStyle name="_DEM-WP(C) Westside Hydro Data_051007_Electric Rev Req Model (2009 GRC) Rebuttal REmoval of New  WH Solar AdjustMI 2 3" xfId="6661"/>
    <cellStyle name="_DEM-WP(C) Westside Hydro Data_051007_Electric Rev Req Model (2009 GRC) Rebuttal REmoval of New  WH Solar AdjustMI 3" xfId="6662"/>
    <cellStyle name="_DEM-WP(C) Westside Hydro Data_051007_Electric Rev Req Model (2009 GRC) Rebuttal REmoval of New  WH Solar AdjustMI 3 2" xfId="6663"/>
    <cellStyle name="_DEM-WP(C) Westside Hydro Data_051007_Electric Rev Req Model (2009 GRC) Rebuttal REmoval of New  WH Solar AdjustMI 4" xfId="6664"/>
    <cellStyle name="_DEM-WP(C) Westside Hydro Data_051007_Electric Rev Req Model (2009 GRC) Rebuttal REmoval of New  WH Solar AdjustMI_DEM-WP(C) ENERG10C--ctn Mid-C_042010 2010GRC" xfId="6665"/>
    <cellStyle name="_DEM-WP(C) Westside Hydro Data_051007_Electric Rev Req Model (2009 GRC) Rebuttal REmoval of New  WH Solar AdjustMI_DEM-WP(C) ENERG10C--ctn Mid-C_042010 2010GRC 2" xfId="6666"/>
    <cellStyle name="_DEM-WP(C) Westside Hydro Data_051007_Electric Rev Req Model (2009 GRC) Revised 01-18-2010" xfId="6667"/>
    <cellStyle name="_DEM-WP(C) Westside Hydro Data_051007_Electric Rev Req Model (2009 GRC) Revised 01-18-2010 2" xfId="6668"/>
    <cellStyle name="_DEM-WP(C) Westside Hydro Data_051007_Electric Rev Req Model (2009 GRC) Revised 01-18-2010 2 2" xfId="6669"/>
    <cellStyle name="_DEM-WP(C) Westside Hydro Data_051007_Electric Rev Req Model (2009 GRC) Revised 01-18-2010 2 2 2" xfId="6670"/>
    <cellStyle name="_DEM-WP(C) Westside Hydro Data_051007_Electric Rev Req Model (2009 GRC) Revised 01-18-2010 2 3" xfId="6671"/>
    <cellStyle name="_DEM-WP(C) Westside Hydro Data_051007_Electric Rev Req Model (2009 GRC) Revised 01-18-2010 3" xfId="6672"/>
    <cellStyle name="_DEM-WP(C) Westside Hydro Data_051007_Electric Rev Req Model (2009 GRC) Revised 01-18-2010 3 2" xfId="6673"/>
    <cellStyle name="_DEM-WP(C) Westside Hydro Data_051007_Electric Rev Req Model (2009 GRC) Revised 01-18-2010 4" xfId="6674"/>
    <cellStyle name="_DEM-WP(C) Westside Hydro Data_051007_Electric Rev Req Model (2009 GRC) Revised 01-18-2010_DEM-WP(C) ENERG10C--ctn Mid-C_042010 2010GRC" xfId="6675"/>
    <cellStyle name="_DEM-WP(C) Westside Hydro Data_051007_Electric Rev Req Model (2009 GRC) Revised 01-18-2010_DEM-WP(C) ENERG10C--ctn Mid-C_042010 2010GRC 2" xfId="6676"/>
    <cellStyle name="_DEM-WP(C) Westside Hydro Data_051007_Electric Rev Req Model (2010 GRC)" xfId="6677"/>
    <cellStyle name="_DEM-WP(C) Westside Hydro Data_051007_Electric Rev Req Model (2010 GRC) 2" xfId="6678"/>
    <cellStyle name="_DEM-WP(C) Westside Hydro Data_051007_Electric Rev Req Model (2010 GRC) SF" xfId="6679"/>
    <cellStyle name="_DEM-WP(C) Westside Hydro Data_051007_Electric Rev Req Model (2010 GRC) SF 2" xfId="6680"/>
    <cellStyle name="_DEM-WP(C) Westside Hydro Data_051007_Final Order Electric EXHIBIT A-1" xfId="6681"/>
    <cellStyle name="_DEM-WP(C) Westside Hydro Data_051007_Final Order Electric EXHIBIT A-1 2" xfId="6682"/>
    <cellStyle name="_DEM-WP(C) Westside Hydro Data_051007_Final Order Electric EXHIBIT A-1 2 2" xfId="6683"/>
    <cellStyle name="_DEM-WP(C) Westside Hydro Data_051007_Final Order Electric EXHIBIT A-1 3" xfId="6684"/>
    <cellStyle name="_DEM-WP(C) Westside Hydro Data_051007_NIM Summary" xfId="6685"/>
    <cellStyle name="_DEM-WP(C) Westside Hydro Data_051007_NIM Summary 2" xfId="6686"/>
    <cellStyle name="_DEM-WP(C) Westside Hydro Data_051007_NIM Summary 2 2" xfId="6687"/>
    <cellStyle name="_DEM-WP(C) Westside Hydro Data_051007_NIM Summary 2 2 2" xfId="6688"/>
    <cellStyle name="_DEM-WP(C) Westside Hydro Data_051007_NIM Summary 2 3" xfId="6689"/>
    <cellStyle name="_DEM-WP(C) Westside Hydro Data_051007_NIM Summary 3" xfId="6690"/>
    <cellStyle name="_DEM-WP(C) Westside Hydro Data_051007_NIM Summary 3 2" xfId="6691"/>
    <cellStyle name="_DEM-WP(C) Westside Hydro Data_051007_NIM Summary 4" xfId="6692"/>
    <cellStyle name="_DEM-WP(C) Westside Hydro Data_051007_NIM Summary_DEM-WP(C) ENERG10C--ctn Mid-C_042010 2010GRC" xfId="6693"/>
    <cellStyle name="_DEM-WP(C) Westside Hydro Data_051007_NIM Summary_DEM-WP(C) ENERG10C--ctn Mid-C_042010 2010GRC 2" xfId="6694"/>
    <cellStyle name="_DEM-WP(C) Westside Hydro Data_051007_Power Costs - Comparison bx Rbtl-Staff-Jt-PC" xfId="6695"/>
    <cellStyle name="_DEM-WP(C) Westside Hydro Data_051007_Power Costs - Comparison bx Rbtl-Staff-Jt-PC 2" xfId="6696"/>
    <cellStyle name="_DEM-WP(C) Westside Hydro Data_051007_Power Costs - Comparison bx Rbtl-Staff-Jt-PC 2 2" xfId="6697"/>
    <cellStyle name="_DEM-WP(C) Westside Hydro Data_051007_Power Costs - Comparison bx Rbtl-Staff-Jt-PC 2 2 2" xfId="6698"/>
    <cellStyle name="_DEM-WP(C) Westside Hydro Data_051007_Power Costs - Comparison bx Rbtl-Staff-Jt-PC 2 3" xfId="6699"/>
    <cellStyle name="_DEM-WP(C) Westside Hydro Data_051007_Power Costs - Comparison bx Rbtl-Staff-Jt-PC 3" xfId="6700"/>
    <cellStyle name="_DEM-WP(C) Westside Hydro Data_051007_Power Costs - Comparison bx Rbtl-Staff-Jt-PC 3 2" xfId="6701"/>
    <cellStyle name="_DEM-WP(C) Westside Hydro Data_051007_Power Costs - Comparison bx Rbtl-Staff-Jt-PC 4" xfId="6702"/>
    <cellStyle name="_DEM-WP(C) Westside Hydro Data_051007_Power Costs - Comparison bx Rbtl-Staff-Jt-PC_DEM-WP(C) ENERG10C--ctn Mid-C_042010 2010GRC" xfId="6703"/>
    <cellStyle name="_DEM-WP(C) Westside Hydro Data_051007_Power Costs - Comparison bx Rbtl-Staff-Jt-PC_DEM-WP(C) ENERG10C--ctn Mid-C_042010 2010GRC 2" xfId="6704"/>
    <cellStyle name="_DEM-WP(C) Westside Hydro Data_051007_Rebuttal Power Costs" xfId="6705"/>
    <cellStyle name="_DEM-WP(C) Westside Hydro Data_051007_Rebuttal Power Costs 2" xfId="6706"/>
    <cellStyle name="_DEM-WP(C) Westside Hydro Data_051007_Rebuttal Power Costs 2 2" xfId="6707"/>
    <cellStyle name="_DEM-WP(C) Westside Hydro Data_051007_Rebuttal Power Costs 2 2 2" xfId="6708"/>
    <cellStyle name="_DEM-WP(C) Westside Hydro Data_051007_Rebuttal Power Costs 2 3" xfId="6709"/>
    <cellStyle name="_DEM-WP(C) Westside Hydro Data_051007_Rebuttal Power Costs 3" xfId="6710"/>
    <cellStyle name="_DEM-WP(C) Westside Hydro Data_051007_Rebuttal Power Costs 3 2" xfId="6711"/>
    <cellStyle name="_DEM-WP(C) Westside Hydro Data_051007_Rebuttal Power Costs 4" xfId="6712"/>
    <cellStyle name="_DEM-WP(C) Westside Hydro Data_051007_Rebuttal Power Costs_DEM-WP(C) ENERG10C--ctn Mid-C_042010 2010GRC" xfId="6713"/>
    <cellStyle name="_DEM-WP(C) Westside Hydro Data_051007_Rebuttal Power Costs_DEM-WP(C) ENERG10C--ctn Mid-C_042010 2010GRC 2" xfId="6714"/>
    <cellStyle name="_DEM-WP(C) Westside Hydro Data_051007_TENASKA REGULATORY ASSET" xfId="6715"/>
    <cellStyle name="_DEM-WP(C) Westside Hydro Data_051007_TENASKA REGULATORY ASSET 2" xfId="6716"/>
    <cellStyle name="_DEM-WP(C) Westside Hydro Data_051007_TENASKA REGULATORY ASSET 2 2" xfId="6717"/>
    <cellStyle name="_DEM-WP(C) Westside Hydro Data_051007_TENASKA REGULATORY ASSET 3" xfId="6718"/>
    <cellStyle name="_Elec Peak Capacity Need_2008-2029_032709_Wind 5% Cap" xfId="6719"/>
    <cellStyle name="_Elec Peak Capacity Need_2008-2029_032709_Wind 5% Cap 2" xfId="6720"/>
    <cellStyle name="_Elec Peak Capacity Need_2008-2029_032709_Wind 5% Cap 2 2" xfId="6721"/>
    <cellStyle name="_Elec Peak Capacity Need_2008-2029_032709_Wind 5% Cap 2 2 2" xfId="6722"/>
    <cellStyle name="_Elec Peak Capacity Need_2008-2029_032709_Wind 5% Cap 2 3" xfId="6723"/>
    <cellStyle name="_Elec Peak Capacity Need_2008-2029_032709_Wind 5% Cap 3" xfId="6724"/>
    <cellStyle name="_Elec Peak Capacity Need_2008-2029_032709_Wind 5% Cap 3 2" xfId="6725"/>
    <cellStyle name="_Elec Peak Capacity Need_2008-2029_032709_Wind 5% Cap 4" xfId="6726"/>
    <cellStyle name="_Elec Peak Capacity Need_2008-2029_032709_Wind 5% Cap_DEM-WP(C) ENERG10C--ctn Mid-C_042010 2010GRC" xfId="6727"/>
    <cellStyle name="_Elec Peak Capacity Need_2008-2029_032709_Wind 5% Cap_DEM-WP(C) ENERG10C--ctn Mid-C_042010 2010GRC 2" xfId="6728"/>
    <cellStyle name="_Elec Peak Capacity Need_2008-2029_032709_Wind 5% Cap_NIM Summary" xfId="6729"/>
    <cellStyle name="_Elec Peak Capacity Need_2008-2029_032709_Wind 5% Cap_NIM Summary 2" xfId="6730"/>
    <cellStyle name="_Elec Peak Capacity Need_2008-2029_032709_Wind 5% Cap_NIM Summary 2 2" xfId="6731"/>
    <cellStyle name="_Elec Peak Capacity Need_2008-2029_032709_Wind 5% Cap_NIM Summary 2 2 2" xfId="6732"/>
    <cellStyle name="_Elec Peak Capacity Need_2008-2029_032709_Wind 5% Cap_NIM Summary 2 3" xfId="6733"/>
    <cellStyle name="_Elec Peak Capacity Need_2008-2029_032709_Wind 5% Cap_NIM Summary 3" xfId="6734"/>
    <cellStyle name="_Elec Peak Capacity Need_2008-2029_032709_Wind 5% Cap_NIM Summary 3 2" xfId="6735"/>
    <cellStyle name="_Elec Peak Capacity Need_2008-2029_032709_Wind 5% Cap_NIM Summary 4" xfId="6736"/>
    <cellStyle name="_Elec Peak Capacity Need_2008-2029_032709_Wind 5% Cap_NIM Summary_DEM-WP(C) ENERG10C--ctn Mid-C_042010 2010GRC" xfId="6737"/>
    <cellStyle name="_Elec Peak Capacity Need_2008-2029_032709_Wind 5% Cap_NIM Summary_DEM-WP(C) ENERG10C--ctn Mid-C_042010 2010GRC 2" xfId="6738"/>
    <cellStyle name="_Elec Peak Capacity Need_2008-2029_032709_Wind 5% Cap-ST-Adj-PJP1" xfId="6739"/>
    <cellStyle name="_Elec Peak Capacity Need_2008-2029_032709_Wind 5% Cap-ST-Adj-PJP1 2" xfId="6740"/>
    <cellStyle name="_Elec Peak Capacity Need_2008-2029_032709_Wind 5% Cap-ST-Adj-PJP1 2 2" xfId="6741"/>
    <cellStyle name="_Elec Peak Capacity Need_2008-2029_032709_Wind 5% Cap-ST-Adj-PJP1 2 2 2" xfId="6742"/>
    <cellStyle name="_Elec Peak Capacity Need_2008-2029_032709_Wind 5% Cap-ST-Adj-PJP1 2 3" xfId="6743"/>
    <cellStyle name="_Elec Peak Capacity Need_2008-2029_032709_Wind 5% Cap-ST-Adj-PJP1 3" xfId="6744"/>
    <cellStyle name="_Elec Peak Capacity Need_2008-2029_032709_Wind 5% Cap-ST-Adj-PJP1 3 2" xfId="6745"/>
    <cellStyle name="_Elec Peak Capacity Need_2008-2029_032709_Wind 5% Cap-ST-Adj-PJP1 4" xfId="6746"/>
    <cellStyle name="_Elec Peak Capacity Need_2008-2029_032709_Wind 5% Cap-ST-Adj-PJP1_DEM-WP(C) ENERG10C--ctn Mid-C_042010 2010GRC" xfId="6747"/>
    <cellStyle name="_Elec Peak Capacity Need_2008-2029_032709_Wind 5% Cap-ST-Adj-PJP1_DEM-WP(C) ENERG10C--ctn Mid-C_042010 2010GRC 2" xfId="6748"/>
    <cellStyle name="_Elec Peak Capacity Need_2008-2029_032709_Wind 5% Cap-ST-Adj-PJP1_NIM Summary" xfId="6749"/>
    <cellStyle name="_Elec Peak Capacity Need_2008-2029_032709_Wind 5% Cap-ST-Adj-PJP1_NIM Summary 2" xfId="6750"/>
    <cellStyle name="_Elec Peak Capacity Need_2008-2029_032709_Wind 5% Cap-ST-Adj-PJP1_NIM Summary 2 2" xfId="6751"/>
    <cellStyle name="_Elec Peak Capacity Need_2008-2029_032709_Wind 5% Cap-ST-Adj-PJP1_NIM Summary 2 2 2" xfId="6752"/>
    <cellStyle name="_Elec Peak Capacity Need_2008-2029_032709_Wind 5% Cap-ST-Adj-PJP1_NIM Summary 2 3" xfId="6753"/>
    <cellStyle name="_Elec Peak Capacity Need_2008-2029_032709_Wind 5% Cap-ST-Adj-PJP1_NIM Summary 3" xfId="6754"/>
    <cellStyle name="_Elec Peak Capacity Need_2008-2029_032709_Wind 5% Cap-ST-Adj-PJP1_NIM Summary 3 2" xfId="6755"/>
    <cellStyle name="_Elec Peak Capacity Need_2008-2029_032709_Wind 5% Cap-ST-Adj-PJP1_NIM Summary 4" xfId="6756"/>
    <cellStyle name="_Elec Peak Capacity Need_2008-2029_032709_Wind 5% Cap-ST-Adj-PJP1_NIM Summary_DEM-WP(C) ENERG10C--ctn Mid-C_042010 2010GRC" xfId="6757"/>
    <cellStyle name="_Elec Peak Capacity Need_2008-2029_032709_Wind 5% Cap-ST-Adj-PJP1_NIM Summary_DEM-WP(C) ENERG10C--ctn Mid-C_042010 2010GRC 2" xfId="6758"/>
    <cellStyle name="_Elec Peak Capacity Need_2008-2029_120908_Wind 5% Cap_Low" xfId="6759"/>
    <cellStyle name="_Elec Peak Capacity Need_2008-2029_120908_Wind 5% Cap_Low 2" xfId="6760"/>
    <cellStyle name="_Elec Peak Capacity Need_2008-2029_120908_Wind 5% Cap_Low 2 2" xfId="6761"/>
    <cellStyle name="_Elec Peak Capacity Need_2008-2029_120908_Wind 5% Cap_Low 2 2 2" xfId="6762"/>
    <cellStyle name="_Elec Peak Capacity Need_2008-2029_120908_Wind 5% Cap_Low 2 3" xfId="6763"/>
    <cellStyle name="_Elec Peak Capacity Need_2008-2029_120908_Wind 5% Cap_Low 3" xfId="6764"/>
    <cellStyle name="_Elec Peak Capacity Need_2008-2029_120908_Wind 5% Cap_Low 3 2" xfId="6765"/>
    <cellStyle name="_Elec Peak Capacity Need_2008-2029_120908_Wind 5% Cap_Low 4" xfId="6766"/>
    <cellStyle name="_Elec Peak Capacity Need_2008-2029_120908_Wind 5% Cap_Low_DEM-WP(C) ENERG10C--ctn Mid-C_042010 2010GRC" xfId="6767"/>
    <cellStyle name="_Elec Peak Capacity Need_2008-2029_120908_Wind 5% Cap_Low_DEM-WP(C) ENERG10C--ctn Mid-C_042010 2010GRC 2" xfId="6768"/>
    <cellStyle name="_Elec Peak Capacity Need_2008-2029_120908_Wind 5% Cap_Low_NIM Summary" xfId="6769"/>
    <cellStyle name="_Elec Peak Capacity Need_2008-2029_120908_Wind 5% Cap_Low_NIM Summary 2" xfId="6770"/>
    <cellStyle name="_Elec Peak Capacity Need_2008-2029_120908_Wind 5% Cap_Low_NIM Summary 2 2" xfId="6771"/>
    <cellStyle name="_Elec Peak Capacity Need_2008-2029_120908_Wind 5% Cap_Low_NIM Summary 2 2 2" xfId="6772"/>
    <cellStyle name="_Elec Peak Capacity Need_2008-2029_120908_Wind 5% Cap_Low_NIM Summary 2 3" xfId="6773"/>
    <cellStyle name="_Elec Peak Capacity Need_2008-2029_120908_Wind 5% Cap_Low_NIM Summary 3" xfId="6774"/>
    <cellStyle name="_Elec Peak Capacity Need_2008-2029_120908_Wind 5% Cap_Low_NIM Summary 3 2" xfId="6775"/>
    <cellStyle name="_Elec Peak Capacity Need_2008-2029_120908_Wind 5% Cap_Low_NIM Summary 4" xfId="6776"/>
    <cellStyle name="_Elec Peak Capacity Need_2008-2029_120908_Wind 5% Cap_Low_NIM Summary_DEM-WP(C) ENERG10C--ctn Mid-C_042010 2010GRC" xfId="6777"/>
    <cellStyle name="_Elec Peak Capacity Need_2008-2029_120908_Wind 5% Cap_Low_NIM Summary_DEM-WP(C) ENERG10C--ctn Mid-C_042010 2010GRC 2" xfId="6778"/>
    <cellStyle name="_Elec Peak Capacity Need_2008-2029_Wind 5% Cap_050809" xfId="6779"/>
    <cellStyle name="_Elec Peak Capacity Need_2008-2029_Wind 5% Cap_050809 2" xfId="6780"/>
    <cellStyle name="_Elec Peak Capacity Need_2008-2029_Wind 5% Cap_050809 2 2" xfId="6781"/>
    <cellStyle name="_Elec Peak Capacity Need_2008-2029_Wind 5% Cap_050809 2 2 2" xfId="6782"/>
    <cellStyle name="_Elec Peak Capacity Need_2008-2029_Wind 5% Cap_050809 2 3" xfId="6783"/>
    <cellStyle name="_Elec Peak Capacity Need_2008-2029_Wind 5% Cap_050809 3" xfId="6784"/>
    <cellStyle name="_Elec Peak Capacity Need_2008-2029_Wind 5% Cap_050809 3 2" xfId="6785"/>
    <cellStyle name="_Elec Peak Capacity Need_2008-2029_Wind 5% Cap_050809 4" xfId="6786"/>
    <cellStyle name="_Elec Peak Capacity Need_2008-2029_Wind 5% Cap_050809_DEM-WP(C) ENERG10C--ctn Mid-C_042010 2010GRC" xfId="6787"/>
    <cellStyle name="_Elec Peak Capacity Need_2008-2029_Wind 5% Cap_050809_DEM-WP(C) ENERG10C--ctn Mid-C_042010 2010GRC 2" xfId="6788"/>
    <cellStyle name="_Elec Peak Capacity Need_2008-2029_Wind 5% Cap_050809_NIM Summary" xfId="6789"/>
    <cellStyle name="_Elec Peak Capacity Need_2008-2029_Wind 5% Cap_050809_NIM Summary 2" xfId="6790"/>
    <cellStyle name="_Elec Peak Capacity Need_2008-2029_Wind 5% Cap_050809_NIM Summary 2 2" xfId="6791"/>
    <cellStyle name="_Elec Peak Capacity Need_2008-2029_Wind 5% Cap_050809_NIM Summary 2 2 2" xfId="6792"/>
    <cellStyle name="_Elec Peak Capacity Need_2008-2029_Wind 5% Cap_050809_NIM Summary 2 3" xfId="6793"/>
    <cellStyle name="_Elec Peak Capacity Need_2008-2029_Wind 5% Cap_050809_NIM Summary 3" xfId="6794"/>
    <cellStyle name="_Elec Peak Capacity Need_2008-2029_Wind 5% Cap_050809_NIM Summary 3 2" xfId="6795"/>
    <cellStyle name="_Elec Peak Capacity Need_2008-2029_Wind 5% Cap_050809_NIM Summary 4" xfId="6796"/>
    <cellStyle name="_Elec Peak Capacity Need_2008-2029_Wind 5% Cap_050809_NIM Summary_DEM-WP(C) ENERG10C--ctn Mid-C_042010 2010GRC" xfId="6797"/>
    <cellStyle name="_Elec Peak Capacity Need_2008-2029_Wind 5% Cap_050809_NIM Summary_DEM-WP(C) ENERG10C--ctn Mid-C_042010 2010GRC 2" xfId="6798"/>
    <cellStyle name="_x0013__Electric Rev Req Model (2009 GRC) " xfId="6799"/>
    <cellStyle name="_x0013__Electric Rev Req Model (2009 GRC)  2" xfId="6800"/>
    <cellStyle name="_x0013__Electric Rev Req Model (2009 GRC)  2 2" xfId="6801"/>
    <cellStyle name="_x0013__Electric Rev Req Model (2009 GRC)  2 2 2" xfId="6802"/>
    <cellStyle name="_x0013__Electric Rev Req Model (2009 GRC)  2 3" xfId="6803"/>
    <cellStyle name="_x0013__Electric Rev Req Model (2009 GRC)  3" xfId="6804"/>
    <cellStyle name="_x0013__Electric Rev Req Model (2009 GRC)  3 2" xfId="6805"/>
    <cellStyle name="_x0013__Electric Rev Req Model (2009 GRC)  4" xfId="6806"/>
    <cellStyle name="_x0013__Electric Rev Req Model (2009 GRC) _DEM-WP(C) ENERG10C--ctn Mid-C_042010 2010GRC" xfId="6807"/>
    <cellStyle name="_x0013__Electric Rev Req Model (2009 GRC) _DEM-WP(C) ENERG10C--ctn Mid-C_042010 2010GRC 2" xfId="6808"/>
    <cellStyle name="_x0013__Electric Rev Req Model (2009 GRC) Rebuttal" xfId="6809"/>
    <cellStyle name="_x0013__Electric Rev Req Model (2009 GRC) Rebuttal 2" xfId="6810"/>
    <cellStyle name="_x0013__Electric Rev Req Model (2009 GRC) Rebuttal 2 2" xfId="6811"/>
    <cellStyle name="_x0013__Electric Rev Req Model (2009 GRC) Rebuttal 3" xfId="6812"/>
    <cellStyle name="_x0013__Electric Rev Req Model (2009 GRC) Rebuttal REmoval of New  WH Solar AdjustMI" xfId="6813"/>
    <cellStyle name="_x0013__Electric Rev Req Model (2009 GRC) Rebuttal REmoval of New  WH Solar AdjustMI 2" xfId="6814"/>
    <cellStyle name="_x0013__Electric Rev Req Model (2009 GRC) Rebuttal REmoval of New  WH Solar AdjustMI 2 2" xfId="6815"/>
    <cellStyle name="_x0013__Electric Rev Req Model (2009 GRC) Rebuttal REmoval of New  WH Solar AdjustMI 2 2 2" xfId="6816"/>
    <cellStyle name="_x0013__Electric Rev Req Model (2009 GRC) Rebuttal REmoval of New  WH Solar AdjustMI 2 3" xfId="6817"/>
    <cellStyle name="_x0013__Electric Rev Req Model (2009 GRC) Rebuttal REmoval of New  WH Solar AdjustMI 3" xfId="6818"/>
    <cellStyle name="_x0013__Electric Rev Req Model (2009 GRC) Rebuttal REmoval of New  WH Solar AdjustMI 3 2" xfId="6819"/>
    <cellStyle name="_x0013__Electric Rev Req Model (2009 GRC) Rebuttal REmoval of New  WH Solar AdjustMI 4" xfId="6820"/>
    <cellStyle name="_x0013__Electric Rev Req Model (2009 GRC) Rebuttal REmoval of New  WH Solar AdjustMI_DEM-WP(C) ENERG10C--ctn Mid-C_042010 2010GRC" xfId="6821"/>
    <cellStyle name="_x0013__Electric Rev Req Model (2009 GRC) Rebuttal REmoval of New  WH Solar AdjustMI_DEM-WP(C) ENERG10C--ctn Mid-C_042010 2010GRC 2" xfId="6822"/>
    <cellStyle name="_x0013__Electric Rev Req Model (2009 GRC) Revised 01-18-2010" xfId="6823"/>
    <cellStyle name="_x0013__Electric Rev Req Model (2009 GRC) Revised 01-18-2010 2" xfId="6824"/>
    <cellStyle name="_x0013__Electric Rev Req Model (2009 GRC) Revised 01-18-2010 2 2" xfId="6825"/>
    <cellStyle name="_x0013__Electric Rev Req Model (2009 GRC) Revised 01-18-2010 2 2 2" xfId="6826"/>
    <cellStyle name="_x0013__Electric Rev Req Model (2009 GRC) Revised 01-18-2010 2 3" xfId="6827"/>
    <cellStyle name="_x0013__Electric Rev Req Model (2009 GRC) Revised 01-18-2010 3" xfId="6828"/>
    <cellStyle name="_x0013__Electric Rev Req Model (2009 GRC) Revised 01-18-2010 3 2" xfId="6829"/>
    <cellStyle name="_x0013__Electric Rev Req Model (2009 GRC) Revised 01-18-2010 4" xfId="6830"/>
    <cellStyle name="_x0013__Electric Rev Req Model (2009 GRC) Revised 01-18-2010_DEM-WP(C) ENERG10C--ctn Mid-C_042010 2010GRC" xfId="6831"/>
    <cellStyle name="_x0013__Electric Rev Req Model (2009 GRC) Revised 01-18-2010_DEM-WP(C) ENERG10C--ctn Mid-C_042010 2010GRC 2" xfId="6832"/>
    <cellStyle name="_x0013__Electric Rev Req Model (2010 GRC)" xfId="6833"/>
    <cellStyle name="_x0013__Electric Rev Req Model (2010 GRC) 2" xfId="6834"/>
    <cellStyle name="_x0013__Electric Rev Req Model (2010 GRC) SF" xfId="6835"/>
    <cellStyle name="_x0013__Electric Rev Req Model (2010 GRC) SF 2" xfId="6836"/>
    <cellStyle name="_ENCOGEN_WBOOK" xfId="6837"/>
    <cellStyle name="_ENCOGEN_WBOOK 2" xfId="6838"/>
    <cellStyle name="_ENCOGEN_WBOOK 2 2" xfId="6839"/>
    <cellStyle name="_ENCOGEN_WBOOK 2 2 2" xfId="6840"/>
    <cellStyle name="_ENCOGEN_WBOOK 2 3" xfId="6841"/>
    <cellStyle name="_ENCOGEN_WBOOK 3" xfId="6842"/>
    <cellStyle name="_ENCOGEN_WBOOK 3 2" xfId="6843"/>
    <cellStyle name="_ENCOGEN_WBOOK 4" xfId="6844"/>
    <cellStyle name="_ENCOGEN_WBOOK_DEM-WP(C) ENERG10C--ctn Mid-C_042010 2010GRC" xfId="6845"/>
    <cellStyle name="_ENCOGEN_WBOOK_DEM-WP(C) ENERG10C--ctn Mid-C_042010 2010GRC 2" xfId="6846"/>
    <cellStyle name="_ENCOGEN_WBOOK_NIM Summary" xfId="6847"/>
    <cellStyle name="_ENCOGEN_WBOOK_NIM Summary 2" xfId="6848"/>
    <cellStyle name="_ENCOGEN_WBOOK_NIM Summary 2 2" xfId="6849"/>
    <cellStyle name="_ENCOGEN_WBOOK_NIM Summary 2 2 2" xfId="6850"/>
    <cellStyle name="_ENCOGEN_WBOOK_NIM Summary 2 3" xfId="6851"/>
    <cellStyle name="_ENCOGEN_WBOOK_NIM Summary 3" xfId="6852"/>
    <cellStyle name="_ENCOGEN_WBOOK_NIM Summary 3 2" xfId="6853"/>
    <cellStyle name="_ENCOGEN_WBOOK_NIM Summary 4" xfId="6854"/>
    <cellStyle name="_ENCOGEN_WBOOK_NIM Summary_DEM-WP(C) ENERG10C--ctn Mid-C_042010 2010GRC" xfId="6855"/>
    <cellStyle name="_ENCOGEN_WBOOK_NIM Summary_DEM-WP(C) ENERG10C--ctn Mid-C_042010 2010GRC 2" xfId="6856"/>
    <cellStyle name="_x0013__Final Order Electric EXHIBIT A-1" xfId="6857"/>
    <cellStyle name="_x0013__Final Order Electric EXHIBIT A-1 2" xfId="6858"/>
    <cellStyle name="_x0013__Final Order Electric EXHIBIT A-1 2 2" xfId="6859"/>
    <cellStyle name="_x0013__Final Order Electric EXHIBIT A-1 3" xfId="6860"/>
    <cellStyle name="_Fixed Gas Transport 1 19 09" xfId="6861"/>
    <cellStyle name="_Fixed Gas Transport 1 19 09 2" xfId="6862"/>
    <cellStyle name="_Fixed Gas Transport 1 19 09 2 2" xfId="6863"/>
    <cellStyle name="_Fixed Gas Transport 1 19 09 2 2 2" xfId="6864"/>
    <cellStyle name="_Fixed Gas Transport 1 19 09 2 3" xfId="6865"/>
    <cellStyle name="_Fixed Gas Transport 1 19 09 3" xfId="6866"/>
    <cellStyle name="_Fixed Gas Transport 1 19 09 3 2" xfId="6867"/>
    <cellStyle name="_Fixed Gas Transport 1 19 09 4" xfId="6868"/>
    <cellStyle name="_Fixed Gas Transport 1 19 09_DEM-WP(C) ENERG10C--ctn Mid-C_042010 2010GRC" xfId="6869"/>
    <cellStyle name="_Fixed Gas Transport 1 19 09_DEM-WP(C) ENERG10C--ctn Mid-C_042010 2010GRC 2" xfId="6870"/>
    <cellStyle name="_Fuel Prices 4-14" xfId="6871"/>
    <cellStyle name="_Fuel Prices 4-14 2" xfId="6872"/>
    <cellStyle name="_Fuel Prices 4-14 2 2" xfId="6873"/>
    <cellStyle name="_Fuel Prices 4-14 2 2 2" xfId="6874"/>
    <cellStyle name="_Fuel Prices 4-14 2 2 2 2" xfId="6875"/>
    <cellStyle name="_Fuel Prices 4-14 2 2 3" xfId="6876"/>
    <cellStyle name="_Fuel Prices 4-14 2 3" xfId="6877"/>
    <cellStyle name="_Fuel Prices 4-14 2 3 2" xfId="6878"/>
    <cellStyle name="_Fuel Prices 4-14 2 4" xfId="6879"/>
    <cellStyle name="_Fuel Prices 4-14 3" xfId="6880"/>
    <cellStyle name="_Fuel Prices 4-14 3 2" xfId="6881"/>
    <cellStyle name="_Fuel Prices 4-14 3 2 2" xfId="6882"/>
    <cellStyle name="_Fuel Prices 4-14 3 3" xfId="6883"/>
    <cellStyle name="_Fuel Prices 4-14 4" xfId="6884"/>
    <cellStyle name="_Fuel Prices 4-14 4 2" xfId="6885"/>
    <cellStyle name="_Fuel Prices 4-14 4 2 2" xfId="6886"/>
    <cellStyle name="_Fuel Prices 4-14 4 3" xfId="6887"/>
    <cellStyle name="_Fuel Prices 4-14 5" xfId="6888"/>
    <cellStyle name="_Fuel Prices 4-14 5 2" xfId="6889"/>
    <cellStyle name="_Fuel Prices 4-14 5 2 2" xfId="6890"/>
    <cellStyle name="_Fuel Prices 4-14 5 3" xfId="6891"/>
    <cellStyle name="_Fuel Prices 4-14 5 3 2" xfId="6892"/>
    <cellStyle name="_Fuel Prices 4-14 5 4" xfId="6893"/>
    <cellStyle name="_Fuel Prices 4-14 6" xfId="6894"/>
    <cellStyle name="_Fuel Prices 4-14 6 2" xfId="6895"/>
    <cellStyle name="_Fuel Prices 4-14 7" xfId="6896"/>
    <cellStyle name="_Fuel Prices 4-14 7 2" xfId="6897"/>
    <cellStyle name="_Fuel Prices 4-14 7 2 2" xfId="6898"/>
    <cellStyle name="_Fuel Prices 4-14 7 3" xfId="6899"/>
    <cellStyle name="_Fuel Prices 4-14 8" xfId="6900"/>
    <cellStyle name="_Fuel Prices 4-14 8 2" xfId="6901"/>
    <cellStyle name="_Fuel Prices 4-14 8 2 2" xfId="6902"/>
    <cellStyle name="_Fuel Prices 4-14 8 3" xfId="6903"/>
    <cellStyle name="_Fuel Prices 4-14 9" xfId="6904"/>
    <cellStyle name="_Fuel Prices 4-14_04 07E Wild Horse Wind Expansion (C) (2)" xfId="6905"/>
    <cellStyle name="_Fuel Prices 4-14_04 07E Wild Horse Wind Expansion (C) (2) 2" xfId="6906"/>
    <cellStyle name="_Fuel Prices 4-14_04 07E Wild Horse Wind Expansion (C) (2) 2 2" xfId="6907"/>
    <cellStyle name="_Fuel Prices 4-14_04 07E Wild Horse Wind Expansion (C) (2) 2 2 2" xfId="6908"/>
    <cellStyle name="_Fuel Prices 4-14_04 07E Wild Horse Wind Expansion (C) (2) 2 3" xfId="6909"/>
    <cellStyle name="_Fuel Prices 4-14_04 07E Wild Horse Wind Expansion (C) (2) 3" xfId="6910"/>
    <cellStyle name="_Fuel Prices 4-14_04 07E Wild Horse Wind Expansion (C) (2) 3 2" xfId="6911"/>
    <cellStyle name="_Fuel Prices 4-14_04 07E Wild Horse Wind Expansion (C) (2) 4" xfId="6912"/>
    <cellStyle name="_Fuel Prices 4-14_04 07E Wild Horse Wind Expansion (C) (2)_Adj Bench DR 3 for Initial Briefs (Electric)" xfId="6913"/>
    <cellStyle name="_Fuel Prices 4-14_04 07E Wild Horse Wind Expansion (C) (2)_Adj Bench DR 3 for Initial Briefs (Electric) 2" xfId="6914"/>
    <cellStyle name="_Fuel Prices 4-14_04 07E Wild Horse Wind Expansion (C) (2)_Adj Bench DR 3 for Initial Briefs (Electric) 2 2" xfId="6915"/>
    <cellStyle name="_Fuel Prices 4-14_04 07E Wild Horse Wind Expansion (C) (2)_Adj Bench DR 3 for Initial Briefs (Electric) 2 2 2" xfId="6916"/>
    <cellStyle name="_Fuel Prices 4-14_04 07E Wild Horse Wind Expansion (C) (2)_Adj Bench DR 3 for Initial Briefs (Electric) 2 3" xfId="6917"/>
    <cellStyle name="_Fuel Prices 4-14_04 07E Wild Horse Wind Expansion (C) (2)_Adj Bench DR 3 for Initial Briefs (Electric) 3" xfId="6918"/>
    <cellStyle name="_Fuel Prices 4-14_04 07E Wild Horse Wind Expansion (C) (2)_Adj Bench DR 3 for Initial Briefs (Electric) 3 2" xfId="6919"/>
    <cellStyle name="_Fuel Prices 4-14_04 07E Wild Horse Wind Expansion (C) (2)_Adj Bench DR 3 for Initial Briefs (Electric) 4" xfId="6920"/>
    <cellStyle name="_Fuel Prices 4-14_04 07E Wild Horse Wind Expansion (C) (2)_Adj Bench DR 3 for Initial Briefs (Electric)_DEM-WP(C) ENERG10C--ctn Mid-C_042010 2010GRC" xfId="6921"/>
    <cellStyle name="_Fuel Prices 4-14_04 07E Wild Horse Wind Expansion (C) (2)_Adj Bench DR 3 for Initial Briefs (Electric)_DEM-WP(C) ENERG10C--ctn Mid-C_042010 2010GRC 2" xfId="6922"/>
    <cellStyle name="_Fuel Prices 4-14_04 07E Wild Horse Wind Expansion (C) (2)_Book1" xfId="6923"/>
    <cellStyle name="_Fuel Prices 4-14_04 07E Wild Horse Wind Expansion (C) (2)_Book1 2" xfId="6924"/>
    <cellStyle name="_Fuel Prices 4-14_04 07E Wild Horse Wind Expansion (C) (2)_DEM-WP(C) ENERG10C--ctn Mid-C_042010 2010GRC" xfId="6925"/>
    <cellStyle name="_Fuel Prices 4-14_04 07E Wild Horse Wind Expansion (C) (2)_DEM-WP(C) ENERG10C--ctn Mid-C_042010 2010GRC 2" xfId="6926"/>
    <cellStyle name="_Fuel Prices 4-14_04 07E Wild Horse Wind Expansion (C) (2)_Electric Rev Req Model (2009 GRC) " xfId="6927"/>
    <cellStyle name="_Fuel Prices 4-14_04 07E Wild Horse Wind Expansion (C) (2)_Electric Rev Req Model (2009 GRC)  2" xfId="6928"/>
    <cellStyle name="_Fuel Prices 4-14_04 07E Wild Horse Wind Expansion (C) (2)_Electric Rev Req Model (2009 GRC)  2 2" xfId="6929"/>
    <cellStyle name="_Fuel Prices 4-14_04 07E Wild Horse Wind Expansion (C) (2)_Electric Rev Req Model (2009 GRC)  2 2 2" xfId="6930"/>
    <cellStyle name="_Fuel Prices 4-14_04 07E Wild Horse Wind Expansion (C) (2)_Electric Rev Req Model (2009 GRC)  2 3" xfId="6931"/>
    <cellStyle name="_Fuel Prices 4-14_04 07E Wild Horse Wind Expansion (C) (2)_Electric Rev Req Model (2009 GRC)  3" xfId="6932"/>
    <cellStyle name="_Fuel Prices 4-14_04 07E Wild Horse Wind Expansion (C) (2)_Electric Rev Req Model (2009 GRC)  3 2" xfId="6933"/>
    <cellStyle name="_Fuel Prices 4-14_04 07E Wild Horse Wind Expansion (C) (2)_Electric Rev Req Model (2009 GRC)  4" xfId="6934"/>
    <cellStyle name="_Fuel Prices 4-14_04 07E Wild Horse Wind Expansion (C) (2)_Electric Rev Req Model (2009 GRC) _DEM-WP(C) ENERG10C--ctn Mid-C_042010 2010GRC" xfId="6935"/>
    <cellStyle name="_Fuel Prices 4-14_04 07E Wild Horse Wind Expansion (C) (2)_Electric Rev Req Model (2009 GRC) _DEM-WP(C) ENERG10C--ctn Mid-C_042010 2010GRC 2" xfId="6936"/>
    <cellStyle name="_Fuel Prices 4-14_04 07E Wild Horse Wind Expansion (C) (2)_Electric Rev Req Model (2009 GRC) Rebuttal" xfId="6937"/>
    <cellStyle name="_Fuel Prices 4-14_04 07E Wild Horse Wind Expansion (C) (2)_Electric Rev Req Model (2009 GRC) Rebuttal 2" xfId="6938"/>
    <cellStyle name="_Fuel Prices 4-14_04 07E Wild Horse Wind Expansion (C) (2)_Electric Rev Req Model (2009 GRC) Rebuttal 2 2" xfId="6939"/>
    <cellStyle name="_Fuel Prices 4-14_04 07E Wild Horse Wind Expansion (C) (2)_Electric Rev Req Model (2009 GRC) Rebuttal 3" xfId="6940"/>
    <cellStyle name="_Fuel Prices 4-14_04 07E Wild Horse Wind Expansion (C) (2)_Electric Rev Req Model (2009 GRC) Rebuttal REmoval of New  WH Solar AdjustMI" xfId="6941"/>
    <cellStyle name="_Fuel Prices 4-14_04 07E Wild Horse Wind Expansion (C) (2)_Electric Rev Req Model (2009 GRC) Rebuttal REmoval of New  WH Solar AdjustMI 2" xfId="6942"/>
    <cellStyle name="_Fuel Prices 4-14_04 07E Wild Horse Wind Expansion (C) (2)_Electric Rev Req Model (2009 GRC) Rebuttal REmoval of New  WH Solar AdjustMI 2 2" xfId="6943"/>
    <cellStyle name="_Fuel Prices 4-14_04 07E Wild Horse Wind Expansion (C) (2)_Electric Rev Req Model (2009 GRC) Rebuttal REmoval of New  WH Solar AdjustMI 2 2 2" xfId="6944"/>
    <cellStyle name="_Fuel Prices 4-14_04 07E Wild Horse Wind Expansion (C) (2)_Electric Rev Req Model (2009 GRC) Rebuttal REmoval of New  WH Solar AdjustMI 2 3" xfId="6945"/>
    <cellStyle name="_Fuel Prices 4-14_04 07E Wild Horse Wind Expansion (C) (2)_Electric Rev Req Model (2009 GRC) Rebuttal REmoval of New  WH Solar AdjustMI 3" xfId="6946"/>
    <cellStyle name="_Fuel Prices 4-14_04 07E Wild Horse Wind Expansion (C) (2)_Electric Rev Req Model (2009 GRC) Rebuttal REmoval of New  WH Solar AdjustMI 3 2" xfId="6947"/>
    <cellStyle name="_Fuel Prices 4-14_04 07E Wild Horse Wind Expansion (C) (2)_Electric Rev Req Model (2009 GRC) Rebuttal REmoval of New  WH Solar AdjustMI 4" xfId="6948"/>
    <cellStyle name="_Fuel Prices 4-14_04 07E Wild Horse Wind Expansion (C) (2)_Electric Rev Req Model (2009 GRC) Rebuttal REmoval of New  WH Solar AdjustMI_DEM-WP(C) ENERG10C--ctn Mid-C_042010 2010GRC" xfId="6949"/>
    <cellStyle name="_Fuel Prices 4-14_04 07E Wild Horse Wind Expansion (C) (2)_Electric Rev Req Model (2009 GRC) Rebuttal REmoval of New  WH Solar AdjustMI_DEM-WP(C) ENERG10C--ctn Mid-C_042010 2010GRC 2" xfId="6950"/>
    <cellStyle name="_Fuel Prices 4-14_04 07E Wild Horse Wind Expansion (C) (2)_Electric Rev Req Model (2009 GRC) Revised 01-18-2010" xfId="6951"/>
    <cellStyle name="_Fuel Prices 4-14_04 07E Wild Horse Wind Expansion (C) (2)_Electric Rev Req Model (2009 GRC) Revised 01-18-2010 2" xfId="6952"/>
    <cellStyle name="_Fuel Prices 4-14_04 07E Wild Horse Wind Expansion (C) (2)_Electric Rev Req Model (2009 GRC) Revised 01-18-2010 2 2" xfId="6953"/>
    <cellStyle name="_Fuel Prices 4-14_04 07E Wild Horse Wind Expansion (C) (2)_Electric Rev Req Model (2009 GRC) Revised 01-18-2010 2 2 2" xfId="6954"/>
    <cellStyle name="_Fuel Prices 4-14_04 07E Wild Horse Wind Expansion (C) (2)_Electric Rev Req Model (2009 GRC) Revised 01-18-2010 2 3" xfId="6955"/>
    <cellStyle name="_Fuel Prices 4-14_04 07E Wild Horse Wind Expansion (C) (2)_Electric Rev Req Model (2009 GRC) Revised 01-18-2010 3" xfId="6956"/>
    <cellStyle name="_Fuel Prices 4-14_04 07E Wild Horse Wind Expansion (C) (2)_Electric Rev Req Model (2009 GRC) Revised 01-18-2010 3 2" xfId="6957"/>
    <cellStyle name="_Fuel Prices 4-14_04 07E Wild Horse Wind Expansion (C) (2)_Electric Rev Req Model (2009 GRC) Revised 01-18-2010 4" xfId="6958"/>
    <cellStyle name="_Fuel Prices 4-14_04 07E Wild Horse Wind Expansion (C) (2)_Electric Rev Req Model (2009 GRC) Revised 01-18-2010_DEM-WP(C) ENERG10C--ctn Mid-C_042010 2010GRC" xfId="6959"/>
    <cellStyle name="_Fuel Prices 4-14_04 07E Wild Horse Wind Expansion (C) (2)_Electric Rev Req Model (2009 GRC) Revised 01-18-2010_DEM-WP(C) ENERG10C--ctn Mid-C_042010 2010GRC 2" xfId="6960"/>
    <cellStyle name="_Fuel Prices 4-14_04 07E Wild Horse Wind Expansion (C) (2)_Electric Rev Req Model (2010 GRC)" xfId="6961"/>
    <cellStyle name="_Fuel Prices 4-14_04 07E Wild Horse Wind Expansion (C) (2)_Electric Rev Req Model (2010 GRC) 2" xfId="6962"/>
    <cellStyle name="_Fuel Prices 4-14_04 07E Wild Horse Wind Expansion (C) (2)_Electric Rev Req Model (2010 GRC) SF" xfId="6963"/>
    <cellStyle name="_Fuel Prices 4-14_04 07E Wild Horse Wind Expansion (C) (2)_Electric Rev Req Model (2010 GRC) SF 2" xfId="6964"/>
    <cellStyle name="_Fuel Prices 4-14_04 07E Wild Horse Wind Expansion (C) (2)_Final Order Electric EXHIBIT A-1" xfId="6965"/>
    <cellStyle name="_Fuel Prices 4-14_04 07E Wild Horse Wind Expansion (C) (2)_Final Order Electric EXHIBIT A-1 2" xfId="6966"/>
    <cellStyle name="_Fuel Prices 4-14_04 07E Wild Horse Wind Expansion (C) (2)_Final Order Electric EXHIBIT A-1 2 2" xfId="6967"/>
    <cellStyle name="_Fuel Prices 4-14_04 07E Wild Horse Wind Expansion (C) (2)_Final Order Electric EXHIBIT A-1 3" xfId="6968"/>
    <cellStyle name="_Fuel Prices 4-14_04 07E Wild Horse Wind Expansion (C) (2)_TENASKA REGULATORY ASSET" xfId="6969"/>
    <cellStyle name="_Fuel Prices 4-14_04 07E Wild Horse Wind Expansion (C) (2)_TENASKA REGULATORY ASSET 2" xfId="6970"/>
    <cellStyle name="_Fuel Prices 4-14_04 07E Wild Horse Wind Expansion (C) (2)_TENASKA REGULATORY ASSET 2 2" xfId="6971"/>
    <cellStyle name="_Fuel Prices 4-14_04 07E Wild Horse Wind Expansion (C) (2)_TENASKA REGULATORY ASSET 3" xfId="6972"/>
    <cellStyle name="_Fuel Prices 4-14_16.37E Wild Horse Expansion DeferralRevwrkingfile SF" xfId="6973"/>
    <cellStyle name="_Fuel Prices 4-14_16.37E Wild Horse Expansion DeferralRevwrkingfile SF 2" xfId="6974"/>
    <cellStyle name="_Fuel Prices 4-14_16.37E Wild Horse Expansion DeferralRevwrkingfile SF 2 2" xfId="6975"/>
    <cellStyle name="_Fuel Prices 4-14_16.37E Wild Horse Expansion DeferralRevwrkingfile SF 2 2 2" xfId="6976"/>
    <cellStyle name="_Fuel Prices 4-14_16.37E Wild Horse Expansion DeferralRevwrkingfile SF 2 3" xfId="6977"/>
    <cellStyle name="_Fuel Prices 4-14_16.37E Wild Horse Expansion DeferralRevwrkingfile SF 3" xfId="6978"/>
    <cellStyle name="_Fuel Prices 4-14_16.37E Wild Horse Expansion DeferralRevwrkingfile SF 3 2" xfId="6979"/>
    <cellStyle name="_Fuel Prices 4-14_16.37E Wild Horse Expansion DeferralRevwrkingfile SF 4" xfId="6980"/>
    <cellStyle name="_Fuel Prices 4-14_16.37E Wild Horse Expansion DeferralRevwrkingfile SF_DEM-WP(C) ENERG10C--ctn Mid-C_042010 2010GRC" xfId="6981"/>
    <cellStyle name="_Fuel Prices 4-14_16.37E Wild Horse Expansion DeferralRevwrkingfile SF_DEM-WP(C) ENERG10C--ctn Mid-C_042010 2010GRC 2" xfId="6982"/>
    <cellStyle name="_Fuel Prices 4-14_2009 Compliance Filing PCA Exhibits for GRC" xfId="6983"/>
    <cellStyle name="_Fuel Prices 4-14_2009 Compliance Filing PCA Exhibits for GRC 2" xfId="6984"/>
    <cellStyle name="_Fuel Prices 4-14_2009 Compliance Filing PCA Exhibits for GRC 2 2" xfId="6985"/>
    <cellStyle name="_Fuel Prices 4-14_2009 Compliance Filing PCA Exhibits for GRC 3" xfId="6986"/>
    <cellStyle name="_Fuel Prices 4-14_2009 GRC Compl Filing - Exhibit D" xfId="6987"/>
    <cellStyle name="_Fuel Prices 4-14_2009 GRC Compl Filing - Exhibit D 2" xfId="6988"/>
    <cellStyle name="_Fuel Prices 4-14_2009 GRC Compl Filing - Exhibit D 2 2" xfId="6989"/>
    <cellStyle name="_Fuel Prices 4-14_2009 GRC Compl Filing - Exhibit D 2 2 2" xfId="6990"/>
    <cellStyle name="_Fuel Prices 4-14_2009 GRC Compl Filing - Exhibit D 2 3" xfId="6991"/>
    <cellStyle name="_Fuel Prices 4-14_2009 GRC Compl Filing - Exhibit D 3" xfId="6992"/>
    <cellStyle name="_Fuel Prices 4-14_2009 GRC Compl Filing - Exhibit D 3 2" xfId="6993"/>
    <cellStyle name="_Fuel Prices 4-14_2009 GRC Compl Filing - Exhibit D 4" xfId="6994"/>
    <cellStyle name="_Fuel Prices 4-14_2009 GRC Compl Filing - Exhibit D_DEM-WP(C) ENERG10C--ctn Mid-C_042010 2010GRC" xfId="6995"/>
    <cellStyle name="_Fuel Prices 4-14_2009 GRC Compl Filing - Exhibit D_DEM-WP(C) ENERG10C--ctn Mid-C_042010 2010GRC 2" xfId="6996"/>
    <cellStyle name="_Fuel Prices 4-14_3.01 Income Statement" xfId="6997"/>
    <cellStyle name="_Fuel Prices 4-14_4 31 Regulatory Assets and Liabilities  7 06- Exhibit D" xfId="6998"/>
    <cellStyle name="_Fuel Prices 4-14_4 31 Regulatory Assets and Liabilities  7 06- Exhibit D 2" xfId="6999"/>
    <cellStyle name="_Fuel Prices 4-14_4 31 Regulatory Assets and Liabilities  7 06- Exhibit D 2 2" xfId="7000"/>
    <cellStyle name="_Fuel Prices 4-14_4 31 Regulatory Assets and Liabilities  7 06- Exhibit D 2 2 2" xfId="7001"/>
    <cellStyle name="_Fuel Prices 4-14_4 31 Regulatory Assets and Liabilities  7 06- Exhibit D 2 2 2 2" xfId="7002"/>
    <cellStyle name="_Fuel Prices 4-14_4 31 Regulatory Assets and Liabilities  7 06- Exhibit D 2 2 3" xfId="7003"/>
    <cellStyle name="_Fuel Prices 4-14_4 31 Regulatory Assets and Liabilities  7 06- Exhibit D 2 3" xfId="7004"/>
    <cellStyle name="_Fuel Prices 4-14_4 31 Regulatory Assets and Liabilities  7 06- Exhibit D 3" xfId="7005"/>
    <cellStyle name="_Fuel Prices 4-14_4 31 Regulatory Assets and Liabilities  7 06- Exhibit D 3 2" xfId="7006"/>
    <cellStyle name="_Fuel Prices 4-14_4 31 Regulatory Assets and Liabilities  7 06- Exhibit D 4" xfId="7007"/>
    <cellStyle name="_Fuel Prices 4-14_4 31 Regulatory Assets and Liabilities  7 06- Exhibit D_DEM-WP(C) ENERG10C--ctn Mid-C_042010 2010GRC" xfId="7008"/>
    <cellStyle name="_Fuel Prices 4-14_4 31 Regulatory Assets and Liabilities  7 06- Exhibit D_DEM-WP(C) ENERG10C--ctn Mid-C_042010 2010GRC 2" xfId="7009"/>
    <cellStyle name="_Fuel Prices 4-14_4 31 Regulatory Assets and Liabilities  7 06- Exhibit D_NIM Summary" xfId="7010"/>
    <cellStyle name="_Fuel Prices 4-14_4 31 Regulatory Assets and Liabilities  7 06- Exhibit D_NIM Summary 2" xfId="7011"/>
    <cellStyle name="_Fuel Prices 4-14_4 31 Regulatory Assets and Liabilities  7 06- Exhibit D_NIM Summary 2 2" xfId="7012"/>
    <cellStyle name="_Fuel Prices 4-14_4 31 Regulatory Assets and Liabilities  7 06- Exhibit D_NIM Summary 2 2 2" xfId="7013"/>
    <cellStyle name="_Fuel Prices 4-14_4 31 Regulatory Assets and Liabilities  7 06- Exhibit D_NIM Summary 2 3" xfId="7014"/>
    <cellStyle name="_Fuel Prices 4-14_4 31 Regulatory Assets and Liabilities  7 06- Exhibit D_NIM Summary 3" xfId="7015"/>
    <cellStyle name="_Fuel Prices 4-14_4 31 Regulatory Assets and Liabilities  7 06- Exhibit D_NIM Summary 3 2" xfId="7016"/>
    <cellStyle name="_Fuel Prices 4-14_4 31 Regulatory Assets and Liabilities  7 06- Exhibit D_NIM Summary 4" xfId="7017"/>
    <cellStyle name="_Fuel Prices 4-14_4 31 Regulatory Assets and Liabilities  7 06- Exhibit D_NIM Summary_DEM-WP(C) ENERG10C--ctn Mid-C_042010 2010GRC" xfId="7018"/>
    <cellStyle name="_Fuel Prices 4-14_4 31 Regulatory Assets and Liabilities  7 06- Exhibit D_NIM Summary_DEM-WP(C) ENERG10C--ctn Mid-C_042010 2010GRC 2" xfId="7019"/>
    <cellStyle name="_Fuel Prices 4-14_4 31 Regulatory Assets and Liabilities  7 06- Exhibit D_NIM+O&amp;M" xfId="7020"/>
    <cellStyle name="_Fuel Prices 4-14_4 31 Regulatory Assets and Liabilities  7 06- Exhibit D_NIM+O&amp;M 2" xfId="7021"/>
    <cellStyle name="_Fuel Prices 4-14_4 31 Regulatory Assets and Liabilities  7 06- Exhibit D_NIM+O&amp;M Monthly" xfId="7022"/>
    <cellStyle name="_Fuel Prices 4-14_4 31 Regulatory Assets and Liabilities  7 06- Exhibit D_NIM+O&amp;M Monthly 2" xfId="7023"/>
    <cellStyle name="_Fuel Prices 4-14_4 31E Reg Asset  Liab and EXH D" xfId="7024"/>
    <cellStyle name="_Fuel Prices 4-14_4 31E Reg Asset  Liab and EXH D _ Aug 10 Filing (2)" xfId="7025"/>
    <cellStyle name="_Fuel Prices 4-14_4 31E Reg Asset  Liab and EXH D _ Aug 10 Filing (2) 2" xfId="7026"/>
    <cellStyle name="_Fuel Prices 4-14_4 31E Reg Asset  Liab and EXH D 2" xfId="7027"/>
    <cellStyle name="_Fuel Prices 4-14_4 31E Reg Asset  Liab and EXH D 3" xfId="7028"/>
    <cellStyle name="_Fuel Prices 4-14_4 32 Regulatory Assets and Liabilities  7 06- Exhibit D" xfId="7029"/>
    <cellStyle name="_Fuel Prices 4-14_4 32 Regulatory Assets and Liabilities  7 06- Exhibit D 2" xfId="7030"/>
    <cellStyle name="_Fuel Prices 4-14_4 32 Regulatory Assets and Liabilities  7 06- Exhibit D 2 2" xfId="7031"/>
    <cellStyle name="_Fuel Prices 4-14_4 32 Regulatory Assets and Liabilities  7 06- Exhibit D 2 2 2" xfId="7032"/>
    <cellStyle name="_Fuel Prices 4-14_4 32 Regulatory Assets and Liabilities  7 06- Exhibit D 2 2 2 2" xfId="7033"/>
    <cellStyle name="_Fuel Prices 4-14_4 32 Regulatory Assets and Liabilities  7 06- Exhibit D 2 2 3" xfId="7034"/>
    <cellStyle name="_Fuel Prices 4-14_4 32 Regulatory Assets and Liabilities  7 06- Exhibit D 2 3" xfId="7035"/>
    <cellStyle name="_Fuel Prices 4-14_4 32 Regulatory Assets and Liabilities  7 06- Exhibit D 3" xfId="7036"/>
    <cellStyle name="_Fuel Prices 4-14_4 32 Regulatory Assets and Liabilities  7 06- Exhibit D 3 2" xfId="7037"/>
    <cellStyle name="_Fuel Prices 4-14_4 32 Regulatory Assets and Liabilities  7 06- Exhibit D 4" xfId="7038"/>
    <cellStyle name="_Fuel Prices 4-14_4 32 Regulatory Assets and Liabilities  7 06- Exhibit D_DEM-WP(C) ENERG10C--ctn Mid-C_042010 2010GRC" xfId="7039"/>
    <cellStyle name="_Fuel Prices 4-14_4 32 Regulatory Assets and Liabilities  7 06- Exhibit D_DEM-WP(C) ENERG10C--ctn Mid-C_042010 2010GRC 2" xfId="7040"/>
    <cellStyle name="_Fuel Prices 4-14_4 32 Regulatory Assets and Liabilities  7 06- Exhibit D_NIM Summary" xfId="7041"/>
    <cellStyle name="_Fuel Prices 4-14_4 32 Regulatory Assets and Liabilities  7 06- Exhibit D_NIM Summary 2" xfId="7042"/>
    <cellStyle name="_Fuel Prices 4-14_4 32 Regulatory Assets and Liabilities  7 06- Exhibit D_NIM Summary 2 2" xfId="7043"/>
    <cellStyle name="_Fuel Prices 4-14_4 32 Regulatory Assets and Liabilities  7 06- Exhibit D_NIM Summary 2 2 2" xfId="7044"/>
    <cellStyle name="_Fuel Prices 4-14_4 32 Regulatory Assets and Liabilities  7 06- Exhibit D_NIM Summary 2 3" xfId="7045"/>
    <cellStyle name="_Fuel Prices 4-14_4 32 Regulatory Assets and Liabilities  7 06- Exhibit D_NIM Summary 3" xfId="7046"/>
    <cellStyle name="_Fuel Prices 4-14_4 32 Regulatory Assets and Liabilities  7 06- Exhibit D_NIM Summary 3 2" xfId="7047"/>
    <cellStyle name="_Fuel Prices 4-14_4 32 Regulatory Assets and Liabilities  7 06- Exhibit D_NIM Summary 4" xfId="7048"/>
    <cellStyle name="_Fuel Prices 4-14_4 32 Regulatory Assets and Liabilities  7 06- Exhibit D_NIM Summary_DEM-WP(C) ENERG10C--ctn Mid-C_042010 2010GRC" xfId="7049"/>
    <cellStyle name="_Fuel Prices 4-14_4 32 Regulatory Assets and Liabilities  7 06- Exhibit D_NIM Summary_DEM-WP(C) ENERG10C--ctn Mid-C_042010 2010GRC 2" xfId="7050"/>
    <cellStyle name="_Fuel Prices 4-14_4 32 Regulatory Assets and Liabilities  7 06- Exhibit D_NIM+O&amp;M" xfId="7051"/>
    <cellStyle name="_Fuel Prices 4-14_4 32 Regulatory Assets and Liabilities  7 06- Exhibit D_NIM+O&amp;M 2" xfId="7052"/>
    <cellStyle name="_Fuel Prices 4-14_4 32 Regulatory Assets and Liabilities  7 06- Exhibit D_NIM+O&amp;M Monthly" xfId="7053"/>
    <cellStyle name="_Fuel Prices 4-14_4 32 Regulatory Assets and Liabilities  7 06- Exhibit D_NIM+O&amp;M Monthly 2" xfId="7054"/>
    <cellStyle name="_Fuel Prices 4-14_AURORA Total New" xfId="7055"/>
    <cellStyle name="_Fuel Prices 4-14_AURORA Total New 2" xfId="7056"/>
    <cellStyle name="_Fuel Prices 4-14_AURORA Total New 2 2" xfId="7057"/>
    <cellStyle name="_Fuel Prices 4-14_AURORA Total New 2 2 2" xfId="7058"/>
    <cellStyle name="_Fuel Prices 4-14_AURORA Total New 2 3" xfId="7059"/>
    <cellStyle name="_Fuel Prices 4-14_AURORA Total New 3" xfId="7060"/>
    <cellStyle name="_Fuel Prices 4-14_AURORA Total New 3 2" xfId="7061"/>
    <cellStyle name="_Fuel Prices 4-14_AURORA Total New 4" xfId="7062"/>
    <cellStyle name="_Fuel Prices 4-14_Book2" xfId="7063"/>
    <cellStyle name="_Fuel Prices 4-14_Book2 2" xfId="7064"/>
    <cellStyle name="_Fuel Prices 4-14_Book2 2 2" xfId="7065"/>
    <cellStyle name="_Fuel Prices 4-14_Book2 2 2 2" xfId="7066"/>
    <cellStyle name="_Fuel Prices 4-14_Book2 2 3" xfId="7067"/>
    <cellStyle name="_Fuel Prices 4-14_Book2 3" xfId="7068"/>
    <cellStyle name="_Fuel Prices 4-14_Book2 3 2" xfId="7069"/>
    <cellStyle name="_Fuel Prices 4-14_Book2 4" xfId="7070"/>
    <cellStyle name="_Fuel Prices 4-14_Book2_Adj Bench DR 3 for Initial Briefs (Electric)" xfId="7071"/>
    <cellStyle name="_Fuel Prices 4-14_Book2_Adj Bench DR 3 for Initial Briefs (Electric) 2" xfId="7072"/>
    <cellStyle name="_Fuel Prices 4-14_Book2_Adj Bench DR 3 for Initial Briefs (Electric) 2 2" xfId="7073"/>
    <cellStyle name="_Fuel Prices 4-14_Book2_Adj Bench DR 3 for Initial Briefs (Electric) 2 2 2" xfId="7074"/>
    <cellStyle name="_Fuel Prices 4-14_Book2_Adj Bench DR 3 for Initial Briefs (Electric) 2 3" xfId="7075"/>
    <cellStyle name="_Fuel Prices 4-14_Book2_Adj Bench DR 3 for Initial Briefs (Electric) 3" xfId="7076"/>
    <cellStyle name="_Fuel Prices 4-14_Book2_Adj Bench DR 3 for Initial Briefs (Electric) 3 2" xfId="7077"/>
    <cellStyle name="_Fuel Prices 4-14_Book2_Adj Bench DR 3 for Initial Briefs (Electric) 4" xfId="7078"/>
    <cellStyle name="_Fuel Prices 4-14_Book2_Adj Bench DR 3 for Initial Briefs (Electric)_DEM-WP(C) ENERG10C--ctn Mid-C_042010 2010GRC" xfId="7079"/>
    <cellStyle name="_Fuel Prices 4-14_Book2_Adj Bench DR 3 for Initial Briefs (Electric)_DEM-WP(C) ENERG10C--ctn Mid-C_042010 2010GRC 2" xfId="7080"/>
    <cellStyle name="_Fuel Prices 4-14_Book2_DEM-WP(C) ENERG10C--ctn Mid-C_042010 2010GRC" xfId="7081"/>
    <cellStyle name="_Fuel Prices 4-14_Book2_DEM-WP(C) ENERG10C--ctn Mid-C_042010 2010GRC 2" xfId="7082"/>
    <cellStyle name="_Fuel Prices 4-14_Book2_Electric Rev Req Model (2009 GRC) Rebuttal" xfId="7083"/>
    <cellStyle name="_Fuel Prices 4-14_Book2_Electric Rev Req Model (2009 GRC) Rebuttal 2" xfId="7084"/>
    <cellStyle name="_Fuel Prices 4-14_Book2_Electric Rev Req Model (2009 GRC) Rebuttal 2 2" xfId="7085"/>
    <cellStyle name="_Fuel Prices 4-14_Book2_Electric Rev Req Model (2009 GRC) Rebuttal 3" xfId="7086"/>
    <cellStyle name="_Fuel Prices 4-14_Book2_Electric Rev Req Model (2009 GRC) Rebuttal REmoval of New  WH Solar AdjustMI" xfId="7087"/>
    <cellStyle name="_Fuel Prices 4-14_Book2_Electric Rev Req Model (2009 GRC) Rebuttal REmoval of New  WH Solar AdjustMI 2" xfId="7088"/>
    <cellStyle name="_Fuel Prices 4-14_Book2_Electric Rev Req Model (2009 GRC) Rebuttal REmoval of New  WH Solar AdjustMI 2 2" xfId="7089"/>
    <cellStyle name="_Fuel Prices 4-14_Book2_Electric Rev Req Model (2009 GRC) Rebuttal REmoval of New  WH Solar AdjustMI 2 2 2" xfId="7090"/>
    <cellStyle name="_Fuel Prices 4-14_Book2_Electric Rev Req Model (2009 GRC) Rebuttal REmoval of New  WH Solar AdjustMI 2 3" xfId="7091"/>
    <cellStyle name="_Fuel Prices 4-14_Book2_Electric Rev Req Model (2009 GRC) Rebuttal REmoval of New  WH Solar AdjustMI 3" xfId="7092"/>
    <cellStyle name="_Fuel Prices 4-14_Book2_Electric Rev Req Model (2009 GRC) Rebuttal REmoval of New  WH Solar AdjustMI 3 2" xfId="7093"/>
    <cellStyle name="_Fuel Prices 4-14_Book2_Electric Rev Req Model (2009 GRC) Rebuttal REmoval of New  WH Solar AdjustMI 4" xfId="7094"/>
    <cellStyle name="_Fuel Prices 4-14_Book2_Electric Rev Req Model (2009 GRC) Rebuttal REmoval of New  WH Solar AdjustMI_DEM-WP(C) ENERG10C--ctn Mid-C_042010 2010GRC" xfId="7095"/>
    <cellStyle name="_Fuel Prices 4-14_Book2_Electric Rev Req Model (2009 GRC) Rebuttal REmoval of New  WH Solar AdjustMI_DEM-WP(C) ENERG10C--ctn Mid-C_042010 2010GRC 2" xfId="7096"/>
    <cellStyle name="_Fuel Prices 4-14_Book2_Electric Rev Req Model (2009 GRC) Revised 01-18-2010" xfId="7097"/>
    <cellStyle name="_Fuel Prices 4-14_Book2_Electric Rev Req Model (2009 GRC) Revised 01-18-2010 2" xfId="7098"/>
    <cellStyle name="_Fuel Prices 4-14_Book2_Electric Rev Req Model (2009 GRC) Revised 01-18-2010 2 2" xfId="7099"/>
    <cellStyle name="_Fuel Prices 4-14_Book2_Electric Rev Req Model (2009 GRC) Revised 01-18-2010 2 2 2" xfId="7100"/>
    <cellStyle name="_Fuel Prices 4-14_Book2_Electric Rev Req Model (2009 GRC) Revised 01-18-2010 2 3" xfId="7101"/>
    <cellStyle name="_Fuel Prices 4-14_Book2_Electric Rev Req Model (2009 GRC) Revised 01-18-2010 3" xfId="7102"/>
    <cellStyle name="_Fuel Prices 4-14_Book2_Electric Rev Req Model (2009 GRC) Revised 01-18-2010 3 2" xfId="7103"/>
    <cellStyle name="_Fuel Prices 4-14_Book2_Electric Rev Req Model (2009 GRC) Revised 01-18-2010 4" xfId="7104"/>
    <cellStyle name="_Fuel Prices 4-14_Book2_Electric Rev Req Model (2009 GRC) Revised 01-18-2010_DEM-WP(C) ENERG10C--ctn Mid-C_042010 2010GRC" xfId="7105"/>
    <cellStyle name="_Fuel Prices 4-14_Book2_Electric Rev Req Model (2009 GRC) Revised 01-18-2010_DEM-WP(C) ENERG10C--ctn Mid-C_042010 2010GRC 2" xfId="7106"/>
    <cellStyle name="_Fuel Prices 4-14_Book2_Final Order Electric EXHIBIT A-1" xfId="7107"/>
    <cellStyle name="_Fuel Prices 4-14_Book2_Final Order Electric EXHIBIT A-1 2" xfId="7108"/>
    <cellStyle name="_Fuel Prices 4-14_Book2_Final Order Electric EXHIBIT A-1 2 2" xfId="7109"/>
    <cellStyle name="_Fuel Prices 4-14_Book2_Final Order Electric EXHIBIT A-1 3" xfId="7110"/>
    <cellStyle name="_Fuel Prices 4-14_Book4" xfId="7111"/>
    <cellStyle name="_Fuel Prices 4-14_Book4 2" xfId="7112"/>
    <cellStyle name="_Fuel Prices 4-14_Book4 2 2" xfId="7113"/>
    <cellStyle name="_Fuel Prices 4-14_Book4 2 2 2" xfId="7114"/>
    <cellStyle name="_Fuel Prices 4-14_Book4 2 3" xfId="7115"/>
    <cellStyle name="_Fuel Prices 4-14_Book4 3" xfId="7116"/>
    <cellStyle name="_Fuel Prices 4-14_Book4 3 2" xfId="7117"/>
    <cellStyle name="_Fuel Prices 4-14_Book4 4" xfId="7118"/>
    <cellStyle name="_Fuel Prices 4-14_Book4_DEM-WP(C) ENERG10C--ctn Mid-C_042010 2010GRC" xfId="7119"/>
    <cellStyle name="_Fuel Prices 4-14_Book4_DEM-WP(C) ENERG10C--ctn Mid-C_042010 2010GRC 2" xfId="7120"/>
    <cellStyle name="_Fuel Prices 4-14_Book9" xfId="7121"/>
    <cellStyle name="_Fuel Prices 4-14_Book9 2" xfId="7122"/>
    <cellStyle name="_Fuel Prices 4-14_Book9 2 2" xfId="7123"/>
    <cellStyle name="_Fuel Prices 4-14_Book9 2 2 2" xfId="7124"/>
    <cellStyle name="_Fuel Prices 4-14_Book9 2 3" xfId="7125"/>
    <cellStyle name="_Fuel Prices 4-14_Book9 3" xfId="7126"/>
    <cellStyle name="_Fuel Prices 4-14_Book9 3 2" xfId="7127"/>
    <cellStyle name="_Fuel Prices 4-14_Book9 4" xfId="7128"/>
    <cellStyle name="_Fuel Prices 4-14_Book9_DEM-WP(C) ENERG10C--ctn Mid-C_042010 2010GRC" xfId="7129"/>
    <cellStyle name="_Fuel Prices 4-14_Book9_DEM-WP(C) ENERG10C--ctn Mid-C_042010 2010GRC 2" xfId="7130"/>
    <cellStyle name="_Fuel Prices 4-14_Chelan PUD Power Costs (8-10)" xfId="7131"/>
    <cellStyle name="_Fuel Prices 4-14_Chelan PUD Power Costs (8-10) 2" xfId="7132"/>
    <cellStyle name="_Fuel Prices 4-14_DEM-WP(C) Chelan Power Costs" xfId="7133"/>
    <cellStyle name="_Fuel Prices 4-14_DEM-WP(C) Chelan Power Costs 2" xfId="7134"/>
    <cellStyle name="_Fuel Prices 4-14_DEM-WP(C) ENERG10C--ctn Mid-C_042010 2010GRC" xfId="7135"/>
    <cellStyle name="_Fuel Prices 4-14_DEM-WP(C) ENERG10C--ctn Mid-C_042010 2010GRC 2" xfId="7136"/>
    <cellStyle name="_Fuel Prices 4-14_DEM-WP(C) Gas Transport 2010GRC" xfId="7137"/>
    <cellStyle name="_Fuel Prices 4-14_DEM-WP(C) Gas Transport 2010GRC 2" xfId="7138"/>
    <cellStyle name="_Fuel Prices 4-14_Exh A-1 resulting from UE-112050 effective Jan 1 2012" xfId="7139"/>
    <cellStyle name="_Fuel Prices 4-14_Exh A-1 resulting from UE-112050 effective Jan 1 2012 2" xfId="7140"/>
    <cellStyle name="_Fuel Prices 4-14_Exh G - Klamath Peaker PPA fr C Locke 2-12" xfId="7141"/>
    <cellStyle name="_Fuel Prices 4-14_Exh G - Klamath Peaker PPA fr C Locke 2-12 2" xfId="7142"/>
    <cellStyle name="_Fuel Prices 4-14_Exhibit A-1 effective 4-1-11 fr S Free 12-11" xfId="7143"/>
    <cellStyle name="_Fuel Prices 4-14_Exhibit A-1 effective 4-1-11 fr S Free 12-11 2" xfId="7144"/>
    <cellStyle name="_Fuel Prices 4-14_Mint Farm Generation BPA" xfId="7145"/>
    <cellStyle name="_Fuel Prices 4-14_NIM Summary" xfId="7146"/>
    <cellStyle name="_Fuel Prices 4-14_NIM Summary 09GRC" xfId="7147"/>
    <cellStyle name="_Fuel Prices 4-14_NIM Summary 09GRC 2" xfId="7148"/>
    <cellStyle name="_Fuel Prices 4-14_NIM Summary 09GRC 2 2" xfId="7149"/>
    <cellStyle name="_Fuel Prices 4-14_NIM Summary 09GRC 2 2 2" xfId="7150"/>
    <cellStyle name="_Fuel Prices 4-14_NIM Summary 09GRC 2 3" xfId="7151"/>
    <cellStyle name="_Fuel Prices 4-14_NIM Summary 09GRC 3" xfId="7152"/>
    <cellStyle name="_Fuel Prices 4-14_NIM Summary 09GRC 3 2" xfId="7153"/>
    <cellStyle name="_Fuel Prices 4-14_NIM Summary 09GRC 4" xfId="7154"/>
    <cellStyle name="_Fuel Prices 4-14_NIM Summary 09GRC_DEM-WP(C) ENERG10C--ctn Mid-C_042010 2010GRC" xfId="7155"/>
    <cellStyle name="_Fuel Prices 4-14_NIM Summary 09GRC_DEM-WP(C) ENERG10C--ctn Mid-C_042010 2010GRC 2" xfId="7156"/>
    <cellStyle name="_Fuel Prices 4-14_NIM Summary 10" xfId="7157"/>
    <cellStyle name="_Fuel Prices 4-14_NIM Summary 10 2" xfId="7158"/>
    <cellStyle name="_Fuel Prices 4-14_NIM Summary 11" xfId="7159"/>
    <cellStyle name="_Fuel Prices 4-14_NIM Summary 11 2" xfId="7160"/>
    <cellStyle name="_Fuel Prices 4-14_NIM Summary 12" xfId="7161"/>
    <cellStyle name="_Fuel Prices 4-14_NIM Summary 12 2" xfId="7162"/>
    <cellStyle name="_Fuel Prices 4-14_NIM Summary 13" xfId="7163"/>
    <cellStyle name="_Fuel Prices 4-14_NIM Summary 13 2" xfId="7164"/>
    <cellStyle name="_Fuel Prices 4-14_NIM Summary 14" xfId="7165"/>
    <cellStyle name="_Fuel Prices 4-14_NIM Summary 14 2" xfId="7166"/>
    <cellStyle name="_Fuel Prices 4-14_NIM Summary 15" xfId="7167"/>
    <cellStyle name="_Fuel Prices 4-14_NIM Summary 15 2" xfId="7168"/>
    <cellStyle name="_Fuel Prices 4-14_NIM Summary 16" xfId="7169"/>
    <cellStyle name="_Fuel Prices 4-14_NIM Summary 16 2" xfId="7170"/>
    <cellStyle name="_Fuel Prices 4-14_NIM Summary 17" xfId="7171"/>
    <cellStyle name="_Fuel Prices 4-14_NIM Summary 17 2" xfId="7172"/>
    <cellStyle name="_Fuel Prices 4-14_NIM Summary 18" xfId="7173"/>
    <cellStyle name="_Fuel Prices 4-14_NIM Summary 18 2" xfId="7174"/>
    <cellStyle name="_Fuel Prices 4-14_NIM Summary 19" xfId="7175"/>
    <cellStyle name="_Fuel Prices 4-14_NIM Summary 19 2" xfId="7176"/>
    <cellStyle name="_Fuel Prices 4-14_NIM Summary 2" xfId="7177"/>
    <cellStyle name="_Fuel Prices 4-14_NIM Summary 2 2" xfId="7178"/>
    <cellStyle name="_Fuel Prices 4-14_NIM Summary 2 2 2" xfId="7179"/>
    <cellStyle name="_Fuel Prices 4-14_NIM Summary 2 3" xfId="7180"/>
    <cellStyle name="_Fuel Prices 4-14_NIM Summary 20" xfId="7181"/>
    <cellStyle name="_Fuel Prices 4-14_NIM Summary 20 2" xfId="7182"/>
    <cellStyle name="_Fuel Prices 4-14_NIM Summary 21" xfId="7183"/>
    <cellStyle name="_Fuel Prices 4-14_NIM Summary 21 2" xfId="7184"/>
    <cellStyle name="_Fuel Prices 4-14_NIM Summary 22" xfId="7185"/>
    <cellStyle name="_Fuel Prices 4-14_NIM Summary 22 2" xfId="7186"/>
    <cellStyle name="_Fuel Prices 4-14_NIM Summary 23" xfId="7187"/>
    <cellStyle name="_Fuel Prices 4-14_NIM Summary 23 2" xfId="7188"/>
    <cellStyle name="_Fuel Prices 4-14_NIM Summary 24" xfId="7189"/>
    <cellStyle name="_Fuel Prices 4-14_NIM Summary 24 2" xfId="7190"/>
    <cellStyle name="_Fuel Prices 4-14_NIM Summary 25" xfId="7191"/>
    <cellStyle name="_Fuel Prices 4-14_NIM Summary 25 2" xfId="7192"/>
    <cellStyle name="_Fuel Prices 4-14_NIM Summary 26" xfId="7193"/>
    <cellStyle name="_Fuel Prices 4-14_NIM Summary 26 2" xfId="7194"/>
    <cellStyle name="_Fuel Prices 4-14_NIM Summary 27" xfId="7195"/>
    <cellStyle name="_Fuel Prices 4-14_NIM Summary 27 2" xfId="7196"/>
    <cellStyle name="_Fuel Prices 4-14_NIM Summary 28" xfId="7197"/>
    <cellStyle name="_Fuel Prices 4-14_NIM Summary 28 2" xfId="7198"/>
    <cellStyle name="_Fuel Prices 4-14_NIM Summary 29" xfId="7199"/>
    <cellStyle name="_Fuel Prices 4-14_NIM Summary 29 2" xfId="7200"/>
    <cellStyle name="_Fuel Prices 4-14_NIM Summary 3" xfId="7201"/>
    <cellStyle name="_Fuel Prices 4-14_NIM Summary 3 2" xfId="7202"/>
    <cellStyle name="_Fuel Prices 4-14_NIM Summary 30" xfId="7203"/>
    <cellStyle name="_Fuel Prices 4-14_NIM Summary 30 2" xfId="7204"/>
    <cellStyle name="_Fuel Prices 4-14_NIM Summary 31" xfId="7205"/>
    <cellStyle name="_Fuel Prices 4-14_NIM Summary 31 2" xfId="7206"/>
    <cellStyle name="_Fuel Prices 4-14_NIM Summary 32" xfId="7207"/>
    <cellStyle name="_Fuel Prices 4-14_NIM Summary 32 2" xfId="7208"/>
    <cellStyle name="_Fuel Prices 4-14_NIM Summary 33" xfId="7209"/>
    <cellStyle name="_Fuel Prices 4-14_NIM Summary 33 2" xfId="7210"/>
    <cellStyle name="_Fuel Prices 4-14_NIM Summary 34" xfId="7211"/>
    <cellStyle name="_Fuel Prices 4-14_NIM Summary 34 2" xfId="7212"/>
    <cellStyle name="_Fuel Prices 4-14_NIM Summary 35" xfId="7213"/>
    <cellStyle name="_Fuel Prices 4-14_NIM Summary 35 2" xfId="7214"/>
    <cellStyle name="_Fuel Prices 4-14_NIM Summary 36" xfId="7215"/>
    <cellStyle name="_Fuel Prices 4-14_NIM Summary 36 2" xfId="7216"/>
    <cellStyle name="_Fuel Prices 4-14_NIM Summary 37" xfId="7217"/>
    <cellStyle name="_Fuel Prices 4-14_NIM Summary 37 2" xfId="7218"/>
    <cellStyle name="_Fuel Prices 4-14_NIM Summary 38" xfId="7219"/>
    <cellStyle name="_Fuel Prices 4-14_NIM Summary 38 2" xfId="7220"/>
    <cellStyle name="_Fuel Prices 4-14_NIM Summary 39" xfId="7221"/>
    <cellStyle name="_Fuel Prices 4-14_NIM Summary 39 2" xfId="7222"/>
    <cellStyle name="_Fuel Prices 4-14_NIM Summary 4" xfId="7223"/>
    <cellStyle name="_Fuel Prices 4-14_NIM Summary 4 2" xfId="7224"/>
    <cellStyle name="_Fuel Prices 4-14_NIM Summary 40" xfId="7225"/>
    <cellStyle name="_Fuel Prices 4-14_NIM Summary 40 2" xfId="7226"/>
    <cellStyle name="_Fuel Prices 4-14_NIM Summary 41" xfId="7227"/>
    <cellStyle name="_Fuel Prices 4-14_NIM Summary 41 2" xfId="7228"/>
    <cellStyle name="_Fuel Prices 4-14_NIM Summary 42" xfId="7229"/>
    <cellStyle name="_Fuel Prices 4-14_NIM Summary 42 2" xfId="7230"/>
    <cellStyle name="_Fuel Prices 4-14_NIM Summary 43" xfId="7231"/>
    <cellStyle name="_Fuel Prices 4-14_NIM Summary 43 2" xfId="7232"/>
    <cellStyle name="_Fuel Prices 4-14_NIM Summary 44" xfId="7233"/>
    <cellStyle name="_Fuel Prices 4-14_NIM Summary 44 2" xfId="7234"/>
    <cellStyle name="_Fuel Prices 4-14_NIM Summary 45" xfId="7235"/>
    <cellStyle name="_Fuel Prices 4-14_NIM Summary 45 2" xfId="7236"/>
    <cellStyle name="_Fuel Prices 4-14_NIM Summary 46" xfId="7237"/>
    <cellStyle name="_Fuel Prices 4-14_NIM Summary 46 2" xfId="7238"/>
    <cellStyle name="_Fuel Prices 4-14_NIM Summary 47" xfId="7239"/>
    <cellStyle name="_Fuel Prices 4-14_NIM Summary 47 2" xfId="7240"/>
    <cellStyle name="_Fuel Prices 4-14_NIM Summary 48" xfId="7241"/>
    <cellStyle name="_Fuel Prices 4-14_NIM Summary 49" xfId="7242"/>
    <cellStyle name="_Fuel Prices 4-14_NIM Summary 5" xfId="7243"/>
    <cellStyle name="_Fuel Prices 4-14_NIM Summary 5 2" xfId="7244"/>
    <cellStyle name="_Fuel Prices 4-14_NIM Summary 50" xfId="7245"/>
    <cellStyle name="_Fuel Prices 4-14_NIM Summary 51" xfId="7246"/>
    <cellStyle name="_Fuel Prices 4-14_NIM Summary 52" xfId="7247"/>
    <cellStyle name="_Fuel Prices 4-14_NIM Summary 6" xfId="7248"/>
    <cellStyle name="_Fuel Prices 4-14_NIM Summary 6 2" xfId="7249"/>
    <cellStyle name="_Fuel Prices 4-14_NIM Summary 7" xfId="7250"/>
    <cellStyle name="_Fuel Prices 4-14_NIM Summary 7 2" xfId="7251"/>
    <cellStyle name="_Fuel Prices 4-14_NIM Summary 8" xfId="7252"/>
    <cellStyle name="_Fuel Prices 4-14_NIM Summary 8 2" xfId="7253"/>
    <cellStyle name="_Fuel Prices 4-14_NIM Summary 9" xfId="7254"/>
    <cellStyle name="_Fuel Prices 4-14_NIM Summary 9 2" xfId="7255"/>
    <cellStyle name="_Fuel Prices 4-14_NIM Summary_DEM-WP(C) ENERG10C--ctn Mid-C_042010 2010GRC" xfId="7256"/>
    <cellStyle name="_Fuel Prices 4-14_NIM Summary_DEM-WP(C) ENERG10C--ctn Mid-C_042010 2010GRC 2" xfId="7257"/>
    <cellStyle name="_Fuel Prices 4-14_NIM+O&amp;M" xfId="7258"/>
    <cellStyle name="_Fuel Prices 4-14_NIM+O&amp;M 2" xfId="7259"/>
    <cellStyle name="_Fuel Prices 4-14_NIM+O&amp;M 2 2" xfId="7260"/>
    <cellStyle name="_Fuel Prices 4-14_NIM+O&amp;M 3" xfId="7261"/>
    <cellStyle name="_Fuel Prices 4-14_NIM+O&amp;M Monthly" xfId="7262"/>
    <cellStyle name="_Fuel Prices 4-14_NIM+O&amp;M Monthly 2" xfId="7263"/>
    <cellStyle name="_Fuel Prices 4-14_NIM+O&amp;M Monthly 2 2" xfId="7264"/>
    <cellStyle name="_Fuel Prices 4-14_NIM+O&amp;M Monthly 3" xfId="7265"/>
    <cellStyle name="_Fuel Prices 4-14_PCA 10 -  Exhibit D Dec 2011" xfId="7266"/>
    <cellStyle name="_Fuel Prices 4-14_PCA 10 -  Exhibit D Dec 2011 2" xfId="7267"/>
    <cellStyle name="_Fuel Prices 4-14_PCA 10 -  Exhibit D from A Kellogg Jan 2011" xfId="7268"/>
    <cellStyle name="_Fuel Prices 4-14_PCA 10 -  Exhibit D from A Kellogg Jan 2011 2" xfId="7269"/>
    <cellStyle name="_Fuel Prices 4-14_PCA 10 -  Exhibit D from A Kellogg July 2011" xfId="7270"/>
    <cellStyle name="_Fuel Prices 4-14_PCA 10 -  Exhibit D from A Kellogg July 2011 2" xfId="7271"/>
    <cellStyle name="_Fuel Prices 4-14_PCA 10 -  Exhibit D from S Free Rcv'd 12-11" xfId="7272"/>
    <cellStyle name="_Fuel Prices 4-14_PCA 10 -  Exhibit D from S Free Rcv'd 12-11 2" xfId="7273"/>
    <cellStyle name="_Fuel Prices 4-14_PCA 11 -  Exhibit D Jan 2012 fr A Kellogg" xfId="7274"/>
    <cellStyle name="_Fuel Prices 4-14_PCA 11 -  Exhibit D Jan 2012 fr A Kellogg 2" xfId="7275"/>
    <cellStyle name="_Fuel Prices 4-14_PCA 11 -  Exhibit D Jan 2012 WF" xfId="7276"/>
    <cellStyle name="_Fuel Prices 4-14_PCA 11 -  Exhibit D Jan 2012 WF 2" xfId="7277"/>
    <cellStyle name="_Fuel Prices 4-14_PCA 9 -  Exhibit D April 2010" xfId="7278"/>
    <cellStyle name="_Fuel Prices 4-14_PCA 9 -  Exhibit D April 2010 (3)" xfId="7279"/>
    <cellStyle name="_Fuel Prices 4-14_PCA 9 -  Exhibit D April 2010 (3) 2" xfId="7280"/>
    <cellStyle name="_Fuel Prices 4-14_PCA 9 -  Exhibit D April 2010 (3) 2 2" xfId="7281"/>
    <cellStyle name="_Fuel Prices 4-14_PCA 9 -  Exhibit D April 2010 (3) 2 2 2" xfId="7282"/>
    <cellStyle name="_Fuel Prices 4-14_PCA 9 -  Exhibit D April 2010 (3) 2 3" xfId="7283"/>
    <cellStyle name="_Fuel Prices 4-14_PCA 9 -  Exhibit D April 2010 (3) 3" xfId="7284"/>
    <cellStyle name="_Fuel Prices 4-14_PCA 9 -  Exhibit D April 2010 (3) 3 2" xfId="7285"/>
    <cellStyle name="_Fuel Prices 4-14_PCA 9 -  Exhibit D April 2010 (3) 4" xfId="7286"/>
    <cellStyle name="_Fuel Prices 4-14_PCA 9 -  Exhibit D April 2010 (3)_DEM-WP(C) ENERG10C--ctn Mid-C_042010 2010GRC" xfId="7287"/>
    <cellStyle name="_Fuel Prices 4-14_PCA 9 -  Exhibit D April 2010 (3)_DEM-WP(C) ENERG10C--ctn Mid-C_042010 2010GRC 2" xfId="7288"/>
    <cellStyle name="_Fuel Prices 4-14_PCA 9 -  Exhibit D April 2010 2" xfId="7289"/>
    <cellStyle name="_Fuel Prices 4-14_PCA 9 -  Exhibit D April 2010 2 2" xfId="7290"/>
    <cellStyle name="_Fuel Prices 4-14_PCA 9 -  Exhibit D April 2010 3" xfId="7291"/>
    <cellStyle name="_Fuel Prices 4-14_PCA 9 -  Exhibit D April 2010 3 2" xfId="7292"/>
    <cellStyle name="_Fuel Prices 4-14_PCA 9 -  Exhibit D April 2010 4" xfId="7293"/>
    <cellStyle name="_Fuel Prices 4-14_PCA 9 -  Exhibit D April 2010 4 2" xfId="7294"/>
    <cellStyle name="_Fuel Prices 4-14_PCA 9 -  Exhibit D April 2010 5" xfId="7295"/>
    <cellStyle name="_Fuel Prices 4-14_PCA 9 -  Exhibit D April 2010 5 2" xfId="7296"/>
    <cellStyle name="_Fuel Prices 4-14_PCA 9 -  Exhibit D April 2010 6" xfId="7297"/>
    <cellStyle name="_Fuel Prices 4-14_PCA 9 -  Exhibit D April 2010 6 2" xfId="7298"/>
    <cellStyle name="_Fuel Prices 4-14_PCA 9 -  Exhibit D April 2010 7" xfId="7299"/>
    <cellStyle name="_Fuel Prices 4-14_PCA 9 -  Exhibit D Nov 2010" xfId="7300"/>
    <cellStyle name="_Fuel Prices 4-14_PCA 9 -  Exhibit D Nov 2010 2" xfId="7301"/>
    <cellStyle name="_Fuel Prices 4-14_PCA 9 -  Exhibit D Nov 2010 2 2" xfId="7302"/>
    <cellStyle name="_Fuel Prices 4-14_PCA 9 -  Exhibit D Nov 2010 3" xfId="7303"/>
    <cellStyle name="_Fuel Prices 4-14_PCA 9 - Exhibit D at August 2010" xfId="7304"/>
    <cellStyle name="_Fuel Prices 4-14_PCA 9 - Exhibit D at August 2010 2" xfId="7305"/>
    <cellStyle name="_Fuel Prices 4-14_PCA 9 - Exhibit D at August 2010 2 2" xfId="7306"/>
    <cellStyle name="_Fuel Prices 4-14_PCA 9 - Exhibit D at August 2010 3" xfId="7307"/>
    <cellStyle name="_Fuel Prices 4-14_PCA 9 - Exhibit D June 2010 GRC" xfId="7308"/>
    <cellStyle name="_Fuel Prices 4-14_PCA 9 - Exhibit D June 2010 GRC 2" xfId="7309"/>
    <cellStyle name="_Fuel Prices 4-14_PCA 9 - Exhibit D June 2010 GRC 2 2" xfId="7310"/>
    <cellStyle name="_Fuel Prices 4-14_PCA 9 - Exhibit D June 2010 GRC 3" xfId="7311"/>
    <cellStyle name="_Fuel Prices 4-14_Power Costs - Comparison bx Rbtl-Staff-Jt-PC" xfId="7312"/>
    <cellStyle name="_Fuel Prices 4-14_Power Costs - Comparison bx Rbtl-Staff-Jt-PC 2" xfId="7313"/>
    <cellStyle name="_Fuel Prices 4-14_Power Costs - Comparison bx Rbtl-Staff-Jt-PC 2 2" xfId="7314"/>
    <cellStyle name="_Fuel Prices 4-14_Power Costs - Comparison bx Rbtl-Staff-Jt-PC 2 2 2" xfId="7315"/>
    <cellStyle name="_Fuel Prices 4-14_Power Costs - Comparison bx Rbtl-Staff-Jt-PC 2 3" xfId="7316"/>
    <cellStyle name="_Fuel Prices 4-14_Power Costs - Comparison bx Rbtl-Staff-Jt-PC 3" xfId="7317"/>
    <cellStyle name="_Fuel Prices 4-14_Power Costs - Comparison bx Rbtl-Staff-Jt-PC 3 2" xfId="7318"/>
    <cellStyle name="_Fuel Prices 4-14_Power Costs - Comparison bx Rbtl-Staff-Jt-PC 4" xfId="7319"/>
    <cellStyle name="_Fuel Prices 4-14_Power Costs - Comparison bx Rbtl-Staff-Jt-PC_Adj Bench DR 3 for Initial Briefs (Electric)" xfId="7320"/>
    <cellStyle name="_Fuel Prices 4-14_Power Costs - Comparison bx Rbtl-Staff-Jt-PC_Adj Bench DR 3 for Initial Briefs (Electric) 2" xfId="7321"/>
    <cellStyle name="_Fuel Prices 4-14_Power Costs - Comparison bx Rbtl-Staff-Jt-PC_Adj Bench DR 3 for Initial Briefs (Electric) 2 2" xfId="7322"/>
    <cellStyle name="_Fuel Prices 4-14_Power Costs - Comparison bx Rbtl-Staff-Jt-PC_Adj Bench DR 3 for Initial Briefs (Electric) 2 2 2" xfId="7323"/>
    <cellStyle name="_Fuel Prices 4-14_Power Costs - Comparison bx Rbtl-Staff-Jt-PC_Adj Bench DR 3 for Initial Briefs (Electric) 2 3" xfId="7324"/>
    <cellStyle name="_Fuel Prices 4-14_Power Costs - Comparison bx Rbtl-Staff-Jt-PC_Adj Bench DR 3 for Initial Briefs (Electric) 3" xfId="7325"/>
    <cellStyle name="_Fuel Prices 4-14_Power Costs - Comparison bx Rbtl-Staff-Jt-PC_Adj Bench DR 3 for Initial Briefs (Electric) 3 2" xfId="7326"/>
    <cellStyle name="_Fuel Prices 4-14_Power Costs - Comparison bx Rbtl-Staff-Jt-PC_Adj Bench DR 3 for Initial Briefs (Electric) 4" xfId="7327"/>
    <cellStyle name="_Fuel Prices 4-14_Power Costs - Comparison bx Rbtl-Staff-Jt-PC_Adj Bench DR 3 for Initial Briefs (Electric)_DEM-WP(C) ENERG10C--ctn Mid-C_042010 2010GRC" xfId="7328"/>
    <cellStyle name="_Fuel Prices 4-14_Power Costs - Comparison bx Rbtl-Staff-Jt-PC_Adj Bench DR 3 for Initial Briefs (Electric)_DEM-WP(C) ENERG10C--ctn Mid-C_042010 2010GRC 2" xfId="7329"/>
    <cellStyle name="_Fuel Prices 4-14_Power Costs - Comparison bx Rbtl-Staff-Jt-PC_DEM-WP(C) ENERG10C--ctn Mid-C_042010 2010GRC" xfId="7330"/>
    <cellStyle name="_Fuel Prices 4-14_Power Costs - Comparison bx Rbtl-Staff-Jt-PC_DEM-WP(C) ENERG10C--ctn Mid-C_042010 2010GRC 2" xfId="7331"/>
    <cellStyle name="_Fuel Prices 4-14_Power Costs - Comparison bx Rbtl-Staff-Jt-PC_Electric Rev Req Model (2009 GRC) Rebuttal" xfId="7332"/>
    <cellStyle name="_Fuel Prices 4-14_Power Costs - Comparison bx Rbtl-Staff-Jt-PC_Electric Rev Req Model (2009 GRC) Rebuttal 2" xfId="7333"/>
    <cellStyle name="_Fuel Prices 4-14_Power Costs - Comparison bx Rbtl-Staff-Jt-PC_Electric Rev Req Model (2009 GRC) Rebuttal 2 2" xfId="7334"/>
    <cellStyle name="_Fuel Prices 4-14_Power Costs - Comparison bx Rbtl-Staff-Jt-PC_Electric Rev Req Model (2009 GRC) Rebuttal 3" xfId="7335"/>
    <cellStyle name="_Fuel Prices 4-14_Power Costs - Comparison bx Rbtl-Staff-Jt-PC_Electric Rev Req Model (2009 GRC) Rebuttal REmoval of New  WH Solar AdjustMI" xfId="7336"/>
    <cellStyle name="_Fuel Prices 4-14_Power Costs - Comparison bx Rbtl-Staff-Jt-PC_Electric Rev Req Model (2009 GRC) Rebuttal REmoval of New  WH Solar AdjustMI 2" xfId="7337"/>
    <cellStyle name="_Fuel Prices 4-14_Power Costs - Comparison bx Rbtl-Staff-Jt-PC_Electric Rev Req Model (2009 GRC) Rebuttal REmoval of New  WH Solar AdjustMI 2 2" xfId="7338"/>
    <cellStyle name="_Fuel Prices 4-14_Power Costs - Comparison bx Rbtl-Staff-Jt-PC_Electric Rev Req Model (2009 GRC) Rebuttal REmoval of New  WH Solar AdjustMI 2 2 2" xfId="7339"/>
    <cellStyle name="_Fuel Prices 4-14_Power Costs - Comparison bx Rbtl-Staff-Jt-PC_Electric Rev Req Model (2009 GRC) Rebuttal REmoval of New  WH Solar AdjustMI 2 3" xfId="7340"/>
    <cellStyle name="_Fuel Prices 4-14_Power Costs - Comparison bx Rbtl-Staff-Jt-PC_Electric Rev Req Model (2009 GRC) Rebuttal REmoval of New  WH Solar AdjustMI 3" xfId="7341"/>
    <cellStyle name="_Fuel Prices 4-14_Power Costs - Comparison bx Rbtl-Staff-Jt-PC_Electric Rev Req Model (2009 GRC) Rebuttal REmoval of New  WH Solar AdjustMI 3 2" xfId="7342"/>
    <cellStyle name="_Fuel Prices 4-14_Power Costs - Comparison bx Rbtl-Staff-Jt-PC_Electric Rev Req Model (2009 GRC) Rebuttal REmoval of New  WH Solar AdjustMI 4" xfId="7343"/>
    <cellStyle name="_Fuel Prices 4-14_Power Costs - Comparison bx Rbtl-Staff-Jt-PC_Electric Rev Req Model (2009 GRC) Rebuttal REmoval of New  WH Solar AdjustMI_DEM-WP(C) ENERG10C--ctn Mid-C_042010 2010GRC" xfId="7344"/>
    <cellStyle name="_Fuel Prices 4-14_Power Costs - Comparison bx Rbtl-Staff-Jt-PC_Electric Rev Req Model (2009 GRC) Rebuttal REmoval of New  WH Solar AdjustMI_DEM-WP(C) ENERG10C--ctn Mid-C_042010 2010GRC 2" xfId="7345"/>
    <cellStyle name="_Fuel Prices 4-14_Power Costs - Comparison bx Rbtl-Staff-Jt-PC_Electric Rev Req Model (2009 GRC) Revised 01-18-2010" xfId="7346"/>
    <cellStyle name="_Fuel Prices 4-14_Power Costs - Comparison bx Rbtl-Staff-Jt-PC_Electric Rev Req Model (2009 GRC) Revised 01-18-2010 2" xfId="7347"/>
    <cellStyle name="_Fuel Prices 4-14_Power Costs - Comparison bx Rbtl-Staff-Jt-PC_Electric Rev Req Model (2009 GRC) Revised 01-18-2010 2 2" xfId="7348"/>
    <cellStyle name="_Fuel Prices 4-14_Power Costs - Comparison bx Rbtl-Staff-Jt-PC_Electric Rev Req Model (2009 GRC) Revised 01-18-2010 2 2 2" xfId="7349"/>
    <cellStyle name="_Fuel Prices 4-14_Power Costs - Comparison bx Rbtl-Staff-Jt-PC_Electric Rev Req Model (2009 GRC) Revised 01-18-2010 2 3" xfId="7350"/>
    <cellStyle name="_Fuel Prices 4-14_Power Costs - Comparison bx Rbtl-Staff-Jt-PC_Electric Rev Req Model (2009 GRC) Revised 01-18-2010 3" xfId="7351"/>
    <cellStyle name="_Fuel Prices 4-14_Power Costs - Comparison bx Rbtl-Staff-Jt-PC_Electric Rev Req Model (2009 GRC) Revised 01-18-2010 3 2" xfId="7352"/>
    <cellStyle name="_Fuel Prices 4-14_Power Costs - Comparison bx Rbtl-Staff-Jt-PC_Electric Rev Req Model (2009 GRC) Revised 01-18-2010 4" xfId="7353"/>
    <cellStyle name="_Fuel Prices 4-14_Power Costs - Comparison bx Rbtl-Staff-Jt-PC_Electric Rev Req Model (2009 GRC) Revised 01-18-2010_DEM-WP(C) ENERG10C--ctn Mid-C_042010 2010GRC" xfId="7354"/>
    <cellStyle name="_Fuel Prices 4-14_Power Costs - Comparison bx Rbtl-Staff-Jt-PC_Electric Rev Req Model (2009 GRC) Revised 01-18-2010_DEM-WP(C) ENERG10C--ctn Mid-C_042010 2010GRC 2" xfId="7355"/>
    <cellStyle name="_Fuel Prices 4-14_Power Costs - Comparison bx Rbtl-Staff-Jt-PC_Final Order Electric EXHIBIT A-1" xfId="7356"/>
    <cellStyle name="_Fuel Prices 4-14_Power Costs - Comparison bx Rbtl-Staff-Jt-PC_Final Order Electric EXHIBIT A-1 2" xfId="7357"/>
    <cellStyle name="_Fuel Prices 4-14_Power Costs - Comparison bx Rbtl-Staff-Jt-PC_Final Order Electric EXHIBIT A-1 2 2" xfId="7358"/>
    <cellStyle name="_Fuel Prices 4-14_Power Costs - Comparison bx Rbtl-Staff-Jt-PC_Final Order Electric EXHIBIT A-1 3" xfId="7359"/>
    <cellStyle name="_Fuel Prices 4-14_Production Adj 4.37" xfId="21270"/>
    <cellStyle name="_Fuel Prices 4-14_Purchased Power Adj 4.03" xfId="21271"/>
    <cellStyle name="_Fuel Prices 4-14_Rebuttal Power Costs" xfId="7360"/>
    <cellStyle name="_Fuel Prices 4-14_Rebuttal Power Costs 2" xfId="7361"/>
    <cellStyle name="_Fuel Prices 4-14_Rebuttal Power Costs 2 2" xfId="7362"/>
    <cellStyle name="_Fuel Prices 4-14_Rebuttal Power Costs 2 2 2" xfId="7363"/>
    <cellStyle name="_Fuel Prices 4-14_Rebuttal Power Costs 2 3" xfId="7364"/>
    <cellStyle name="_Fuel Prices 4-14_Rebuttal Power Costs 3" xfId="7365"/>
    <cellStyle name="_Fuel Prices 4-14_Rebuttal Power Costs 3 2" xfId="7366"/>
    <cellStyle name="_Fuel Prices 4-14_Rebuttal Power Costs 4" xfId="7367"/>
    <cellStyle name="_Fuel Prices 4-14_Rebuttal Power Costs_Adj Bench DR 3 for Initial Briefs (Electric)" xfId="7368"/>
    <cellStyle name="_Fuel Prices 4-14_Rebuttal Power Costs_Adj Bench DR 3 for Initial Briefs (Electric) 2" xfId="7369"/>
    <cellStyle name="_Fuel Prices 4-14_Rebuttal Power Costs_Adj Bench DR 3 for Initial Briefs (Electric) 2 2" xfId="7370"/>
    <cellStyle name="_Fuel Prices 4-14_Rebuttal Power Costs_Adj Bench DR 3 for Initial Briefs (Electric) 2 2 2" xfId="7371"/>
    <cellStyle name="_Fuel Prices 4-14_Rebuttal Power Costs_Adj Bench DR 3 for Initial Briefs (Electric) 2 3" xfId="7372"/>
    <cellStyle name="_Fuel Prices 4-14_Rebuttal Power Costs_Adj Bench DR 3 for Initial Briefs (Electric) 3" xfId="7373"/>
    <cellStyle name="_Fuel Prices 4-14_Rebuttal Power Costs_Adj Bench DR 3 for Initial Briefs (Electric) 3 2" xfId="7374"/>
    <cellStyle name="_Fuel Prices 4-14_Rebuttal Power Costs_Adj Bench DR 3 for Initial Briefs (Electric) 4" xfId="7375"/>
    <cellStyle name="_Fuel Prices 4-14_Rebuttal Power Costs_Adj Bench DR 3 for Initial Briefs (Electric)_DEM-WP(C) ENERG10C--ctn Mid-C_042010 2010GRC" xfId="7376"/>
    <cellStyle name="_Fuel Prices 4-14_Rebuttal Power Costs_Adj Bench DR 3 for Initial Briefs (Electric)_DEM-WP(C) ENERG10C--ctn Mid-C_042010 2010GRC 2" xfId="7377"/>
    <cellStyle name="_Fuel Prices 4-14_Rebuttal Power Costs_DEM-WP(C) ENERG10C--ctn Mid-C_042010 2010GRC" xfId="7378"/>
    <cellStyle name="_Fuel Prices 4-14_Rebuttal Power Costs_DEM-WP(C) ENERG10C--ctn Mid-C_042010 2010GRC 2" xfId="7379"/>
    <cellStyle name="_Fuel Prices 4-14_Rebuttal Power Costs_Electric Rev Req Model (2009 GRC) Rebuttal" xfId="7380"/>
    <cellStyle name="_Fuel Prices 4-14_Rebuttal Power Costs_Electric Rev Req Model (2009 GRC) Rebuttal 2" xfId="7381"/>
    <cellStyle name="_Fuel Prices 4-14_Rebuttal Power Costs_Electric Rev Req Model (2009 GRC) Rebuttal 2 2" xfId="7382"/>
    <cellStyle name="_Fuel Prices 4-14_Rebuttal Power Costs_Electric Rev Req Model (2009 GRC) Rebuttal 3" xfId="7383"/>
    <cellStyle name="_Fuel Prices 4-14_Rebuttal Power Costs_Electric Rev Req Model (2009 GRC) Rebuttal REmoval of New  WH Solar AdjustMI" xfId="7384"/>
    <cellStyle name="_Fuel Prices 4-14_Rebuttal Power Costs_Electric Rev Req Model (2009 GRC) Rebuttal REmoval of New  WH Solar AdjustMI 2" xfId="7385"/>
    <cellStyle name="_Fuel Prices 4-14_Rebuttal Power Costs_Electric Rev Req Model (2009 GRC) Rebuttal REmoval of New  WH Solar AdjustMI 2 2" xfId="7386"/>
    <cellStyle name="_Fuel Prices 4-14_Rebuttal Power Costs_Electric Rev Req Model (2009 GRC) Rebuttal REmoval of New  WH Solar AdjustMI 2 2 2" xfId="7387"/>
    <cellStyle name="_Fuel Prices 4-14_Rebuttal Power Costs_Electric Rev Req Model (2009 GRC) Rebuttal REmoval of New  WH Solar AdjustMI 2 3" xfId="7388"/>
    <cellStyle name="_Fuel Prices 4-14_Rebuttal Power Costs_Electric Rev Req Model (2009 GRC) Rebuttal REmoval of New  WH Solar AdjustMI 3" xfId="7389"/>
    <cellStyle name="_Fuel Prices 4-14_Rebuttal Power Costs_Electric Rev Req Model (2009 GRC) Rebuttal REmoval of New  WH Solar AdjustMI 3 2" xfId="7390"/>
    <cellStyle name="_Fuel Prices 4-14_Rebuttal Power Costs_Electric Rev Req Model (2009 GRC) Rebuttal REmoval of New  WH Solar AdjustMI 4" xfId="7391"/>
    <cellStyle name="_Fuel Prices 4-14_Rebuttal Power Costs_Electric Rev Req Model (2009 GRC) Rebuttal REmoval of New  WH Solar AdjustMI_DEM-WP(C) ENERG10C--ctn Mid-C_042010 2010GRC" xfId="7392"/>
    <cellStyle name="_Fuel Prices 4-14_Rebuttal Power Costs_Electric Rev Req Model (2009 GRC) Rebuttal REmoval of New  WH Solar AdjustMI_DEM-WP(C) ENERG10C--ctn Mid-C_042010 2010GRC 2" xfId="7393"/>
    <cellStyle name="_Fuel Prices 4-14_Rebuttal Power Costs_Electric Rev Req Model (2009 GRC) Revised 01-18-2010" xfId="7394"/>
    <cellStyle name="_Fuel Prices 4-14_Rebuttal Power Costs_Electric Rev Req Model (2009 GRC) Revised 01-18-2010 2" xfId="7395"/>
    <cellStyle name="_Fuel Prices 4-14_Rebuttal Power Costs_Electric Rev Req Model (2009 GRC) Revised 01-18-2010 2 2" xfId="7396"/>
    <cellStyle name="_Fuel Prices 4-14_Rebuttal Power Costs_Electric Rev Req Model (2009 GRC) Revised 01-18-2010 2 2 2" xfId="7397"/>
    <cellStyle name="_Fuel Prices 4-14_Rebuttal Power Costs_Electric Rev Req Model (2009 GRC) Revised 01-18-2010 2 3" xfId="7398"/>
    <cellStyle name="_Fuel Prices 4-14_Rebuttal Power Costs_Electric Rev Req Model (2009 GRC) Revised 01-18-2010 3" xfId="7399"/>
    <cellStyle name="_Fuel Prices 4-14_Rebuttal Power Costs_Electric Rev Req Model (2009 GRC) Revised 01-18-2010 3 2" xfId="7400"/>
    <cellStyle name="_Fuel Prices 4-14_Rebuttal Power Costs_Electric Rev Req Model (2009 GRC) Revised 01-18-2010 4" xfId="7401"/>
    <cellStyle name="_Fuel Prices 4-14_Rebuttal Power Costs_Electric Rev Req Model (2009 GRC) Revised 01-18-2010_DEM-WP(C) ENERG10C--ctn Mid-C_042010 2010GRC" xfId="7402"/>
    <cellStyle name="_Fuel Prices 4-14_Rebuttal Power Costs_Electric Rev Req Model (2009 GRC) Revised 01-18-2010_DEM-WP(C) ENERG10C--ctn Mid-C_042010 2010GRC 2" xfId="7403"/>
    <cellStyle name="_Fuel Prices 4-14_Rebuttal Power Costs_Final Order Electric EXHIBIT A-1" xfId="7404"/>
    <cellStyle name="_Fuel Prices 4-14_Rebuttal Power Costs_Final Order Electric EXHIBIT A-1 2" xfId="7405"/>
    <cellStyle name="_Fuel Prices 4-14_Rebuttal Power Costs_Final Order Electric EXHIBIT A-1 2 2" xfId="7406"/>
    <cellStyle name="_Fuel Prices 4-14_Rebuttal Power Costs_Final Order Electric EXHIBIT A-1 3" xfId="7407"/>
    <cellStyle name="_Fuel Prices 4-14_ROR 5.02" xfId="21272"/>
    <cellStyle name="_Fuel Prices 4-14_Sch 40 Interim Energy Rates " xfId="18248"/>
    <cellStyle name="_Fuel Prices 4-14_Wind Integration 10GRC" xfId="7408"/>
    <cellStyle name="_Fuel Prices 4-14_Wind Integration 10GRC 2" xfId="7409"/>
    <cellStyle name="_Fuel Prices 4-14_Wind Integration 10GRC 2 2" xfId="7410"/>
    <cellStyle name="_Fuel Prices 4-14_Wind Integration 10GRC 2 2 2" xfId="7411"/>
    <cellStyle name="_Fuel Prices 4-14_Wind Integration 10GRC 2 3" xfId="7412"/>
    <cellStyle name="_Fuel Prices 4-14_Wind Integration 10GRC 3" xfId="7413"/>
    <cellStyle name="_Fuel Prices 4-14_Wind Integration 10GRC 3 2" xfId="7414"/>
    <cellStyle name="_Fuel Prices 4-14_Wind Integration 10GRC 4" xfId="7415"/>
    <cellStyle name="_Fuel Prices 4-14_Wind Integration 10GRC_DEM-WP(C) ENERG10C--ctn Mid-C_042010 2010GRC" xfId="7416"/>
    <cellStyle name="_Fuel Prices 4-14_Wind Integration 10GRC_DEM-WP(C) ENERG10C--ctn Mid-C_042010 2010GRC 2" xfId="7417"/>
    <cellStyle name="_Gas Transportation Charges_2009GRC_120308" xfId="7418"/>
    <cellStyle name="_Gas Transportation Charges_2009GRC_120308 2" xfId="7419"/>
    <cellStyle name="_Gas Transportation Charges_2009GRC_120308 2 2" xfId="7420"/>
    <cellStyle name="_Gas Transportation Charges_2009GRC_120308 2 2 2" xfId="7421"/>
    <cellStyle name="_Gas Transportation Charges_2009GRC_120308 2 2 2 2" xfId="7422"/>
    <cellStyle name="_Gas Transportation Charges_2009GRC_120308 2 2 3" xfId="7423"/>
    <cellStyle name="_Gas Transportation Charges_2009GRC_120308 2 3" xfId="7424"/>
    <cellStyle name="_Gas Transportation Charges_2009GRC_120308 3" xfId="7425"/>
    <cellStyle name="_Gas Transportation Charges_2009GRC_120308 3 2" xfId="7426"/>
    <cellStyle name="_Gas Transportation Charges_2009GRC_120308 4" xfId="7427"/>
    <cellStyle name="_Gas Transportation Charges_2009GRC_120308 4 2" xfId="7428"/>
    <cellStyle name="_Gas Transportation Charges_2009GRC_120308 4 2 2" xfId="7429"/>
    <cellStyle name="_Gas Transportation Charges_2009GRC_120308 4 3" xfId="7430"/>
    <cellStyle name="_Gas Transportation Charges_2009GRC_120308 5" xfId="7431"/>
    <cellStyle name="_Gas Transportation Charges_2009GRC_120308_4 31E Reg Asset  Liab and EXH D" xfId="7432"/>
    <cellStyle name="_Gas Transportation Charges_2009GRC_120308_4 31E Reg Asset  Liab and EXH D _ Aug 10 Filing (2)" xfId="7433"/>
    <cellStyle name="_Gas Transportation Charges_2009GRC_120308_4 31E Reg Asset  Liab and EXH D _ Aug 10 Filing (2) 2" xfId="7434"/>
    <cellStyle name="_Gas Transportation Charges_2009GRC_120308_4 31E Reg Asset  Liab and EXH D 2" xfId="7435"/>
    <cellStyle name="_Gas Transportation Charges_2009GRC_120308_4 31E Reg Asset  Liab and EXH D 3" xfId="7436"/>
    <cellStyle name="_Gas Transportation Charges_2009GRC_120308_Chelan PUD Power Costs (8-10)" xfId="7437"/>
    <cellStyle name="_Gas Transportation Charges_2009GRC_120308_Chelan PUD Power Costs (8-10) 2" xfId="7438"/>
    <cellStyle name="_Gas Transportation Charges_2009GRC_120308_compare wind integration" xfId="7439"/>
    <cellStyle name="_Gas Transportation Charges_2009GRC_120308_DEM-WP(C) Chelan Power Costs" xfId="7440"/>
    <cellStyle name="_Gas Transportation Charges_2009GRC_120308_DEM-WP(C) Chelan Power Costs 2" xfId="7441"/>
    <cellStyle name="_Gas Transportation Charges_2009GRC_120308_DEM-WP(C) Costs Not In AURORA 2010GRC As Filed" xfId="7442"/>
    <cellStyle name="_Gas Transportation Charges_2009GRC_120308_DEM-WP(C) Costs Not In AURORA 2010GRC As Filed 2" xfId="7443"/>
    <cellStyle name="_Gas Transportation Charges_2009GRC_120308_DEM-WP(C) Costs Not In AURORA 2010GRC As Filed 2 2" xfId="7444"/>
    <cellStyle name="_Gas Transportation Charges_2009GRC_120308_DEM-WP(C) Costs Not In AURORA 2010GRC As Filed 2 3" xfId="7445"/>
    <cellStyle name="_Gas Transportation Charges_2009GRC_120308_DEM-WP(C) Costs Not In AURORA 2010GRC As Filed 3" xfId="7446"/>
    <cellStyle name="_Gas Transportation Charges_2009GRC_120308_DEM-WP(C) Costs Not In AURORA 2010GRC As Filed 3 2" xfId="7447"/>
    <cellStyle name="_Gas Transportation Charges_2009GRC_120308_DEM-WP(C) Costs Not In AURORA 2010GRC As Filed 4" xfId="7448"/>
    <cellStyle name="_Gas Transportation Charges_2009GRC_120308_DEM-WP(C) Costs Not In AURORA 2010GRC As Filed 4 2" xfId="7449"/>
    <cellStyle name="_Gas Transportation Charges_2009GRC_120308_DEM-WP(C) Costs Not In AURORA 2010GRC As Filed 5" xfId="7450"/>
    <cellStyle name="_Gas Transportation Charges_2009GRC_120308_DEM-WP(C) Costs Not In AURORA 2010GRC As Filed 5 2" xfId="7451"/>
    <cellStyle name="_Gas Transportation Charges_2009GRC_120308_DEM-WP(C) Costs Not In AURORA 2010GRC As Filed 6" xfId="7452"/>
    <cellStyle name="_Gas Transportation Charges_2009GRC_120308_DEM-WP(C) Costs Not In AURORA 2010GRC As Filed 6 2" xfId="7453"/>
    <cellStyle name="_Gas Transportation Charges_2009GRC_120308_DEM-WP(C) Costs Not In AURORA 2010GRC As Filed_DEM-WP(C) ENERG10C--ctn Mid-C_042010 2010GRC" xfId="7454"/>
    <cellStyle name="_Gas Transportation Charges_2009GRC_120308_DEM-WP(C) Costs Not In AURORA 2010GRC As Filed_DEM-WP(C) ENERG10C--ctn Mid-C_042010 2010GRC 2" xfId="7455"/>
    <cellStyle name="_Gas Transportation Charges_2009GRC_120308_DEM-WP(C) ENERG10C--ctn Mid-C_042010 2010GRC" xfId="7456"/>
    <cellStyle name="_Gas Transportation Charges_2009GRC_120308_DEM-WP(C) ENERG10C--ctn Mid-C_042010 2010GRC 2" xfId="7457"/>
    <cellStyle name="_Gas Transportation Charges_2009GRC_120308_DEM-WP(C) Gas Transport 2010GRC" xfId="7458"/>
    <cellStyle name="_Gas Transportation Charges_2009GRC_120308_DEM-WP(C) Gas Transport 2010GRC 2" xfId="7459"/>
    <cellStyle name="_Gas Transportation Charges_2009GRC_120308_NIM Summary" xfId="7460"/>
    <cellStyle name="_Gas Transportation Charges_2009GRC_120308_NIM Summary 09GRC" xfId="7461"/>
    <cellStyle name="_Gas Transportation Charges_2009GRC_120308_NIM Summary 09GRC 2" xfId="7462"/>
    <cellStyle name="_Gas Transportation Charges_2009GRC_120308_NIM Summary 09GRC 2 2" xfId="7463"/>
    <cellStyle name="_Gas Transportation Charges_2009GRC_120308_NIM Summary 09GRC 2 2 2" xfId="7464"/>
    <cellStyle name="_Gas Transportation Charges_2009GRC_120308_NIM Summary 09GRC 2 3" xfId="7465"/>
    <cellStyle name="_Gas Transportation Charges_2009GRC_120308_NIM Summary 09GRC 3" xfId="7466"/>
    <cellStyle name="_Gas Transportation Charges_2009GRC_120308_NIM Summary 09GRC 3 2" xfId="7467"/>
    <cellStyle name="_Gas Transportation Charges_2009GRC_120308_NIM Summary 09GRC 4" xfId="7468"/>
    <cellStyle name="_Gas Transportation Charges_2009GRC_120308_NIM Summary 09GRC_DEM-WP(C) ENERG10C--ctn Mid-C_042010 2010GRC" xfId="7469"/>
    <cellStyle name="_Gas Transportation Charges_2009GRC_120308_NIM Summary 09GRC_DEM-WP(C) ENERG10C--ctn Mid-C_042010 2010GRC 2" xfId="7470"/>
    <cellStyle name="_Gas Transportation Charges_2009GRC_120308_NIM Summary 10" xfId="7471"/>
    <cellStyle name="_Gas Transportation Charges_2009GRC_120308_NIM Summary 10 2" xfId="7472"/>
    <cellStyle name="_Gas Transportation Charges_2009GRC_120308_NIM Summary 11" xfId="7473"/>
    <cellStyle name="_Gas Transportation Charges_2009GRC_120308_NIM Summary 11 2" xfId="7474"/>
    <cellStyle name="_Gas Transportation Charges_2009GRC_120308_NIM Summary 12" xfId="7475"/>
    <cellStyle name="_Gas Transportation Charges_2009GRC_120308_NIM Summary 12 2" xfId="7476"/>
    <cellStyle name="_Gas Transportation Charges_2009GRC_120308_NIM Summary 13" xfId="7477"/>
    <cellStyle name="_Gas Transportation Charges_2009GRC_120308_NIM Summary 13 2" xfId="7478"/>
    <cellStyle name="_Gas Transportation Charges_2009GRC_120308_NIM Summary 14" xfId="7479"/>
    <cellStyle name="_Gas Transportation Charges_2009GRC_120308_NIM Summary 14 2" xfId="7480"/>
    <cellStyle name="_Gas Transportation Charges_2009GRC_120308_NIM Summary 15" xfId="7481"/>
    <cellStyle name="_Gas Transportation Charges_2009GRC_120308_NIM Summary 15 2" xfId="7482"/>
    <cellStyle name="_Gas Transportation Charges_2009GRC_120308_NIM Summary 16" xfId="7483"/>
    <cellStyle name="_Gas Transportation Charges_2009GRC_120308_NIM Summary 16 2" xfId="7484"/>
    <cellStyle name="_Gas Transportation Charges_2009GRC_120308_NIM Summary 17" xfId="7485"/>
    <cellStyle name="_Gas Transportation Charges_2009GRC_120308_NIM Summary 17 2" xfId="7486"/>
    <cellStyle name="_Gas Transportation Charges_2009GRC_120308_NIM Summary 18" xfId="7487"/>
    <cellStyle name="_Gas Transportation Charges_2009GRC_120308_NIM Summary 18 2" xfId="7488"/>
    <cellStyle name="_Gas Transportation Charges_2009GRC_120308_NIM Summary 19" xfId="7489"/>
    <cellStyle name="_Gas Transportation Charges_2009GRC_120308_NIM Summary 19 2" xfId="7490"/>
    <cellStyle name="_Gas Transportation Charges_2009GRC_120308_NIM Summary 2" xfId="7491"/>
    <cellStyle name="_Gas Transportation Charges_2009GRC_120308_NIM Summary 2 2" xfId="7492"/>
    <cellStyle name="_Gas Transportation Charges_2009GRC_120308_NIM Summary 2 2 2" xfId="7493"/>
    <cellStyle name="_Gas Transportation Charges_2009GRC_120308_NIM Summary 2 3" xfId="7494"/>
    <cellStyle name="_Gas Transportation Charges_2009GRC_120308_NIM Summary 20" xfId="7495"/>
    <cellStyle name="_Gas Transportation Charges_2009GRC_120308_NIM Summary 20 2" xfId="7496"/>
    <cellStyle name="_Gas Transportation Charges_2009GRC_120308_NIM Summary 21" xfId="7497"/>
    <cellStyle name="_Gas Transportation Charges_2009GRC_120308_NIM Summary 21 2" xfId="7498"/>
    <cellStyle name="_Gas Transportation Charges_2009GRC_120308_NIM Summary 22" xfId="7499"/>
    <cellStyle name="_Gas Transportation Charges_2009GRC_120308_NIM Summary 22 2" xfId="7500"/>
    <cellStyle name="_Gas Transportation Charges_2009GRC_120308_NIM Summary 23" xfId="7501"/>
    <cellStyle name="_Gas Transportation Charges_2009GRC_120308_NIM Summary 23 2" xfId="7502"/>
    <cellStyle name="_Gas Transportation Charges_2009GRC_120308_NIM Summary 24" xfId="7503"/>
    <cellStyle name="_Gas Transportation Charges_2009GRC_120308_NIM Summary 24 2" xfId="7504"/>
    <cellStyle name="_Gas Transportation Charges_2009GRC_120308_NIM Summary 25" xfId="7505"/>
    <cellStyle name="_Gas Transportation Charges_2009GRC_120308_NIM Summary 25 2" xfId="7506"/>
    <cellStyle name="_Gas Transportation Charges_2009GRC_120308_NIM Summary 26" xfId="7507"/>
    <cellStyle name="_Gas Transportation Charges_2009GRC_120308_NIM Summary 26 2" xfId="7508"/>
    <cellStyle name="_Gas Transportation Charges_2009GRC_120308_NIM Summary 27" xfId="7509"/>
    <cellStyle name="_Gas Transportation Charges_2009GRC_120308_NIM Summary 27 2" xfId="7510"/>
    <cellStyle name="_Gas Transportation Charges_2009GRC_120308_NIM Summary 28" xfId="7511"/>
    <cellStyle name="_Gas Transportation Charges_2009GRC_120308_NIM Summary 28 2" xfId="7512"/>
    <cellStyle name="_Gas Transportation Charges_2009GRC_120308_NIM Summary 29" xfId="7513"/>
    <cellStyle name="_Gas Transportation Charges_2009GRC_120308_NIM Summary 29 2" xfId="7514"/>
    <cellStyle name="_Gas Transportation Charges_2009GRC_120308_NIM Summary 3" xfId="7515"/>
    <cellStyle name="_Gas Transportation Charges_2009GRC_120308_NIM Summary 3 2" xfId="7516"/>
    <cellStyle name="_Gas Transportation Charges_2009GRC_120308_NIM Summary 30" xfId="7517"/>
    <cellStyle name="_Gas Transportation Charges_2009GRC_120308_NIM Summary 30 2" xfId="7518"/>
    <cellStyle name="_Gas Transportation Charges_2009GRC_120308_NIM Summary 31" xfId="7519"/>
    <cellStyle name="_Gas Transportation Charges_2009GRC_120308_NIM Summary 31 2" xfId="7520"/>
    <cellStyle name="_Gas Transportation Charges_2009GRC_120308_NIM Summary 32" xfId="7521"/>
    <cellStyle name="_Gas Transportation Charges_2009GRC_120308_NIM Summary 32 2" xfId="7522"/>
    <cellStyle name="_Gas Transportation Charges_2009GRC_120308_NIM Summary 33" xfId="7523"/>
    <cellStyle name="_Gas Transportation Charges_2009GRC_120308_NIM Summary 33 2" xfId="7524"/>
    <cellStyle name="_Gas Transportation Charges_2009GRC_120308_NIM Summary 34" xfId="7525"/>
    <cellStyle name="_Gas Transportation Charges_2009GRC_120308_NIM Summary 34 2" xfId="7526"/>
    <cellStyle name="_Gas Transportation Charges_2009GRC_120308_NIM Summary 35" xfId="7527"/>
    <cellStyle name="_Gas Transportation Charges_2009GRC_120308_NIM Summary 35 2" xfId="7528"/>
    <cellStyle name="_Gas Transportation Charges_2009GRC_120308_NIM Summary 36" xfId="7529"/>
    <cellStyle name="_Gas Transportation Charges_2009GRC_120308_NIM Summary 36 2" xfId="7530"/>
    <cellStyle name="_Gas Transportation Charges_2009GRC_120308_NIM Summary 37" xfId="7531"/>
    <cellStyle name="_Gas Transportation Charges_2009GRC_120308_NIM Summary 37 2" xfId="7532"/>
    <cellStyle name="_Gas Transportation Charges_2009GRC_120308_NIM Summary 38" xfId="7533"/>
    <cellStyle name="_Gas Transportation Charges_2009GRC_120308_NIM Summary 38 2" xfId="7534"/>
    <cellStyle name="_Gas Transportation Charges_2009GRC_120308_NIM Summary 39" xfId="7535"/>
    <cellStyle name="_Gas Transportation Charges_2009GRC_120308_NIM Summary 39 2" xfId="7536"/>
    <cellStyle name="_Gas Transportation Charges_2009GRC_120308_NIM Summary 4" xfId="7537"/>
    <cellStyle name="_Gas Transportation Charges_2009GRC_120308_NIM Summary 4 2" xfId="7538"/>
    <cellStyle name="_Gas Transportation Charges_2009GRC_120308_NIM Summary 40" xfId="7539"/>
    <cellStyle name="_Gas Transportation Charges_2009GRC_120308_NIM Summary 40 2" xfId="7540"/>
    <cellStyle name="_Gas Transportation Charges_2009GRC_120308_NIM Summary 41" xfId="7541"/>
    <cellStyle name="_Gas Transportation Charges_2009GRC_120308_NIM Summary 41 2" xfId="7542"/>
    <cellStyle name="_Gas Transportation Charges_2009GRC_120308_NIM Summary 42" xfId="7543"/>
    <cellStyle name="_Gas Transportation Charges_2009GRC_120308_NIM Summary 42 2" xfId="7544"/>
    <cellStyle name="_Gas Transportation Charges_2009GRC_120308_NIM Summary 43" xfId="7545"/>
    <cellStyle name="_Gas Transportation Charges_2009GRC_120308_NIM Summary 43 2" xfId="7546"/>
    <cellStyle name="_Gas Transportation Charges_2009GRC_120308_NIM Summary 44" xfId="7547"/>
    <cellStyle name="_Gas Transportation Charges_2009GRC_120308_NIM Summary 44 2" xfId="7548"/>
    <cellStyle name="_Gas Transportation Charges_2009GRC_120308_NIM Summary 45" xfId="7549"/>
    <cellStyle name="_Gas Transportation Charges_2009GRC_120308_NIM Summary 45 2" xfId="7550"/>
    <cellStyle name="_Gas Transportation Charges_2009GRC_120308_NIM Summary 46" xfId="7551"/>
    <cellStyle name="_Gas Transportation Charges_2009GRC_120308_NIM Summary 46 2" xfId="7552"/>
    <cellStyle name="_Gas Transportation Charges_2009GRC_120308_NIM Summary 47" xfId="7553"/>
    <cellStyle name="_Gas Transportation Charges_2009GRC_120308_NIM Summary 47 2" xfId="7554"/>
    <cellStyle name="_Gas Transportation Charges_2009GRC_120308_NIM Summary 48" xfId="7555"/>
    <cellStyle name="_Gas Transportation Charges_2009GRC_120308_NIM Summary 49" xfId="7556"/>
    <cellStyle name="_Gas Transportation Charges_2009GRC_120308_NIM Summary 5" xfId="7557"/>
    <cellStyle name="_Gas Transportation Charges_2009GRC_120308_NIM Summary 5 2" xfId="7558"/>
    <cellStyle name="_Gas Transportation Charges_2009GRC_120308_NIM Summary 50" xfId="7559"/>
    <cellStyle name="_Gas Transportation Charges_2009GRC_120308_NIM Summary 51" xfId="7560"/>
    <cellStyle name="_Gas Transportation Charges_2009GRC_120308_NIM Summary 52" xfId="7561"/>
    <cellStyle name="_Gas Transportation Charges_2009GRC_120308_NIM Summary 6" xfId="7562"/>
    <cellStyle name="_Gas Transportation Charges_2009GRC_120308_NIM Summary 6 2" xfId="7563"/>
    <cellStyle name="_Gas Transportation Charges_2009GRC_120308_NIM Summary 7" xfId="7564"/>
    <cellStyle name="_Gas Transportation Charges_2009GRC_120308_NIM Summary 7 2" xfId="7565"/>
    <cellStyle name="_Gas Transportation Charges_2009GRC_120308_NIM Summary 8" xfId="7566"/>
    <cellStyle name="_Gas Transportation Charges_2009GRC_120308_NIM Summary 8 2" xfId="7567"/>
    <cellStyle name="_Gas Transportation Charges_2009GRC_120308_NIM Summary 9" xfId="7568"/>
    <cellStyle name="_Gas Transportation Charges_2009GRC_120308_NIM Summary 9 2" xfId="7569"/>
    <cellStyle name="_Gas Transportation Charges_2009GRC_120308_NIM Summary_DEM-WP(C) ENERG10C--ctn Mid-C_042010 2010GRC" xfId="7570"/>
    <cellStyle name="_Gas Transportation Charges_2009GRC_120308_NIM Summary_DEM-WP(C) ENERG10C--ctn Mid-C_042010 2010GRC 2" xfId="7571"/>
    <cellStyle name="_Gas Transportation Charges_2009GRC_120308_NIM+O&amp;M" xfId="7572"/>
    <cellStyle name="_Gas Transportation Charges_2009GRC_120308_NIM+O&amp;M 2" xfId="7573"/>
    <cellStyle name="_Gas Transportation Charges_2009GRC_120308_NIM+O&amp;M 2 2" xfId="7574"/>
    <cellStyle name="_Gas Transportation Charges_2009GRC_120308_NIM+O&amp;M 3" xfId="7575"/>
    <cellStyle name="_Gas Transportation Charges_2009GRC_120308_NIM+O&amp;M Monthly" xfId="7576"/>
    <cellStyle name="_Gas Transportation Charges_2009GRC_120308_NIM+O&amp;M Monthly 2" xfId="7577"/>
    <cellStyle name="_Gas Transportation Charges_2009GRC_120308_NIM+O&amp;M Monthly 2 2" xfId="7578"/>
    <cellStyle name="_Gas Transportation Charges_2009GRC_120308_NIM+O&amp;M Monthly 3" xfId="7579"/>
    <cellStyle name="_Gas Transportation Charges_2009GRC_120308_PCA 9 -  Exhibit D April 2010 (3)" xfId="7580"/>
    <cellStyle name="_Gas Transportation Charges_2009GRC_120308_PCA 9 -  Exhibit D April 2010 (3) 2" xfId="7581"/>
    <cellStyle name="_Gas Transportation Charges_2009GRC_120308_PCA 9 -  Exhibit D April 2010 (3) 2 2" xfId="7582"/>
    <cellStyle name="_Gas Transportation Charges_2009GRC_120308_PCA 9 -  Exhibit D April 2010 (3) 2 2 2" xfId="7583"/>
    <cellStyle name="_Gas Transportation Charges_2009GRC_120308_PCA 9 -  Exhibit D April 2010 (3) 2 3" xfId="7584"/>
    <cellStyle name="_Gas Transportation Charges_2009GRC_120308_PCA 9 -  Exhibit D April 2010 (3) 3" xfId="7585"/>
    <cellStyle name="_Gas Transportation Charges_2009GRC_120308_PCA 9 -  Exhibit D April 2010 (3) 3 2" xfId="7586"/>
    <cellStyle name="_Gas Transportation Charges_2009GRC_120308_PCA 9 -  Exhibit D April 2010 (3) 4" xfId="7587"/>
    <cellStyle name="_Gas Transportation Charges_2009GRC_120308_PCA 9 -  Exhibit D April 2010 (3)_DEM-WP(C) ENERG10C--ctn Mid-C_042010 2010GRC" xfId="7588"/>
    <cellStyle name="_Gas Transportation Charges_2009GRC_120308_PCA 9 -  Exhibit D April 2010 (3)_DEM-WP(C) ENERG10C--ctn Mid-C_042010 2010GRC 2" xfId="7589"/>
    <cellStyle name="_Gas Transportation Charges_2009GRC_120308_Reconciliation" xfId="7590"/>
    <cellStyle name="_Gas Transportation Charges_2009GRC_120308_Reconciliation 2" xfId="7591"/>
    <cellStyle name="_Gas Transportation Charges_2009GRC_120308_Reconciliation 2 2" xfId="7592"/>
    <cellStyle name="_Gas Transportation Charges_2009GRC_120308_Reconciliation 2 3" xfId="7593"/>
    <cellStyle name="_Gas Transportation Charges_2009GRC_120308_Reconciliation 3" xfId="7594"/>
    <cellStyle name="_Gas Transportation Charges_2009GRC_120308_Reconciliation 3 2" xfId="7595"/>
    <cellStyle name="_Gas Transportation Charges_2009GRC_120308_Reconciliation 4" xfId="7596"/>
    <cellStyle name="_Gas Transportation Charges_2009GRC_120308_Reconciliation 4 2" xfId="7597"/>
    <cellStyle name="_Gas Transportation Charges_2009GRC_120308_Reconciliation 5" xfId="7598"/>
    <cellStyle name="_Gas Transportation Charges_2009GRC_120308_Reconciliation 5 2" xfId="7599"/>
    <cellStyle name="_Gas Transportation Charges_2009GRC_120308_Reconciliation 6" xfId="7600"/>
    <cellStyle name="_Gas Transportation Charges_2009GRC_120308_Reconciliation 6 2" xfId="7601"/>
    <cellStyle name="_Gas Transportation Charges_2009GRC_120308_Reconciliation_DEM-WP(C) ENERG10C--ctn Mid-C_042010 2010GRC" xfId="7602"/>
    <cellStyle name="_Gas Transportation Charges_2009GRC_120308_Reconciliation_DEM-WP(C) ENERG10C--ctn Mid-C_042010 2010GRC 2" xfId="7603"/>
    <cellStyle name="_Gas Transportation Charges_2009GRC_120308_Wind Integration 10GRC" xfId="7604"/>
    <cellStyle name="_Gas Transportation Charges_2009GRC_120308_Wind Integration 10GRC 2" xfId="7605"/>
    <cellStyle name="_Gas Transportation Charges_2009GRC_120308_Wind Integration 10GRC 2 2" xfId="7606"/>
    <cellStyle name="_Gas Transportation Charges_2009GRC_120308_Wind Integration 10GRC 2 2 2" xfId="7607"/>
    <cellStyle name="_Gas Transportation Charges_2009GRC_120308_Wind Integration 10GRC 2 3" xfId="7608"/>
    <cellStyle name="_Gas Transportation Charges_2009GRC_120308_Wind Integration 10GRC 3" xfId="7609"/>
    <cellStyle name="_Gas Transportation Charges_2009GRC_120308_Wind Integration 10GRC 3 2" xfId="7610"/>
    <cellStyle name="_Gas Transportation Charges_2009GRC_120308_Wind Integration 10GRC 4" xfId="7611"/>
    <cellStyle name="_Gas Transportation Charges_2009GRC_120308_Wind Integration 10GRC_DEM-WP(C) ENERG10C--ctn Mid-C_042010 2010GRC" xfId="7612"/>
    <cellStyle name="_Gas Transportation Charges_2009GRC_120308_Wind Integration 10GRC_DEM-WP(C) ENERG10C--ctn Mid-C_042010 2010GRC 2" xfId="7613"/>
    <cellStyle name="_x0013__LSRWEP LGIA like Acctg Petition Aug 2010" xfId="7614"/>
    <cellStyle name="_x0013__LSRWEP LGIA like Acctg Petition Aug 2010 2" xfId="7615"/>
    <cellStyle name="_Mid C 09GRC" xfId="7616"/>
    <cellStyle name="_Mid C 09GRC 2" xfId="7617"/>
    <cellStyle name="_Monthly Fixed Input" xfId="7618"/>
    <cellStyle name="_Monthly Fixed Input 2" xfId="7619"/>
    <cellStyle name="_Monthly Fixed Input 2 2" xfId="7620"/>
    <cellStyle name="_Monthly Fixed Input 2 2 2" xfId="7621"/>
    <cellStyle name="_Monthly Fixed Input 2 3" xfId="7622"/>
    <cellStyle name="_Monthly Fixed Input 3" xfId="7623"/>
    <cellStyle name="_Monthly Fixed Input 3 2" xfId="7624"/>
    <cellStyle name="_Monthly Fixed Input 4" xfId="7625"/>
    <cellStyle name="_Monthly Fixed Input_DEM-WP(C) ENERG10C--ctn Mid-C_042010 2010GRC" xfId="7626"/>
    <cellStyle name="_Monthly Fixed Input_DEM-WP(C) ENERG10C--ctn Mid-C_042010 2010GRC 2" xfId="7627"/>
    <cellStyle name="_Monthly Fixed Input_NIM Summary" xfId="7628"/>
    <cellStyle name="_Monthly Fixed Input_NIM Summary 2" xfId="7629"/>
    <cellStyle name="_Monthly Fixed Input_NIM Summary 2 2" xfId="7630"/>
    <cellStyle name="_Monthly Fixed Input_NIM Summary 2 2 2" xfId="7631"/>
    <cellStyle name="_Monthly Fixed Input_NIM Summary 2 3" xfId="7632"/>
    <cellStyle name="_Monthly Fixed Input_NIM Summary 3" xfId="7633"/>
    <cellStyle name="_Monthly Fixed Input_NIM Summary 3 2" xfId="7634"/>
    <cellStyle name="_Monthly Fixed Input_NIM Summary 4" xfId="7635"/>
    <cellStyle name="_Monthly Fixed Input_NIM Summary_DEM-WP(C) ENERG10C--ctn Mid-C_042010 2010GRC" xfId="7636"/>
    <cellStyle name="_Monthly Fixed Input_NIM Summary_DEM-WP(C) ENERG10C--ctn Mid-C_042010 2010GRC 2" xfId="7637"/>
    <cellStyle name="_NIM 06 Base Case Current Trends" xfId="7638"/>
    <cellStyle name="_NIM 06 Base Case Current Trends 2" xfId="7639"/>
    <cellStyle name="_NIM 06 Base Case Current Trends 2 2" xfId="7640"/>
    <cellStyle name="_NIM 06 Base Case Current Trends 2 2 2" xfId="7641"/>
    <cellStyle name="_NIM 06 Base Case Current Trends 2 2 2 2" xfId="7642"/>
    <cellStyle name="_NIM 06 Base Case Current Trends 2 2 3" xfId="7643"/>
    <cellStyle name="_NIM 06 Base Case Current Trends 2 3" xfId="7644"/>
    <cellStyle name="_NIM 06 Base Case Current Trends 2 3 2" xfId="7645"/>
    <cellStyle name="_NIM 06 Base Case Current Trends 2 4" xfId="7646"/>
    <cellStyle name="_NIM 06 Base Case Current Trends 3" xfId="7647"/>
    <cellStyle name="_NIM 06 Base Case Current Trends 3 2" xfId="7648"/>
    <cellStyle name="_NIM 06 Base Case Current Trends 4" xfId="7649"/>
    <cellStyle name="_NIM 06 Base Case Current Trends 4 2" xfId="7650"/>
    <cellStyle name="_NIM 06 Base Case Current Trends 5" xfId="7651"/>
    <cellStyle name="_NIM 06 Base Case Current Trends 5 2" xfId="7652"/>
    <cellStyle name="_NIM 06 Base Case Current Trends 6" xfId="7653"/>
    <cellStyle name="_NIM 06 Base Case Current Trends 6 2" xfId="7654"/>
    <cellStyle name="_NIM 06 Base Case Current Trends_Adj Bench DR 3 for Initial Briefs (Electric)" xfId="7655"/>
    <cellStyle name="_NIM 06 Base Case Current Trends_Adj Bench DR 3 for Initial Briefs (Electric) 2" xfId="7656"/>
    <cellStyle name="_NIM 06 Base Case Current Trends_Adj Bench DR 3 for Initial Briefs (Electric) 2 2" xfId="7657"/>
    <cellStyle name="_NIM 06 Base Case Current Trends_Adj Bench DR 3 for Initial Briefs (Electric) 2 2 2" xfId="7658"/>
    <cellStyle name="_NIM 06 Base Case Current Trends_Adj Bench DR 3 for Initial Briefs (Electric) 2 3" xfId="7659"/>
    <cellStyle name="_NIM 06 Base Case Current Trends_Adj Bench DR 3 for Initial Briefs (Electric) 3" xfId="7660"/>
    <cellStyle name="_NIM 06 Base Case Current Trends_Adj Bench DR 3 for Initial Briefs (Electric) 3 2" xfId="7661"/>
    <cellStyle name="_NIM 06 Base Case Current Trends_Adj Bench DR 3 for Initial Briefs (Electric) 4" xfId="7662"/>
    <cellStyle name="_NIM 06 Base Case Current Trends_Adj Bench DR 3 for Initial Briefs (Electric)_DEM-WP(C) ENERG10C--ctn Mid-C_042010 2010GRC" xfId="7663"/>
    <cellStyle name="_NIM 06 Base Case Current Trends_Adj Bench DR 3 for Initial Briefs (Electric)_DEM-WP(C) ENERG10C--ctn Mid-C_042010 2010GRC 2" xfId="7664"/>
    <cellStyle name="_NIM 06 Base Case Current Trends_Book1" xfId="7665"/>
    <cellStyle name="_NIM 06 Base Case Current Trends_Book1 2" xfId="7666"/>
    <cellStyle name="_NIM 06 Base Case Current Trends_Book2" xfId="7667"/>
    <cellStyle name="_NIM 06 Base Case Current Trends_Book2 2" xfId="7668"/>
    <cellStyle name="_NIM 06 Base Case Current Trends_Book2 2 2" xfId="7669"/>
    <cellStyle name="_NIM 06 Base Case Current Trends_Book2 2 2 2" xfId="7670"/>
    <cellStyle name="_NIM 06 Base Case Current Trends_Book2 2 3" xfId="7671"/>
    <cellStyle name="_NIM 06 Base Case Current Trends_Book2 3" xfId="7672"/>
    <cellStyle name="_NIM 06 Base Case Current Trends_Book2 3 2" xfId="7673"/>
    <cellStyle name="_NIM 06 Base Case Current Trends_Book2 4" xfId="7674"/>
    <cellStyle name="_NIM 06 Base Case Current Trends_Book2_Adj Bench DR 3 for Initial Briefs (Electric)" xfId="7675"/>
    <cellStyle name="_NIM 06 Base Case Current Trends_Book2_Adj Bench DR 3 for Initial Briefs (Electric) 2" xfId="7676"/>
    <cellStyle name="_NIM 06 Base Case Current Trends_Book2_Adj Bench DR 3 for Initial Briefs (Electric) 2 2" xfId="7677"/>
    <cellStyle name="_NIM 06 Base Case Current Trends_Book2_Adj Bench DR 3 for Initial Briefs (Electric) 2 2 2" xfId="7678"/>
    <cellStyle name="_NIM 06 Base Case Current Trends_Book2_Adj Bench DR 3 for Initial Briefs (Electric) 2 3" xfId="7679"/>
    <cellStyle name="_NIM 06 Base Case Current Trends_Book2_Adj Bench DR 3 for Initial Briefs (Electric) 3" xfId="7680"/>
    <cellStyle name="_NIM 06 Base Case Current Trends_Book2_Adj Bench DR 3 for Initial Briefs (Electric) 3 2" xfId="7681"/>
    <cellStyle name="_NIM 06 Base Case Current Trends_Book2_Adj Bench DR 3 for Initial Briefs (Electric) 4" xfId="7682"/>
    <cellStyle name="_NIM 06 Base Case Current Trends_Book2_Adj Bench DR 3 for Initial Briefs (Electric)_DEM-WP(C) ENERG10C--ctn Mid-C_042010 2010GRC" xfId="7683"/>
    <cellStyle name="_NIM 06 Base Case Current Trends_Book2_Adj Bench DR 3 for Initial Briefs (Electric)_DEM-WP(C) ENERG10C--ctn Mid-C_042010 2010GRC 2" xfId="7684"/>
    <cellStyle name="_NIM 06 Base Case Current Trends_Book2_DEM-WP(C) ENERG10C--ctn Mid-C_042010 2010GRC" xfId="7685"/>
    <cellStyle name="_NIM 06 Base Case Current Trends_Book2_DEM-WP(C) ENERG10C--ctn Mid-C_042010 2010GRC 2" xfId="7686"/>
    <cellStyle name="_NIM 06 Base Case Current Trends_Book2_Electric Rev Req Model (2009 GRC) Rebuttal" xfId="7687"/>
    <cellStyle name="_NIM 06 Base Case Current Trends_Book2_Electric Rev Req Model (2009 GRC) Rebuttal 2" xfId="7688"/>
    <cellStyle name="_NIM 06 Base Case Current Trends_Book2_Electric Rev Req Model (2009 GRC) Rebuttal 2 2" xfId="7689"/>
    <cellStyle name="_NIM 06 Base Case Current Trends_Book2_Electric Rev Req Model (2009 GRC) Rebuttal 3" xfId="7690"/>
    <cellStyle name="_NIM 06 Base Case Current Trends_Book2_Electric Rev Req Model (2009 GRC) Rebuttal REmoval of New  WH Solar AdjustMI" xfId="7691"/>
    <cellStyle name="_NIM 06 Base Case Current Trends_Book2_Electric Rev Req Model (2009 GRC) Rebuttal REmoval of New  WH Solar AdjustMI 2" xfId="7692"/>
    <cellStyle name="_NIM 06 Base Case Current Trends_Book2_Electric Rev Req Model (2009 GRC) Rebuttal REmoval of New  WH Solar AdjustMI 2 2" xfId="7693"/>
    <cellStyle name="_NIM 06 Base Case Current Trends_Book2_Electric Rev Req Model (2009 GRC) Rebuttal REmoval of New  WH Solar AdjustMI 2 2 2" xfId="7694"/>
    <cellStyle name="_NIM 06 Base Case Current Trends_Book2_Electric Rev Req Model (2009 GRC) Rebuttal REmoval of New  WH Solar AdjustMI 2 3" xfId="7695"/>
    <cellStyle name="_NIM 06 Base Case Current Trends_Book2_Electric Rev Req Model (2009 GRC) Rebuttal REmoval of New  WH Solar AdjustMI 3" xfId="7696"/>
    <cellStyle name="_NIM 06 Base Case Current Trends_Book2_Electric Rev Req Model (2009 GRC) Rebuttal REmoval of New  WH Solar AdjustMI 3 2" xfId="7697"/>
    <cellStyle name="_NIM 06 Base Case Current Trends_Book2_Electric Rev Req Model (2009 GRC) Rebuttal REmoval of New  WH Solar AdjustMI 4" xfId="7698"/>
    <cellStyle name="_NIM 06 Base Case Current Trends_Book2_Electric Rev Req Model (2009 GRC) Rebuttal REmoval of New  WH Solar AdjustMI_DEM-WP(C) ENERG10C--ctn Mid-C_042010 2010GRC" xfId="7699"/>
    <cellStyle name="_NIM 06 Base Case Current Trends_Book2_Electric Rev Req Model (2009 GRC) Rebuttal REmoval of New  WH Solar AdjustMI_DEM-WP(C) ENERG10C--ctn Mid-C_042010 2010GRC 2" xfId="7700"/>
    <cellStyle name="_NIM 06 Base Case Current Trends_Book2_Electric Rev Req Model (2009 GRC) Revised 01-18-2010" xfId="7701"/>
    <cellStyle name="_NIM 06 Base Case Current Trends_Book2_Electric Rev Req Model (2009 GRC) Revised 01-18-2010 2" xfId="7702"/>
    <cellStyle name="_NIM 06 Base Case Current Trends_Book2_Electric Rev Req Model (2009 GRC) Revised 01-18-2010 2 2" xfId="7703"/>
    <cellStyle name="_NIM 06 Base Case Current Trends_Book2_Electric Rev Req Model (2009 GRC) Revised 01-18-2010 2 2 2" xfId="7704"/>
    <cellStyle name="_NIM 06 Base Case Current Trends_Book2_Electric Rev Req Model (2009 GRC) Revised 01-18-2010 2 3" xfId="7705"/>
    <cellStyle name="_NIM 06 Base Case Current Trends_Book2_Electric Rev Req Model (2009 GRC) Revised 01-18-2010 3" xfId="7706"/>
    <cellStyle name="_NIM 06 Base Case Current Trends_Book2_Electric Rev Req Model (2009 GRC) Revised 01-18-2010 3 2" xfId="7707"/>
    <cellStyle name="_NIM 06 Base Case Current Trends_Book2_Electric Rev Req Model (2009 GRC) Revised 01-18-2010 4" xfId="7708"/>
    <cellStyle name="_NIM 06 Base Case Current Trends_Book2_Electric Rev Req Model (2009 GRC) Revised 01-18-2010_DEM-WP(C) ENERG10C--ctn Mid-C_042010 2010GRC" xfId="7709"/>
    <cellStyle name="_NIM 06 Base Case Current Trends_Book2_Electric Rev Req Model (2009 GRC) Revised 01-18-2010_DEM-WP(C) ENERG10C--ctn Mid-C_042010 2010GRC 2" xfId="7710"/>
    <cellStyle name="_NIM 06 Base Case Current Trends_Book2_Final Order Electric EXHIBIT A-1" xfId="7711"/>
    <cellStyle name="_NIM 06 Base Case Current Trends_Book2_Final Order Electric EXHIBIT A-1 2" xfId="7712"/>
    <cellStyle name="_NIM 06 Base Case Current Trends_Book2_Final Order Electric EXHIBIT A-1 2 2" xfId="7713"/>
    <cellStyle name="_NIM 06 Base Case Current Trends_Book2_Final Order Electric EXHIBIT A-1 3" xfId="7714"/>
    <cellStyle name="_NIM 06 Base Case Current Trends_Chelan PUD Power Costs (8-10)" xfId="7715"/>
    <cellStyle name="_NIM 06 Base Case Current Trends_Chelan PUD Power Costs (8-10) 2" xfId="7716"/>
    <cellStyle name="_NIM 06 Base Case Current Trends_Colstrip 1&amp;2 Annual O&amp;M Budgets" xfId="7717"/>
    <cellStyle name="_NIM 06 Base Case Current Trends_Colstrip 1&amp;2 Annual O&amp;M Budgets 2" xfId="7718"/>
    <cellStyle name="_NIM 06 Base Case Current Trends_Colstrip 1&amp;2 Annual O&amp;M Budgets 3" xfId="7719"/>
    <cellStyle name="_NIM 06 Base Case Current Trends_Confidential Material" xfId="7720"/>
    <cellStyle name="_NIM 06 Base Case Current Trends_Confidential Material 2" xfId="7721"/>
    <cellStyle name="_NIM 06 Base Case Current Trends_DEM-WP(C) Colstrip 12 Coal Cost Forecast 2010GRC" xfId="7722"/>
    <cellStyle name="_NIM 06 Base Case Current Trends_DEM-WP(C) Colstrip 12 Coal Cost Forecast 2010GRC 2" xfId="7723"/>
    <cellStyle name="_NIM 06 Base Case Current Trends_DEM-WP(C) ENERG10C--ctn Mid-C_042010 2010GRC" xfId="7724"/>
    <cellStyle name="_NIM 06 Base Case Current Trends_DEM-WP(C) ENERG10C--ctn Mid-C_042010 2010GRC 2" xfId="7725"/>
    <cellStyle name="_NIM 06 Base Case Current Trends_DEM-WP(C) Production O&amp;M 2010GRC As-Filed" xfId="7726"/>
    <cellStyle name="_NIM 06 Base Case Current Trends_DEM-WP(C) Production O&amp;M 2010GRC As-Filed 2" xfId="7727"/>
    <cellStyle name="_NIM 06 Base Case Current Trends_DEM-WP(C) Production O&amp;M 2010GRC As-Filed 2 2" xfId="7728"/>
    <cellStyle name="_NIM 06 Base Case Current Trends_DEM-WP(C) Production O&amp;M 2010GRC As-Filed 2 3" xfId="7729"/>
    <cellStyle name="_NIM 06 Base Case Current Trends_DEM-WP(C) Production O&amp;M 2010GRC As-Filed 3" xfId="7730"/>
    <cellStyle name="_NIM 06 Base Case Current Trends_DEM-WP(C) Production O&amp;M 2010GRC As-Filed 3 2" xfId="7731"/>
    <cellStyle name="_NIM 06 Base Case Current Trends_DEM-WP(C) Production O&amp;M 2010GRC As-Filed 4" xfId="7732"/>
    <cellStyle name="_NIM 06 Base Case Current Trends_DEM-WP(C) Production O&amp;M 2010GRC As-Filed 4 2" xfId="7733"/>
    <cellStyle name="_NIM 06 Base Case Current Trends_DEM-WP(C) Production O&amp;M 2010GRC As-Filed 5" xfId="7734"/>
    <cellStyle name="_NIM 06 Base Case Current Trends_DEM-WP(C) Production O&amp;M 2010GRC As-Filed 5 2" xfId="7735"/>
    <cellStyle name="_NIM 06 Base Case Current Trends_DEM-WP(C) Production O&amp;M 2010GRC As-Filed 6" xfId="7736"/>
    <cellStyle name="_NIM 06 Base Case Current Trends_DEM-WP(C) Production O&amp;M 2010GRC As-Filed 6 2" xfId="7737"/>
    <cellStyle name="_NIM 06 Base Case Current Trends_Electric Rev Req Model (2009 GRC) " xfId="7738"/>
    <cellStyle name="_NIM 06 Base Case Current Trends_Electric Rev Req Model (2009 GRC)  2" xfId="7739"/>
    <cellStyle name="_NIM 06 Base Case Current Trends_Electric Rev Req Model (2009 GRC)  2 2" xfId="7740"/>
    <cellStyle name="_NIM 06 Base Case Current Trends_Electric Rev Req Model (2009 GRC)  2 2 2" xfId="7741"/>
    <cellStyle name="_NIM 06 Base Case Current Trends_Electric Rev Req Model (2009 GRC)  2 3" xfId="7742"/>
    <cellStyle name="_NIM 06 Base Case Current Trends_Electric Rev Req Model (2009 GRC)  3" xfId="7743"/>
    <cellStyle name="_NIM 06 Base Case Current Trends_Electric Rev Req Model (2009 GRC)  3 2" xfId="7744"/>
    <cellStyle name="_NIM 06 Base Case Current Trends_Electric Rev Req Model (2009 GRC)  4" xfId="7745"/>
    <cellStyle name="_NIM 06 Base Case Current Trends_Electric Rev Req Model (2009 GRC) _DEM-WP(C) ENERG10C--ctn Mid-C_042010 2010GRC" xfId="7746"/>
    <cellStyle name="_NIM 06 Base Case Current Trends_Electric Rev Req Model (2009 GRC) _DEM-WP(C) ENERG10C--ctn Mid-C_042010 2010GRC 2" xfId="7747"/>
    <cellStyle name="_NIM 06 Base Case Current Trends_Electric Rev Req Model (2009 GRC) Rebuttal" xfId="7748"/>
    <cellStyle name="_NIM 06 Base Case Current Trends_Electric Rev Req Model (2009 GRC) Rebuttal 2" xfId="7749"/>
    <cellStyle name="_NIM 06 Base Case Current Trends_Electric Rev Req Model (2009 GRC) Rebuttal 2 2" xfId="7750"/>
    <cellStyle name="_NIM 06 Base Case Current Trends_Electric Rev Req Model (2009 GRC) Rebuttal 3" xfId="7751"/>
    <cellStyle name="_NIM 06 Base Case Current Trends_Electric Rev Req Model (2009 GRC) Rebuttal REmoval of New  WH Solar AdjustMI" xfId="7752"/>
    <cellStyle name="_NIM 06 Base Case Current Trends_Electric Rev Req Model (2009 GRC) Rebuttal REmoval of New  WH Solar AdjustMI 2" xfId="7753"/>
    <cellStyle name="_NIM 06 Base Case Current Trends_Electric Rev Req Model (2009 GRC) Rebuttal REmoval of New  WH Solar AdjustMI 2 2" xfId="7754"/>
    <cellStyle name="_NIM 06 Base Case Current Trends_Electric Rev Req Model (2009 GRC) Rebuttal REmoval of New  WH Solar AdjustMI 2 2 2" xfId="7755"/>
    <cellStyle name="_NIM 06 Base Case Current Trends_Electric Rev Req Model (2009 GRC) Rebuttal REmoval of New  WH Solar AdjustMI 2 3" xfId="7756"/>
    <cellStyle name="_NIM 06 Base Case Current Trends_Electric Rev Req Model (2009 GRC) Rebuttal REmoval of New  WH Solar AdjustMI 3" xfId="7757"/>
    <cellStyle name="_NIM 06 Base Case Current Trends_Electric Rev Req Model (2009 GRC) Rebuttal REmoval of New  WH Solar AdjustMI 3 2" xfId="7758"/>
    <cellStyle name="_NIM 06 Base Case Current Trends_Electric Rev Req Model (2009 GRC) Rebuttal REmoval of New  WH Solar AdjustMI 4" xfId="7759"/>
    <cellStyle name="_NIM 06 Base Case Current Trends_Electric Rev Req Model (2009 GRC) Rebuttal REmoval of New  WH Solar AdjustMI_DEM-WP(C) ENERG10C--ctn Mid-C_042010 2010GRC" xfId="7760"/>
    <cellStyle name="_NIM 06 Base Case Current Trends_Electric Rev Req Model (2009 GRC) Rebuttal REmoval of New  WH Solar AdjustMI_DEM-WP(C) ENERG10C--ctn Mid-C_042010 2010GRC 2" xfId="7761"/>
    <cellStyle name="_NIM 06 Base Case Current Trends_Electric Rev Req Model (2009 GRC) Revised 01-18-2010" xfId="7762"/>
    <cellStyle name="_NIM 06 Base Case Current Trends_Electric Rev Req Model (2009 GRC) Revised 01-18-2010 2" xfId="7763"/>
    <cellStyle name="_NIM 06 Base Case Current Trends_Electric Rev Req Model (2009 GRC) Revised 01-18-2010 2 2" xfId="7764"/>
    <cellStyle name="_NIM 06 Base Case Current Trends_Electric Rev Req Model (2009 GRC) Revised 01-18-2010 2 2 2" xfId="7765"/>
    <cellStyle name="_NIM 06 Base Case Current Trends_Electric Rev Req Model (2009 GRC) Revised 01-18-2010 2 3" xfId="7766"/>
    <cellStyle name="_NIM 06 Base Case Current Trends_Electric Rev Req Model (2009 GRC) Revised 01-18-2010 3" xfId="7767"/>
    <cellStyle name="_NIM 06 Base Case Current Trends_Electric Rev Req Model (2009 GRC) Revised 01-18-2010 3 2" xfId="7768"/>
    <cellStyle name="_NIM 06 Base Case Current Trends_Electric Rev Req Model (2009 GRC) Revised 01-18-2010 4" xfId="7769"/>
    <cellStyle name="_NIM 06 Base Case Current Trends_Electric Rev Req Model (2009 GRC) Revised 01-18-2010_DEM-WP(C) ENERG10C--ctn Mid-C_042010 2010GRC" xfId="7770"/>
    <cellStyle name="_NIM 06 Base Case Current Trends_Electric Rev Req Model (2009 GRC) Revised 01-18-2010_DEM-WP(C) ENERG10C--ctn Mid-C_042010 2010GRC 2" xfId="7771"/>
    <cellStyle name="_NIM 06 Base Case Current Trends_Electric Rev Req Model (2010 GRC)" xfId="7772"/>
    <cellStyle name="_NIM 06 Base Case Current Trends_Electric Rev Req Model (2010 GRC) 2" xfId="7773"/>
    <cellStyle name="_NIM 06 Base Case Current Trends_Electric Rev Req Model (2010 GRC) SF" xfId="7774"/>
    <cellStyle name="_NIM 06 Base Case Current Trends_Electric Rev Req Model (2010 GRC) SF 2" xfId="7775"/>
    <cellStyle name="_NIM 06 Base Case Current Trends_Final Order Electric EXHIBIT A-1" xfId="7776"/>
    <cellStyle name="_NIM 06 Base Case Current Trends_Final Order Electric EXHIBIT A-1 2" xfId="7777"/>
    <cellStyle name="_NIM 06 Base Case Current Trends_Final Order Electric EXHIBIT A-1 2 2" xfId="7778"/>
    <cellStyle name="_NIM 06 Base Case Current Trends_Final Order Electric EXHIBIT A-1 3" xfId="7779"/>
    <cellStyle name="_NIM 06 Base Case Current Trends_NIM Summary" xfId="7780"/>
    <cellStyle name="_NIM 06 Base Case Current Trends_NIM Summary 2" xfId="7781"/>
    <cellStyle name="_NIM 06 Base Case Current Trends_NIM Summary 2 2" xfId="7782"/>
    <cellStyle name="_NIM 06 Base Case Current Trends_NIM Summary 2 2 2" xfId="7783"/>
    <cellStyle name="_NIM 06 Base Case Current Trends_NIM Summary 2 3" xfId="7784"/>
    <cellStyle name="_NIM 06 Base Case Current Trends_NIM Summary 3" xfId="7785"/>
    <cellStyle name="_NIM 06 Base Case Current Trends_NIM Summary 3 2" xfId="7786"/>
    <cellStyle name="_NIM 06 Base Case Current Trends_NIM Summary 4" xfId="7787"/>
    <cellStyle name="_NIM 06 Base Case Current Trends_NIM Summary_DEM-WP(C) ENERG10C--ctn Mid-C_042010 2010GRC" xfId="7788"/>
    <cellStyle name="_NIM 06 Base Case Current Trends_NIM Summary_DEM-WP(C) ENERG10C--ctn Mid-C_042010 2010GRC 2" xfId="7789"/>
    <cellStyle name="_NIM 06 Base Case Current Trends_NIM+O&amp;M" xfId="7790"/>
    <cellStyle name="_NIM 06 Base Case Current Trends_NIM+O&amp;M 2" xfId="7791"/>
    <cellStyle name="_NIM 06 Base Case Current Trends_NIM+O&amp;M 2 2" xfId="7792"/>
    <cellStyle name="_NIM 06 Base Case Current Trends_NIM+O&amp;M 3" xfId="7793"/>
    <cellStyle name="_NIM 06 Base Case Current Trends_NIM+O&amp;M Monthly" xfId="7794"/>
    <cellStyle name="_NIM 06 Base Case Current Trends_NIM+O&amp;M Monthly 2" xfId="7795"/>
    <cellStyle name="_NIM 06 Base Case Current Trends_NIM+O&amp;M Monthly 2 2" xfId="7796"/>
    <cellStyle name="_NIM 06 Base Case Current Trends_NIM+O&amp;M Monthly 3" xfId="7797"/>
    <cellStyle name="_NIM 06 Base Case Current Trends_Rebuttal Power Costs" xfId="7798"/>
    <cellStyle name="_NIM 06 Base Case Current Trends_Rebuttal Power Costs 2" xfId="7799"/>
    <cellStyle name="_NIM 06 Base Case Current Trends_Rebuttal Power Costs 2 2" xfId="7800"/>
    <cellStyle name="_NIM 06 Base Case Current Trends_Rebuttal Power Costs 2 2 2" xfId="7801"/>
    <cellStyle name="_NIM 06 Base Case Current Trends_Rebuttal Power Costs 2 3" xfId="7802"/>
    <cellStyle name="_NIM 06 Base Case Current Trends_Rebuttal Power Costs 3" xfId="7803"/>
    <cellStyle name="_NIM 06 Base Case Current Trends_Rebuttal Power Costs 3 2" xfId="7804"/>
    <cellStyle name="_NIM 06 Base Case Current Trends_Rebuttal Power Costs 4" xfId="7805"/>
    <cellStyle name="_NIM 06 Base Case Current Trends_Rebuttal Power Costs_Adj Bench DR 3 for Initial Briefs (Electric)" xfId="7806"/>
    <cellStyle name="_NIM 06 Base Case Current Trends_Rebuttal Power Costs_Adj Bench DR 3 for Initial Briefs (Electric) 2" xfId="7807"/>
    <cellStyle name="_NIM 06 Base Case Current Trends_Rebuttal Power Costs_Adj Bench DR 3 for Initial Briefs (Electric) 2 2" xfId="7808"/>
    <cellStyle name="_NIM 06 Base Case Current Trends_Rebuttal Power Costs_Adj Bench DR 3 for Initial Briefs (Electric) 2 2 2" xfId="7809"/>
    <cellStyle name="_NIM 06 Base Case Current Trends_Rebuttal Power Costs_Adj Bench DR 3 for Initial Briefs (Electric) 2 3" xfId="7810"/>
    <cellStyle name="_NIM 06 Base Case Current Trends_Rebuttal Power Costs_Adj Bench DR 3 for Initial Briefs (Electric) 3" xfId="7811"/>
    <cellStyle name="_NIM 06 Base Case Current Trends_Rebuttal Power Costs_Adj Bench DR 3 for Initial Briefs (Electric) 3 2" xfId="7812"/>
    <cellStyle name="_NIM 06 Base Case Current Trends_Rebuttal Power Costs_Adj Bench DR 3 for Initial Briefs (Electric) 4" xfId="7813"/>
    <cellStyle name="_NIM 06 Base Case Current Trends_Rebuttal Power Costs_Adj Bench DR 3 for Initial Briefs (Electric)_DEM-WP(C) ENERG10C--ctn Mid-C_042010 2010GRC" xfId="7814"/>
    <cellStyle name="_NIM 06 Base Case Current Trends_Rebuttal Power Costs_Adj Bench DR 3 for Initial Briefs (Electric)_DEM-WP(C) ENERG10C--ctn Mid-C_042010 2010GRC 2" xfId="7815"/>
    <cellStyle name="_NIM 06 Base Case Current Trends_Rebuttal Power Costs_DEM-WP(C) ENERG10C--ctn Mid-C_042010 2010GRC" xfId="7816"/>
    <cellStyle name="_NIM 06 Base Case Current Trends_Rebuttal Power Costs_DEM-WP(C) ENERG10C--ctn Mid-C_042010 2010GRC 2" xfId="7817"/>
    <cellStyle name="_NIM 06 Base Case Current Trends_Rebuttal Power Costs_Electric Rev Req Model (2009 GRC) Rebuttal" xfId="7818"/>
    <cellStyle name="_NIM 06 Base Case Current Trends_Rebuttal Power Costs_Electric Rev Req Model (2009 GRC) Rebuttal 2" xfId="7819"/>
    <cellStyle name="_NIM 06 Base Case Current Trends_Rebuttal Power Costs_Electric Rev Req Model (2009 GRC) Rebuttal 2 2" xfId="7820"/>
    <cellStyle name="_NIM 06 Base Case Current Trends_Rebuttal Power Costs_Electric Rev Req Model (2009 GRC) Rebuttal 3" xfId="7821"/>
    <cellStyle name="_NIM 06 Base Case Current Trends_Rebuttal Power Costs_Electric Rev Req Model (2009 GRC) Rebuttal REmoval of New  WH Solar AdjustMI" xfId="7822"/>
    <cellStyle name="_NIM 06 Base Case Current Trends_Rebuttal Power Costs_Electric Rev Req Model (2009 GRC) Rebuttal REmoval of New  WH Solar AdjustMI 2" xfId="7823"/>
    <cellStyle name="_NIM 06 Base Case Current Trends_Rebuttal Power Costs_Electric Rev Req Model (2009 GRC) Rebuttal REmoval of New  WH Solar AdjustMI 2 2" xfId="7824"/>
    <cellStyle name="_NIM 06 Base Case Current Trends_Rebuttal Power Costs_Electric Rev Req Model (2009 GRC) Rebuttal REmoval of New  WH Solar AdjustMI 2 2 2" xfId="7825"/>
    <cellStyle name="_NIM 06 Base Case Current Trends_Rebuttal Power Costs_Electric Rev Req Model (2009 GRC) Rebuttal REmoval of New  WH Solar AdjustMI 2 3" xfId="7826"/>
    <cellStyle name="_NIM 06 Base Case Current Trends_Rebuttal Power Costs_Electric Rev Req Model (2009 GRC) Rebuttal REmoval of New  WH Solar AdjustMI 3" xfId="7827"/>
    <cellStyle name="_NIM 06 Base Case Current Trends_Rebuttal Power Costs_Electric Rev Req Model (2009 GRC) Rebuttal REmoval of New  WH Solar AdjustMI 3 2" xfId="7828"/>
    <cellStyle name="_NIM 06 Base Case Current Trends_Rebuttal Power Costs_Electric Rev Req Model (2009 GRC) Rebuttal REmoval of New  WH Solar AdjustMI 4" xfId="7829"/>
    <cellStyle name="_NIM 06 Base Case Current Trends_Rebuttal Power Costs_Electric Rev Req Model (2009 GRC) Rebuttal REmoval of New  WH Solar AdjustMI_DEM-WP(C) ENERG10C--ctn Mid-C_042010 2010GRC" xfId="7830"/>
    <cellStyle name="_NIM 06 Base Case Current Trends_Rebuttal Power Costs_Electric Rev Req Model (2009 GRC) Rebuttal REmoval of New  WH Solar AdjustMI_DEM-WP(C) ENERG10C--ctn Mid-C_042010 2010GRC 2" xfId="7831"/>
    <cellStyle name="_NIM 06 Base Case Current Trends_Rebuttal Power Costs_Electric Rev Req Model (2009 GRC) Revised 01-18-2010" xfId="7832"/>
    <cellStyle name="_NIM 06 Base Case Current Trends_Rebuttal Power Costs_Electric Rev Req Model (2009 GRC) Revised 01-18-2010 2" xfId="7833"/>
    <cellStyle name="_NIM 06 Base Case Current Trends_Rebuttal Power Costs_Electric Rev Req Model (2009 GRC) Revised 01-18-2010 2 2" xfId="7834"/>
    <cellStyle name="_NIM 06 Base Case Current Trends_Rebuttal Power Costs_Electric Rev Req Model (2009 GRC) Revised 01-18-2010 2 2 2" xfId="7835"/>
    <cellStyle name="_NIM 06 Base Case Current Trends_Rebuttal Power Costs_Electric Rev Req Model (2009 GRC) Revised 01-18-2010 2 3" xfId="7836"/>
    <cellStyle name="_NIM 06 Base Case Current Trends_Rebuttal Power Costs_Electric Rev Req Model (2009 GRC) Revised 01-18-2010 3" xfId="7837"/>
    <cellStyle name="_NIM 06 Base Case Current Trends_Rebuttal Power Costs_Electric Rev Req Model (2009 GRC) Revised 01-18-2010 3 2" xfId="7838"/>
    <cellStyle name="_NIM 06 Base Case Current Trends_Rebuttal Power Costs_Electric Rev Req Model (2009 GRC) Revised 01-18-2010 4" xfId="7839"/>
    <cellStyle name="_NIM 06 Base Case Current Trends_Rebuttal Power Costs_Electric Rev Req Model (2009 GRC) Revised 01-18-2010_DEM-WP(C) ENERG10C--ctn Mid-C_042010 2010GRC" xfId="7840"/>
    <cellStyle name="_NIM 06 Base Case Current Trends_Rebuttal Power Costs_Electric Rev Req Model (2009 GRC) Revised 01-18-2010_DEM-WP(C) ENERG10C--ctn Mid-C_042010 2010GRC 2" xfId="7841"/>
    <cellStyle name="_NIM 06 Base Case Current Trends_Rebuttal Power Costs_Final Order Electric EXHIBIT A-1" xfId="7842"/>
    <cellStyle name="_NIM 06 Base Case Current Trends_Rebuttal Power Costs_Final Order Electric EXHIBIT A-1 2" xfId="7843"/>
    <cellStyle name="_NIM 06 Base Case Current Trends_Rebuttal Power Costs_Final Order Electric EXHIBIT A-1 2 2" xfId="7844"/>
    <cellStyle name="_NIM 06 Base Case Current Trends_Rebuttal Power Costs_Final Order Electric EXHIBIT A-1 3" xfId="7845"/>
    <cellStyle name="_NIM 06 Base Case Current Trends_TENASKA REGULATORY ASSET" xfId="7846"/>
    <cellStyle name="_NIM 06 Base Case Current Trends_TENASKA REGULATORY ASSET 2" xfId="7847"/>
    <cellStyle name="_NIM 06 Base Case Current Trends_TENASKA REGULATORY ASSET 2 2" xfId="7848"/>
    <cellStyle name="_NIM 06 Base Case Current Trends_TENASKA REGULATORY ASSET 3" xfId="7849"/>
    <cellStyle name="_NIM Summary 09GRC" xfId="7850"/>
    <cellStyle name="_NIM Summary 09GRC 2" xfId="7851"/>
    <cellStyle name="_NIM Summary 09GRC 2 2" xfId="7852"/>
    <cellStyle name="_NIM Summary 09GRC 2 2 2" xfId="7853"/>
    <cellStyle name="_NIM Summary 09GRC 2 3" xfId="7854"/>
    <cellStyle name="_NIM Summary 09GRC 3" xfId="7855"/>
    <cellStyle name="_NIM Summary 09GRC 3 2" xfId="7856"/>
    <cellStyle name="_NIM Summary 09GRC 4" xfId="7857"/>
    <cellStyle name="_NIM Summary 09GRC_DEM-WP(C) ENERG10C--ctn Mid-C_042010 2010GRC" xfId="7858"/>
    <cellStyle name="_NIM Summary 09GRC_DEM-WP(C) ENERG10C--ctn Mid-C_042010 2010GRC 2" xfId="7859"/>
    <cellStyle name="_NIM Summary 09GRC_NIM Summary" xfId="7860"/>
    <cellStyle name="_NIM Summary 09GRC_NIM Summary 2" xfId="7861"/>
    <cellStyle name="_NIM Summary 09GRC_NIM Summary 2 2" xfId="7862"/>
    <cellStyle name="_NIM Summary 09GRC_NIM Summary 2 2 2" xfId="7863"/>
    <cellStyle name="_NIM Summary 09GRC_NIM Summary 2 3" xfId="7864"/>
    <cellStyle name="_NIM Summary 09GRC_NIM Summary 3" xfId="7865"/>
    <cellStyle name="_NIM Summary 09GRC_NIM Summary 3 2" xfId="7866"/>
    <cellStyle name="_NIM Summary 09GRC_NIM Summary 4" xfId="7867"/>
    <cellStyle name="_NIM Summary 09GRC_NIM Summary_DEM-WP(C) ENERG10C--ctn Mid-C_042010 2010GRC" xfId="7868"/>
    <cellStyle name="_NIM Summary 09GRC_NIM Summary_DEM-WP(C) ENERG10C--ctn Mid-C_042010 2010GRC 2" xfId="7869"/>
    <cellStyle name="_PC DRAFT 10 15 07" xfId="7870"/>
    <cellStyle name="_PC DRAFT 10 15 07 2" xfId="7871"/>
    <cellStyle name="_PCA 7 - Exhibit D update 9_30_2008" xfId="7872"/>
    <cellStyle name="_PCA 7 - Exhibit D update 9_30_2008 2" xfId="7873"/>
    <cellStyle name="_PCA 7 - Exhibit D update 9_30_2008 2 2" xfId="7874"/>
    <cellStyle name="_PCA 7 - Exhibit D update 9_30_2008 2 2 2" xfId="7875"/>
    <cellStyle name="_PCA 7 - Exhibit D update 9_30_2008 2 3" xfId="7876"/>
    <cellStyle name="_PCA 7 - Exhibit D update 9_30_2008 3" xfId="7877"/>
    <cellStyle name="_PCA 7 - Exhibit D update 9_30_2008 3 2" xfId="7878"/>
    <cellStyle name="_PCA 7 - Exhibit D update 9_30_2008 4" xfId="7879"/>
    <cellStyle name="_PCA 7 - Exhibit D update 9_30_2008 4 2" xfId="7880"/>
    <cellStyle name="_PCA 7 - Exhibit D update 9_30_2008 4 2 2" xfId="7881"/>
    <cellStyle name="_PCA 7 - Exhibit D update 9_30_2008 4 3" xfId="7882"/>
    <cellStyle name="_PCA 7 - Exhibit D update 9_30_2008 5" xfId="7883"/>
    <cellStyle name="_PCA 7 - Exhibit D update 9_30_2008 5 2" xfId="7884"/>
    <cellStyle name="_PCA 7 - Exhibit D update 9_30_2008 6" xfId="7885"/>
    <cellStyle name="_PCA 7 - Exhibit D update 9_30_2008 6 2" xfId="7886"/>
    <cellStyle name="_PCA 7 - Exhibit D update 9_30_2008_Chelan PUD Power Costs (8-10)" xfId="7887"/>
    <cellStyle name="_PCA 7 - Exhibit D update 9_30_2008_Chelan PUD Power Costs (8-10) 2" xfId="7888"/>
    <cellStyle name="_PCA 7 - Exhibit D update 9_30_2008_DEM-WP(C) Chelan Power Costs" xfId="7889"/>
    <cellStyle name="_PCA 7 - Exhibit D update 9_30_2008_DEM-WP(C) Chelan Power Costs 2" xfId="7890"/>
    <cellStyle name="_PCA 7 - Exhibit D update 9_30_2008_DEM-WP(C) ENERG10C--ctn Mid-C_042010 2010GRC" xfId="7891"/>
    <cellStyle name="_PCA 7 - Exhibit D update 9_30_2008_DEM-WP(C) ENERG10C--ctn Mid-C_042010 2010GRC 2" xfId="7892"/>
    <cellStyle name="_PCA 7 - Exhibit D update 9_30_2008_DEM-WP(C) Gas Transport 2010GRC" xfId="7893"/>
    <cellStyle name="_PCA 7 - Exhibit D update 9_30_2008_DEM-WP(C) Gas Transport 2010GRC 2" xfId="7894"/>
    <cellStyle name="_PCA 7 - Exhibit D update 9_30_2008_NIM Summary" xfId="7895"/>
    <cellStyle name="_PCA 7 - Exhibit D update 9_30_2008_NIM Summary 2" xfId="7896"/>
    <cellStyle name="_PCA 7 - Exhibit D update 9_30_2008_NIM Summary 2 2" xfId="7897"/>
    <cellStyle name="_PCA 7 - Exhibit D update 9_30_2008_NIM Summary 2 2 2" xfId="7898"/>
    <cellStyle name="_PCA 7 - Exhibit D update 9_30_2008_NIM Summary 2 3" xfId="7899"/>
    <cellStyle name="_PCA 7 - Exhibit D update 9_30_2008_NIM Summary 3" xfId="7900"/>
    <cellStyle name="_PCA 7 - Exhibit D update 9_30_2008_NIM Summary 3 2" xfId="7901"/>
    <cellStyle name="_PCA 7 - Exhibit D update 9_30_2008_NIM Summary 4" xfId="7902"/>
    <cellStyle name="_PCA 7 - Exhibit D update 9_30_2008_NIM Summary_DEM-WP(C) ENERG10C--ctn Mid-C_042010 2010GRC" xfId="7903"/>
    <cellStyle name="_PCA 7 - Exhibit D update 9_30_2008_NIM Summary_DEM-WP(C) ENERG10C--ctn Mid-C_042010 2010GRC 2" xfId="7904"/>
    <cellStyle name="_PCA 7 - Exhibit D update 9_30_2008_Transmission Workbook for May BOD" xfId="7905"/>
    <cellStyle name="_PCA 7 - Exhibit D update 9_30_2008_Transmission Workbook for May BOD 2" xfId="7906"/>
    <cellStyle name="_PCA 7 - Exhibit D update 9_30_2008_Transmission Workbook for May BOD 2 2" xfId="7907"/>
    <cellStyle name="_PCA 7 - Exhibit D update 9_30_2008_Transmission Workbook for May BOD 2 2 2" xfId="7908"/>
    <cellStyle name="_PCA 7 - Exhibit D update 9_30_2008_Transmission Workbook for May BOD 2 3" xfId="7909"/>
    <cellStyle name="_PCA 7 - Exhibit D update 9_30_2008_Transmission Workbook for May BOD 3" xfId="7910"/>
    <cellStyle name="_PCA 7 - Exhibit D update 9_30_2008_Transmission Workbook for May BOD 3 2" xfId="7911"/>
    <cellStyle name="_PCA 7 - Exhibit D update 9_30_2008_Transmission Workbook for May BOD 4" xfId="7912"/>
    <cellStyle name="_PCA 7 - Exhibit D update 9_30_2008_Transmission Workbook for May BOD_DEM-WP(C) ENERG10C--ctn Mid-C_042010 2010GRC" xfId="7913"/>
    <cellStyle name="_PCA 7 - Exhibit D update 9_30_2008_Transmission Workbook for May BOD_DEM-WP(C) ENERG10C--ctn Mid-C_042010 2010GRC 2" xfId="7914"/>
    <cellStyle name="_PCA 7 - Exhibit D update 9_30_2008_Wind Integration 10GRC" xfId="7915"/>
    <cellStyle name="_PCA 7 - Exhibit D update 9_30_2008_Wind Integration 10GRC 2" xfId="7916"/>
    <cellStyle name="_PCA 7 - Exhibit D update 9_30_2008_Wind Integration 10GRC 2 2" xfId="7917"/>
    <cellStyle name="_PCA 7 - Exhibit D update 9_30_2008_Wind Integration 10GRC 2 2 2" xfId="7918"/>
    <cellStyle name="_PCA 7 - Exhibit D update 9_30_2008_Wind Integration 10GRC 2 3" xfId="7919"/>
    <cellStyle name="_PCA 7 - Exhibit D update 9_30_2008_Wind Integration 10GRC 3" xfId="7920"/>
    <cellStyle name="_PCA 7 - Exhibit D update 9_30_2008_Wind Integration 10GRC 3 2" xfId="7921"/>
    <cellStyle name="_PCA 7 - Exhibit D update 9_30_2008_Wind Integration 10GRC 4" xfId="7922"/>
    <cellStyle name="_PCA 7 - Exhibit D update 9_30_2008_Wind Integration 10GRC_DEM-WP(C) ENERG10C--ctn Mid-C_042010 2010GRC" xfId="7923"/>
    <cellStyle name="_PCA 7 - Exhibit D update 9_30_2008_Wind Integration 10GRC_DEM-WP(C) ENERG10C--ctn Mid-C_042010 2010GRC 2" xfId="7924"/>
    <cellStyle name="_Portfolio SPlan Base Case.xls Chart 1" xfId="7925"/>
    <cellStyle name="_Portfolio SPlan Base Case.xls Chart 1 2" xfId="7926"/>
    <cellStyle name="_Portfolio SPlan Base Case.xls Chart 1 2 2" xfId="7927"/>
    <cellStyle name="_Portfolio SPlan Base Case.xls Chart 1 2 2 2" xfId="7928"/>
    <cellStyle name="_Portfolio SPlan Base Case.xls Chart 1 2 3" xfId="7929"/>
    <cellStyle name="_Portfolio SPlan Base Case.xls Chart 1 3" xfId="7930"/>
    <cellStyle name="_Portfolio SPlan Base Case.xls Chart 1 3 2" xfId="7931"/>
    <cellStyle name="_Portfolio SPlan Base Case.xls Chart 1 4" xfId="7932"/>
    <cellStyle name="_Portfolio SPlan Base Case.xls Chart 1 4 2" xfId="7933"/>
    <cellStyle name="_Portfolio SPlan Base Case.xls Chart 1 5" xfId="7934"/>
    <cellStyle name="_Portfolio SPlan Base Case.xls Chart 1 5 2" xfId="7935"/>
    <cellStyle name="_Portfolio SPlan Base Case.xls Chart 1 6" xfId="7936"/>
    <cellStyle name="_Portfolio SPlan Base Case.xls Chart 1 6 2" xfId="7937"/>
    <cellStyle name="_Portfolio SPlan Base Case.xls Chart 1_Adj Bench DR 3 for Initial Briefs (Electric)" xfId="7938"/>
    <cellStyle name="_Portfolio SPlan Base Case.xls Chart 1_Adj Bench DR 3 for Initial Briefs (Electric) 2" xfId="7939"/>
    <cellStyle name="_Portfolio SPlan Base Case.xls Chart 1_Adj Bench DR 3 for Initial Briefs (Electric) 2 2" xfId="7940"/>
    <cellStyle name="_Portfolio SPlan Base Case.xls Chart 1_Adj Bench DR 3 for Initial Briefs (Electric) 2 2 2" xfId="7941"/>
    <cellStyle name="_Portfolio SPlan Base Case.xls Chart 1_Adj Bench DR 3 for Initial Briefs (Electric) 2 3" xfId="7942"/>
    <cellStyle name="_Portfolio SPlan Base Case.xls Chart 1_Adj Bench DR 3 for Initial Briefs (Electric) 3" xfId="7943"/>
    <cellStyle name="_Portfolio SPlan Base Case.xls Chart 1_Adj Bench DR 3 for Initial Briefs (Electric) 3 2" xfId="7944"/>
    <cellStyle name="_Portfolio SPlan Base Case.xls Chart 1_Adj Bench DR 3 for Initial Briefs (Electric) 4" xfId="7945"/>
    <cellStyle name="_Portfolio SPlan Base Case.xls Chart 1_Adj Bench DR 3 for Initial Briefs (Electric)_DEM-WP(C) ENERG10C--ctn Mid-C_042010 2010GRC" xfId="7946"/>
    <cellStyle name="_Portfolio SPlan Base Case.xls Chart 1_Adj Bench DR 3 for Initial Briefs (Electric)_DEM-WP(C) ENERG10C--ctn Mid-C_042010 2010GRC 2" xfId="7947"/>
    <cellStyle name="_Portfolio SPlan Base Case.xls Chart 1_Book1" xfId="7948"/>
    <cellStyle name="_Portfolio SPlan Base Case.xls Chart 1_Book1 2" xfId="7949"/>
    <cellStyle name="_Portfolio SPlan Base Case.xls Chart 1_Book2" xfId="7950"/>
    <cellStyle name="_Portfolio SPlan Base Case.xls Chart 1_Book2 2" xfId="7951"/>
    <cellStyle name="_Portfolio SPlan Base Case.xls Chart 1_Book2 2 2" xfId="7952"/>
    <cellStyle name="_Portfolio SPlan Base Case.xls Chart 1_Book2 2 2 2" xfId="7953"/>
    <cellStyle name="_Portfolio SPlan Base Case.xls Chart 1_Book2 2 3" xfId="7954"/>
    <cellStyle name="_Portfolio SPlan Base Case.xls Chart 1_Book2 3" xfId="7955"/>
    <cellStyle name="_Portfolio SPlan Base Case.xls Chart 1_Book2 3 2" xfId="7956"/>
    <cellStyle name="_Portfolio SPlan Base Case.xls Chart 1_Book2 4" xfId="7957"/>
    <cellStyle name="_Portfolio SPlan Base Case.xls Chart 1_Book2_Adj Bench DR 3 for Initial Briefs (Electric)" xfId="7958"/>
    <cellStyle name="_Portfolio SPlan Base Case.xls Chart 1_Book2_Adj Bench DR 3 for Initial Briefs (Electric) 2" xfId="7959"/>
    <cellStyle name="_Portfolio SPlan Base Case.xls Chart 1_Book2_Adj Bench DR 3 for Initial Briefs (Electric) 2 2" xfId="7960"/>
    <cellStyle name="_Portfolio SPlan Base Case.xls Chart 1_Book2_Adj Bench DR 3 for Initial Briefs (Electric) 2 2 2" xfId="7961"/>
    <cellStyle name="_Portfolio SPlan Base Case.xls Chart 1_Book2_Adj Bench DR 3 for Initial Briefs (Electric) 2 3" xfId="7962"/>
    <cellStyle name="_Portfolio SPlan Base Case.xls Chart 1_Book2_Adj Bench DR 3 for Initial Briefs (Electric) 3" xfId="7963"/>
    <cellStyle name="_Portfolio SPlan Base Case.xls Chart 1_Book2_Adj Bench DR 3 for Initial Briefs (Electric) 3 2" xfId="7964"/>
    <cellStyle name="_Portfolio SPlan Base Case.xls Chart 1_Book2_Adj Bench DR 3 for Initial Briefs (Electric) 4" xfId="7965"/>
    <cellStyle name="_Portfolio SPlan Base Case.xls Chart 1_Book2_Adj Bench DR 3 for Initial Briefs (Electric)_DEM-WP(C) ENERG10C--ctn Mid-C_042010 2010GRC" xfId="7966"/>
    <cellStyle name="_Portfolio SPlan Base Case.xls Chart 1_Book2_Adj Bench DR 3 for Initial Briefs (Electric)_DEM-WP(C) ENERG10C--ctn Mid-C_042010 2010GRC 2" xfId="7967"/>
    <cellStyle name="_Portfolio SPlan Base Case.xls Chart 1_Book2_DEM-WP(C) ENERG10C--ctn Mid-C_042010 2010GRC" xfId="7968"/>
    <cellStyle name="_Portfolio SPlan Base Case.xls Chart 1_Book2_DEM-WP(C) ENERG10C--ctn Mid-C_042010 2010GRC 2" xfId="7969"/>
    <cellStyle name="_Portfolio SPlan Base Case.xls Chart 1_Book2_Electric Rev Req Model (2009 GRC) Rebuttal" xfId="7970"/>
    <cellStyle name="_Portfolio SPlan Base Case.xls Chart 1_Book2_Electric Rev Req Model (2009 GRC) Rebuttal 2" xfId="7971"/>
    <cellStyle name="_Portfolio SPlan Base Case.xls Chart 1_Book2_Electric Rev Req Model (2009 GRC) Rebuttal 2 2" xfId="7972"/>
    <cellStyle name="_Portfolio SPlan Base Case.xls Chart 1_Book2_Electric Rev Req Model (2009 GRC) Rebuttal 3" xfId="7973"/>
    <cellStyle name="_Portfolio SPlan Base Case.xls Chart 1_Book2_Electric Rev Req Model (2009 GRC) Rebuttal REmoval of New  WH Solar AdjustMI" xfId="7974"/>
    <cellStyle name="_Portfolio SPlan Base Case.xls Chart 1_Book2_Electric Rev Req Model (2009 GRC) Rebuttal REmoval of New  WH Solar AdjustMI 2" xfId="7975"/>
    <cellStyle name="_Portfolio SPlan Base Case.xls Chart 1_Book2_Electric Rev Req Model (2009 GRC) Rebuttal REmoval of New  WH Solar AdjustMI 2 2" xfId="7976"/>
    <cellStyle name="_Portfolio SPlan Base Case.xls Chart 1_Book2_Electric Rev Req Model (2009 GRC) Rebuttal REmoval of New  WH Solar AdjustMI 2 2 2" xfId="7977"/>
    <cellStyle name="_Portfolio SPlan Base Case.xls Chart 1_Book2_Electric Rev Req Model (2009 GRC) Rebuttal REmoval of New  WH Solar AdjustMI 2 3" xfId="7978"/>
    <cellStyle name="_Portfolio SPlan Base Case.xls Chart 1_Book2_Electric Rev Req Model (2009 GRC) Rebuttal REmoval of New  WH Solar AdjustMI 3" xfId="7979"/>
    <cellStyle name="_Portfolio SPlan Base Case.xls Chart 1_Book2_Electric Rev Req Model (2009 GRC) Rebuttal REmoval of New  WH Solar AdjustMI 3 2" xfId="7980"/>
    <cellStyle name="_Portfolio SPlan Base Case.xls Chart 1_Book2_Electric Rev Req Model (2009 GRC) Rebuttal REmoval of New  WH Solar AdjustMI 4" xfId="7981"/>
    <cellStyle name="_Portfolio SPlan Base Case.xls Chart 1_Book2_Electric Rev Req Model (2009 GRC) Rebuttal REmoval of New  WH Solar AdjustMI_DEM-WP(C) ENERG10C--ctn Mid-C_042010 2010GRC" xfId="7982"/>
    <cellStyle name="_Portfolio SPlan Base Case.xls Chart 1_Book2_Electric Rev Req Model (2009 GRC) Rebuttal REmoval of New  WH Solar AdjustMI_DEM-WP(C) ENERG10C--ctn Mid-C_042010 2010GRC 2" xfId="7983"/>
    <cellStyle name="_Portfolio SPlan Base Case.xls Chart 1_Book2_Electric Rev Req Model (2009 GRC) Revised 01-18-2010" xfId="7984"/>
    <cellStyle name="_Portfolio SPlan Base Case.xls Chart 1_Book2_Electric Rev Req Model (2009 GRC) Revised 01-18-2010 2" xfId="7985"/>
    <cellStyle name="_Portfolio SPlan Base Case.xls Chart 1_Book2_Electric Rev Req Model (2009 GRC) Revised 01-18-2010 2 2" xfId="7986"/>
    <cellStyle name="_Portfolio SPlan Base Case.xls Chart 1_Book2_Electric Rev Req Model (2009 GRC) Revised 01-18-2010 2 2 2" xfId="7987"/>
    <cellStyle name="_Portfolio SPlan Base Case.xls Chart 1_Book2_Electric Rev Req Model (2009 GRC) Revised 01-18-2010 2 3" xfId="7988"/>
    <cellStyle name="_Portfolio SPlan Base Case.xls Chart 1_Book2_Electric Rev Req Model (2009 GRC) Revised 01-18-2010 3" xfId="7989"/>
    <cellStyle name="_Portfolio SPlan Base Case.xls Chart 1_Book2_Electric Rev Req Model (2009 GRC) Revised 01-18-2010 3 2" xfId="7990"/>
    <cellStyle name="_Portfolio SPlan Base Case.xls Chart 1_Book2_Electric Rev Req Model (2009 GRC) Revised 01-18-2010 4" xfId="7991"/>
    <cellStyle name="_Portfolio SPlan Base Case.xls Chart 1_Book2_Electric Rev Req Model (2009 GRC) Revised 01-18-2010_DEM-WP(C) ENERG10C--ctn Mid-C_042010 2010GRC" xfId="7992"/>
    <cellStyle name="_Portfolio SPlan Base Case.xls Chart 1_Book2_Electric Rev Req Model (2009 GRC) Revised 01-18-2010_DEM-WP(C) ENERG10C--ctn Mid-C_042010 2010GRC 2" xfId="7993"/>
    <cellStyle name="_Portfolio SPlan Base Case.xls Chart 1_Book2_Final Order Electric EXHIBIT A-1" xfId="7994"/>
    <cellStyle name="_Portfolio SPlan Base Case.xls Chart 1_Book2_Final Order Electric EXHIBIT A-1 2" xfId="7995"/>
    <cellStyle name="_Portfolio SPlan Base Case.xls Chart 1_Book2_Final Order Electric EXHIBIT A-1 2 2" xfId="7996"/>
    <cellStyle name="_Portfolio SPlan Base Case.xls Chart 1_Book2_Final Order Electric EXHIBIT A-1 3" xfId="7997"/>
    <cellStyle name="_Portfolio SPlan Base Case.xls Chart 1_Chelan PUD Power Costs (8-10)" xfId="7998"/>
    <cellStyle name="_Portfolio SPlan Base Case.xls Chart 1_Chelan PUD Power Costs (8-10) 2" xfId="7999"/>
    <cellStyle name="_Portfolio SPlan Base Case.xls Chart 1_Colstrip 1&amp;2 Annual O&amp;M Budgets" xfId="8000"/>
    <cellStyle name="_Portfolio SPlan Base Case.xls Chart 1_Colstrip 1&amp;2 Annual O&amp;M Budgets 2" xfId="8001"/>
    <cellStyle name="_Portfolio SPlan Base Case.xls Chart 1_Colstrip 1&amp;2 Annual O&amp;M Budgets 3" xfId="8002"/>
    <cellStyle name="_Portfolio SPlan Base Case.xls Chart 1_Confidential Material" xfId="8003"/>
    <cellStyle name="_Portfolio SPlan Base Case.xls Chart 1_Confidential Material 2" xfId="8004"/>
    <cellStyle name="_Portfolio SPlan Base Case.xls Chart 1_DEM-WP(C) Colstrip 12 Coal Cost Forecast 2010GRC" xfId="8005"/>
    <cellStyle name="_Portfolio SPlan Base Case.xls Chart 1_DEM-WP(C) Colstrip 12 Coal Cost Forecast 2010GRC 2" xfId="8006"/>
    <cellStyle name="_Portfolio SPlan Base Case.xls Chart 1_DEM-WP(C) ENERG10C--ctn Mid-C_042010 2010GRC" xfId="8007"/>
    <cellStyle name="_Portfolio SPlan Base Case.xls Chart 1_DEM-WP(C) ENERG10C--ctn Mid-C_042010 2010GRC 2" xfId="8008"/>
    <cellStyle name="_Portfolio SPlan Base Case.xls Chart 1_DEM-WP(C) Production O&amp;M 2010GRC As-Filed" xfId="8009"/>
    <cellStyle name="_Portfolio SPlan Base Case.xls Chart 1_DEM-WP(C) Production O&amp;M 2010GRC As-Filed 2" xfId="8010"/>
    <cellStyle name="_Portfolio SPlan Base Case.xls Chart 1_DEM-WP(C) Production O&amp;M 2010GRC As-Filed 2 2" xfId="8011"/>
    <cellStyle name="_Portfolio SPlan Base Case.xls Chart 1_DEM-WP(C) Production O&amp;M 2010GRC As-Filed 2 3" xfId="8012"/>
    <cellStyle name="_Portfolio SPlan Base Case.xls Chart 1_DEM-WP(C) Production O&amp;M 2010GRC As-Filed 3" xfId="8013"/>
    <cellStyle name="_Portfolio SPlan Base Case.xls Chart 1_DEM-WP(C) Production O&amp;M 2010GRC As-Filed 3 2" xfId="8014"/>
    <cellStyle name="_Portfolio SPlan Base Case.xls Chart 1_DEM-WP(C) Production O&amp;M 2010GRC As-Filed 4" xfId="8015"/>
    <cellStyle name="_Portfolio SPlan Base Case.xls Chart 1_DEM-WP(C) Production O&amp;M 2010GRC As-Filed 4 2" xfId="8016"/>
    <cellStyle name="_Portfolio SPlan Base Case.xls Chart 1_DEM-WP(C) Production O&amp;M 2010GRC As-Filed 5" xfId="8017"/>
    <cellStyle name="_Portfolio SPlan Base Case.xls Chart 1_DEM-WP(C) Production O&amp;M 2010GRC As-Filed 5 2" xfId="8018"/>
    <cellStyle name="_Portfolio SPlan Base Case.xls Chart 1_DEM-WP(C) Production O&amp;M 2010GRC As-Filed 6" xfId="8019"/>
    <cellStyle name="_Portfolio SPlan Base Case.xls Chart 1_DEM-WP(C) Production O&amp;M 2010GRC As-Filed 6 2" xfId="8020"/>
    <cellStyle name="_Portfolio SPlan Base Case.xls Chart 1_Electric Rev Req Model (2009 GRC) " xfId="8021"/>
    <cellStyle name="_Portfolio SPlan Base Case.xls Chart 1_Electric Rev Req Model (2009 GRC)  2" xfId="8022"/>
    <cellStyle name="_Portfolio SPlan Base Case.xls Chart 1_Electric Rev Req Model (2009 GRC)  2 2" xfId="8023"/>
    <cellStyle name="_Portfolio SPlan Base Case.xls Chart 1_Electric Rev Req Model (2009 GRC)  2 2 2" xfId="8024"/>
    <cellStyle name="_Portfolio SPlan Base Case.xls Chart 1_Electric Rev Req Model (2009 GRC)  2 3" xfId="8025"/>
    <cellStyle name="_Portfolio SPlan Base Case.xls Chart 1_Electric Rev Req Model (2009 GRC)  3" xfId="8026"/>
    <cellStyle name="_Portfolio SPlan Base Case.xls Chart 1_Electric Rev Req Model (2009 GRC)  3 2" xfId="8027"/>
    <cellStyle name="_Portfolio SPlan Base Case.xls Chart 1_Electric Rev Req Model (2009 GRC)  4" xfId="8028"/>
    <cellStyle name="_Portfolio SPlan Base Case.xls Chart 1_Electric Rev Req Model (2009 GRC) _DEM-WP(C) ENERG10C--ctn Mid-C_042010 2010GRC" xfId="8029"/>
    <cellStyle name="_Portfolio SPlan Base Case.xls Chart 1_Electric Rev Req Model (2009 GRC) _DEM-WP(C) ENERG10C--ctn Mid-C_042010 2010GRC 2" xfId="8030"/>
    <cellStyle name="_Portfolio SPlan Base Case.xls Chart 1_Electric Rev Req Model (2009 GRC) Rebuttal" xfId="8031"/>
    <cellStyle name="_Portfolio SPlan Base Case.xls Chart 1_Electric Rev Req Model (2009 GRC) Rebuttal 2" xfId="8032"/>
    <cellStyle name="_Portfolio SPlan Base Case.xls Chart 1_Electric Rev Req Model (2009 GRC) Rebuttal 2 2" xfId="8033"/>
    <cellStyle name="_Portfolio SPlan Base Case.xls Chart 1_Electric Rev Req Model (2009 GRC) Rebuttal 3" xfId="8034"/>
    <cellStyle name="_Portfolio SPlan Base Case.xls Chart 1_Electric Rev Req Model (2009 GRC) Rebuttal REmoval of New  WH Solar AdjustMI" xfId="8035"/>
    <cellStyle name="_Portfolio SPlan Base Case.xls Chart 1_Electric Rev Req Model (2009 GRC) Rebuttal REmoval of New  WH Solar AdjustMI 2" xfId="8036"/>
    <cellStyle name="_Portfolio SPlan Base Case.xls Chart 1_Electric Rev Req Model (2009 GRC) Rebuttal REmoval of New  WH Solar AdjustMI 2 2" xfId="8037"/>
    <cellStyle name="_Portfolio SPlan Base Case.xls Chart 1_Electric Rev Req Model (2009 GRC) Rebuttal REmoval of New  WH Solar AdjustMI 2 2 2" xfId="8038"/>
    <cellStyle name="_Portfolio SPlan Base Case.xls Chart 1_Electric Rev Req Model (2009 GRC) Rebuttal REmoval of New  WH Solar AdjustMI 2 3" xfId="8039"/>
    <cellStyle name="_Portfolio SPlan Base Case.xls Chart 1_Electric Rev Req Model (2009 GRC) Rebuttal REmoval of New  WH Solar AdjustMI 3" xfId="8040"/>
    <cellStyle name="_Portfolio SPlan Base Case.xls Chart 1_Electric Rev Req Model (2009 GRC) Rebuttal REmoval of New  WH Solar AdjustMI 3 2" xfId="8041"/>
    <cellStyle name="_Portfolio SPlan Base Case.xls Chart 1_Electric Rev Req Model (2009 GRC) Rebuttal REmoval of New  WH Solar AdjustMI 4" xfId="8042"/>
    <cellStyle name="_Portfolio SPlan Base Case.xls Chart 1_Electric Rev Req Model (2009 GRC) Rebuttal REmoval of New  WH Solar AdjustMI_DEM-WP(C) ENERG10C--ctn Mid-C_042010 2010GRC" xfId="8043"/>
    <cellStyle name="_Portfolio SPlan Base Case.xls Chart 1_Electric Rev Req Model (2009 GRC) Rebuttal REmoval of New  WH Solar AdjustMI_DEM-WP(C) ENERG10C--ctn Mid-C_042010 2010GRC 2" xfId="8044"/>
    <cellStyle name="_Portfolio SPlan Base Case.xls Chart 1_Electric Rev Req Model (2009 GRC) Revised 01-18-2010" xfId="8045"/>
    <cellStyle name="_Portfolio SPlan Base Case.xls Chart 1_Electric Rev Req Model (2009 GRC) Revised 01-18-2010 2" xfId="8046"/>
    <cellStyle name="_Portfolio SPlan Base Case.xls Chart 1_Electric Rev Req Model (2009 GRC) Revised 01-18-2010 2 2" xfId="8047"/>
    <cellStyle name="_Portfolio SPlan Base Case.xls Chart 1_Electric Rev Req Model (2009 GRC) Revised 01-18-2010 2 2 2" xfId="8048"/>
    <cellStyle name="_Portfolio SPlan Base Case.xls Chart 1_Electric Rev Req Model (2009 GRC) Revised 01-18-2010 2 3" xfId="8049"/>
    <cellStyle name="_Portfolio SPlan Base Case.xls Chart 1_Electric Rev Req Model (2009 GRC) Revised 01-18-2010 3" xfId="8050"/>
    <cellStyle name="_Portfolio SPlan Base Case.xls Chart 1_Electric Rev Req Model (2009 GRC) Revised 01-18-2010 3 2" xfId="8051"/>
    <cellStyle name="_Portfolio SPlan Base Case.xls Chart 1_Electric Rev Req Model (2009 GRC) Revised 01-18-2010 4" xfId="8052"/>
    <cellStyle name="_Portfolio SPlan Base Case.xls Chart 1_Electric Rev Req Model (2009 GRC) Revised 01-18-2010_DEM-WP(C) ENERG10C--ctn Mid-C_042010 2010GRC" xfId="8053"/>
    <cellStyle name="_Portfolio SPlan Base Case.xls Chart 1_Electric Rev Req Model (2009 GRC) Revised 01-18-2010_DEM-WP(C) ENERG10C--ctn Mid-C_042010 2010GRC 2" xfId="8054"/>
    <cellStyle name="_Portfolio SPlan Base Case.xls Chart 1_Electric Rev Req Model (2010 GRC)" xfId="8055"/>
    <cellStyle name="_Portfolio SPlan Base Case.xls Chart 1_Electric Rev Req Model (2010 GRC) 2" xfId="8056"/>
    <cellStyle name="_Portfolio SPlan Base Case.xls Chart 1_Electric Rev Req Model (2010 GRC) SF" xfId="8057"/>
    <cellStyle name="_Portfolio SPlan Base Case.xls Chart 1_Electric Rev Req Model (2010 GRC) SF 2" xfId="8058"/>
    <cellStyle name="_Portfolio SPlan Base Case.xls Chart 1_Final Order Electric EXHIBIT A-1" xfId="8059"/>
    <cellStyle name="_Portfolio SPlan Base Case.xls Chart 1_Final Order Electric EXHIBIT A-1 2" xfId="8060"/>
    <cellStyle name="_Portfolio SPlan Base Case.xls Chart 1_Final Order Electric EXHIBIT A-1 2 2" xfId="8061"/>
    <cellStyle name="_Portfolio SPlan Base Case.xls Chart 1_Final Order Electric EXHIBIT A-1 3" xfId="8062"/>
    <cellStyle name="_Portfolio SPlan Base Case.xls Chart 1_NIM Summary" xfId="8063"/>
    <cellStyle name="_Portfolio SPlan Base Case.xls Chart 1_NIM Summary 2" xfId="8064"/>
    <cellStyle name="_Portfolio SPlan Base Case.xls Chart 1_NIM Summary 2 2" xfId="8065"/>
    <cellStyle name="_Portfolio SPlan Base Case.xls Chart 1_NIM Summary 2 2 2" xfId="8066"/>
    <cellStyle name="_Portfolio SPlan Base Case.xls Chart 1_NIM Summary 2 3" xfId="8067"/>
    <cellStyle name="_Portfolio SPlan Base Case.xls Chart 1_NIM Summary 3" xfId="8068"/>
    <cellStyle name="_Portfolio SPlan Base Case.xls Chart 1_NIM Summary 3 2" xfId="8069"/>
    <cellStyle name="_Portfolio SPlan Base Case.xls Chart 1_NIM Summary 4" xfId="8070"/>
    <cellStyle name="_Portfolio SPlan Base Case.xls Chart 1_NIM Summary_DEM-WP(C) ENERG10C--ctn Mid-C_042010 2010GRC" xfId="8071"/>
    <cellStyle name="_Portfolio SPlan Base Case.xls Chart 1_NIM Summary_DEM-WP(C) ENERG10C--ctn Mid-C_042010 2010GRC 2" xfId="8072"/>
    <cellStyle name="_Portfolio SPlan Base Case.xls Chart 1_Rebuttal Power Costs" xfId="8073"/>
    <cellStyle name="_Portfolio SPlan Base Case.xls Chart 1_Rebuttal Power Costs 2" xfId="8074"/>
    <cellStyle name="_Portfolio SPlan Base Case.xls Chart 1_Rebuttal Power Costs 2 2" xfId="8075"/>
    <cellStyle name="_Portfolio SPlan Base Case.xls Chart 1_Rebuttal Power Costs 2 2 2" xfId="8076"/>
    <cellStyle name="_Portfolio SPlan Base Case.xls Chart 1_Rebuttal Power Costs 2 3" xfId="8077"/>
    <cellStyle name="_Portfolio SPlan Base Case.xls Chart 1_Rebuttal Power Costs 3" xfId="8078"/>
    <cellStyle name="_Portfolio SPlan Base Case.xls Chart 1_Rebuttal Power Costs 3 2" xfId="8079"/>
    <cellStyle name="_Portfolio SPlan Base Case.xls Chart 1_Rebuttal Power Costs 4" xfId="8080"/>
    <cellStyle name="_Portfolio SPlan Base Case.xls Chart 1_Rebuttal Power Costs_Adj Bench DR 3 for Initial Briefs (Electric)" xfId="8081"/>
    <cellStyle name="_Portfolio SPlan Base Case.xls Chart 1_Rebuttal Power Costs_Adj Bench DR 3 for Initial Briefs (Electric) 2" xfId="8082"/>
    <cellStyle name="_Portfolio SPlan Base Case.xls Chart 1_Rebuttal Power Costs_Adj Bench DR 3 for Initial Briefs (Electric) 2 2" xfId="8083"/>
    <cellStyle name="_Portfolio SPlan Base Case.xls Chart 1_Rebuttal Power Costs_Adj Bench DR 3 for Initial Briefs (Electric) 2 2 2" xfId="8084"/>
    <cellStyle name="_Portfolio SPlan Base Case.xls Chart 1_Rebuttal Power Costs_Adj Bench DR 3 for Initial Briefs (Electric) 2 3" xfId="8085"/>
    <cellStyle name="_Portfolio SPlan Base Case.xls Chart 1_Rebuttal Power Costs_Adj Bench DR 3 for Initial Briefs (Electric) 3" xfId="8086"/>
    <cellStyle name="_Portfolio SPlan Base Case.xls Chart 1_Rebuttal Power Costs_Adj Bench DR 3 for Initial Briefs (Electric) 3 2" xfId="8087"/>
    <cellStyle name="_Portfolio SPlan Base Case.xls Chart 1_Rebuttal Power Costs_Adj Bench DR 3 for Initial Briefs (Electric) 4" xfId="8088"/>
    <cellStyle name="_Portfolio SPlan Base Case.xls Chart 1_Rebuttal Power Costs_Adj Bench DR 3 for Initial Briefs (Electric)_DEM-WP(C) ENERG10C--ctn Mid-C_042010 2010GRC" xfId="8089"/>
    <cellStyle name="_Portfolio SPlan Base Case.xls Chart 1_Rebuttal Power Costs_Adj Bench DR 3 for Initial Briefs (Electric)_DEM-WP(C) ENERG10C--ctn Mid-C_042010 2010GRC 2" xfId="8090"/>
    <cellStyle name="_Portfolio SPlan Base Case.xls Chart 1_Rebuttal Power Costs_DEM-WP(C) ENERG10C--ctn Mid-C_042010 2010GRC" xfId="8091"/>
    <cellStyle name="_Portfolio SPlan Base Case.xls Chart 1_Rebuttal Power Costs_DEM-WP(C) ENERG10C--ctn Mid-C_042010 2010GRC 2" xfId="8092"/>
    <cellStyle name="_Portfolio SPlan Base Case.xls Chart 1_Rebuttal Power Costs_Electric Rev Req Model (2009 GRC) Rebuttal" xfId="8093"/>
    <cellStyle name="_Portfolio SPlan Base Case.xls Chart 1_Rebuttal Power Costs_Electric Rev Req Model (2009 GRC) Rebuttal 2" xfId="8094"/>
    <cellStyle name="_Portfolio SPlan Base Case.xls Chart 1_Rebuttal Power Costs_Electric Rev Req Model (2009 GRC) Rebuttal 2 2" xfId="8095"/>
    <cellStyle name="_Portfolio SPlan Base Case.xls Chart 1_Rebuttal Power Costs_Electric Rev Req Model (2009 GRC) Rebuttal 3" xfId="8096"/>
    <cellStyle name="_Portfolio SPlan Base Case.xls Chart 1_Rebuttal Power Costs_Electric Rev Req Model (2009 GRC) Rebuttal REmoval of New  WH Solar AdjustMI" xfId="8097"/>
    <cellStyle name="_Portfolio SPlan Base Case.xls Chart 1_Rebuttal Power Costs_Electric Rev Req Model (2009 GRC) Rebuttal REmoval of New  WH Solar AdjustMI 2" xfId="8098"/>
    <cellStyle name="_Portfolio SPlan Base Case.xls Chart 1_Rebuttal Power Costs_Electric Rev Req Model (2009 GRC) Rebuttal REmoval of New  WH Solar AdjustMI 2 2" xfId="8099"/>
    <cellStyle name="_Portfolio SPlan Base Case.xls Chart 1_Rebuttal Power Costs_Electric Rev Req Model (2009 GRC) Rebuttal REmoval of New  WH Solar AdjustMI 2 2 2" xfId="8100"/>
    <cellStyle name="_Portfolio SPlan Base Case.xls Chart 1_Rebuttal Power Costs_Electric Rev Req Model (2009 GRC) Rebuttal REmoval of New  WH Solar AdjustMI 2 3" xfId="8101"/>
    <cellStyle name="_Portfolio SPlan Base Case.xls Chart 1_Rebuttal Power Costs_Electric Rev Req Model (2009 GRC) Rebuttal REmoval of New  WH Solar AdjustMI 3" xfId="8102"/>
    <cellStyle name="_Portfolio SPlan Base Case.xls Chart 1_Rebuttal Power Costs_Electric Rev Req Model (2009 GRC) Rebuttal REmoval of New  WH Solar AdjustMI 3 2" xfId="8103"/>
    <cellStyle name="_Portfolio SPlan Base Case.xls Chart 1_Rebuttal Power Costs_Electric Rev Req Model (2009 GRC) Rebuttal REmoval of New  WH Solar AdjustMI 4" xfId="8104"/>
    <cellStyle name="_Portfolio SPlan Base Case.xls Chart 1_Rebuttal Power Costs_Electric Rev Req Model (2009 GRC) Rebuttal REmoval of New  WH Solar AdjustMI_DEM-WP(C) ENERG10C--ctn Mid-C_042010 2010GRC" xfId="8105"/>
    <cellStyle name="_Portfolio SPlan Base Case.xls Chart 1_Rebuttal Power Costs_Electric Rev Req Model (2009 GRC) Rebuttal REmoval of New  WH Solar AdjustMI_DEM-WP(C) ENERG10C--ctn Mid-C_042010 2010GRC 2" xfId="8106"/>
    <cellStyle name="_Portfolio SPlan Base Case.xls Chart 1_Rebuttal Power Costs_Electric Rev Req Model (2009 GRC) Revised 01-18-2010" xfId="8107"/>
    <cellStyle name="_Portfolio SPlan Base Case.xls Chart 1_Rebuttal Power Costs_Electric Rev Req Model (2009 GRC) Revised 01-18-2010 2" xfId="8108"/>
    <cellStyle name="_Portfolio SPlan Base Case.xls Chart 1_Rebuttal Power Costs_Electric Rev Req Model (2009 GRC) Revised 01-18-2010 2 2" xfId="8109"/>
    <cellStyle name="_Portfolio SPlan Base Case.xls Chart 1_Rebuttal Power Costs_Electric Rev Req Model (2009 GRC) Revised 01-18-2010 2 2 2" xfId="8110"/>
    <cellStyle name="_Portfolio SPlan Base Case.xls Chart 1_Rebuttal Power Costs_Electric Rev Req Model (2009 GRC) Revised 01-18-2010 2 3" xfId="8111"/>
    <cellStyle name="_Portfolio SPlan Base Case.xls Chart 1_Rebuttal Power Costs_Electric Rev Req Model (2009 GRC) Revised 01-18-2010 3" xfId="8112"/>
    <cellStyle name="_Portfolio SPlan Base Case.xls Chart 1_Rebuttal Power Costs_Electric Rev Req Model (2009 GRC) Revised 01-18-2010 3 2" xfId="8113"/>
    <cellStyle name="_Portfolio SPlan Base Case.xls Chart 1_Rebuttal Power Costs_Electric Rev Req Model (2009 GRC) Revised 01-18-2010 4" xfId="8114"/>
    <cellStyle name="_Portfolio SPlan Base Case.xls Chart 1_Rebuttal Power Costs_Electric Rev Req Model (2009 GRC) Revised 01-18-2010_DEM-WP(C) ENERG10C--ctn Mid-C_042010 2010GRC" xfId="8115"/>
    <cellStyle name="_Portfolio SPlan Base Case.xls Chart 1_Rebuttal Power Costs_Electric Rev Req Model (2009 GRC) Revised 01-18-2010_DEM-WP(C) ENERG10C--ctn Mid-C_042010 2010GRC 2" xfId="8116"/>
    <cellStyle name="_Portfolio SPlan Base Case.xls Chart 1_Rebuttal Power Costs_Final Order Electric EXHIBIT A-1" xfId="8117"/>
    <cellStyle name="_Portfolio SPlan Base Case.xls Chart 1_Rebuttal Power Costs_Final Order Electric EXHIBIT A-1 2" xfId="8118"/>
    <cellStyle name="_Portfolio SPlan Base Case.xls Chart 1_Rebuttal Power Costs_Final Order Electric EXHIBIT A-1 2 2" xfId="8119"/>
    <cellStyle name="_Portfolio SPlan Base Case.xls Chart 1_Rebuttal Power Costs_Final Order Electric EXHIBIT A-1 3" xfId="8120"/>
    <cellStyle name="_Portfolio SPlan Base Case.xls Chart 1_TENASKA REGULATORY ASSET" xfId="8121"/>
    <cellStyle name="_Portfolio SPlan Base Case.xls Chart 1_TENASKA REGULATORY ASSET 2" xfId="8122"/>
    <cellStyle name="_Portfolio SPlan Base Case.xls Chart 1_TENASKA REGULATORY ASSET 2 2" xfId="8123"/>
    <cellStyle name="_Portfolio SPlan Base Case.xls Chart 1_TENASKA REGULATORY ASSET 3" xfId="8124"/>
    <cellStyle name="_Portfolio SPlan Base Case.xls Chart 2" xfId="8125"/>
    <cellStyle name="_Portfolio SPlan Base Case.xls Chart 2 2" xfId="8126"/>
    <cellStyle name="_Portfolio SPlan Base Case.xls Chart 2 2 2" xfId="8127"/>
    <cellStyle name="_Portfolio SPlan Base Case.xls Chart 2 2 2 2" xfId="8128"/>
    <cellStyle name="_Portfolio SPlan Base Case.xls Chart 2 2 3" xfId="8129"/>
    <cellStyle name="_Portfolio SPlan Base Case.xls Chart 2 3" xfId="8130"/>
    <cellStyle name="_Portfolio SPlan Base Case.xls Chart 2 3 2" xfId="8131"/>
    <cellStyle name="_Portfolio SPlan Base Case.xls Chart 2 4" xfId="8132"/>
    <cellStyle name="_Portfolio SPlan Base Case.xls Chart 2 4 2" xfId="8133"/>
    <cellStyle name="_Portfolio SPlan Base Case.xls Chart 2 5" xfId="8134"/>
    <cellStyle name="_Portfolio SPlan Base Case.xls Chart 2 5 2" xfId="8135"/>
    <cellStyle name="_Portfolio SPlan Base Case.xls Chart 2 6" xfId="8136"/>
    <cellStyle name="_Portfolio SPlan Base Case.xls Chart 2 6 2" xfId="8137"/>
    <cellStyle name="_Portfolio SPlan Base Case.xls Chart 2_Adj Bench DR 3 for Initial Briefs (Electric)" xfId="8138"/>
    <cellStyle name="_Portfolio SPlan Base Case.xls Chart 2_Adj Bench DR 3 for Initial Briefs (Electric) 2" xfId="8139"/>
    <cellStyle name="_Portfolio SPlan Base Case.xls Chart 2_Adj Bench DR 3 for Initial Briefs (Electric) 2 2" xfId="8140"/>
    <cellStyle name="_Portfolio SPlan Base Case.xls Chart 2_Adj Bench DR 3 for Initial Briefs (Electric) 2 2 2" xfId="8141"/>
    <cellStyle name="_Portfolio SPlan Base Case.xls Chart 2_Adj Bench DR 3 for Initial Briefs (Electric) 2 3" xfId="8142"/>
    <cellStyle name="_Portfolio SPlan Base Case.xls Chart 2_Adj Bench DR 3 for Initial Briefs (Electric) 3" xfId="8143"/>
    <cellStyle name="_Portfolio SPlan Base Case.xls Chart 2_Adj Bench DR 3 for Initial Briefs (Electric) 3 2" xfId="8144"/>
    <cellStyle name="_Portfolio SPlan Base Case.xls Chart 2_Adj Bench DR 3 for Initial Briefs (Electric) 4" xfId="8145"/>
    <cellStyle name="_Portfolio SPlan Base Case.xls Chart 2_Adj Bench DR 3 for Initial Briefs (Electric)_DEM-WP(C) ENERG10C--ctn Mid-C_042010 2010GRC" xfId="8146"/>
    <cellStyle name="_Portfolio SPlan Base Case.xls Chart 2_Adj Bench DR 3 for Initial Briefs (Electric)_DEM-WP(C) ENERG10C--ctn Mid-C_042010 2010GRC 2" xfId="8147"/>
    <cellStyle name="_Portfolio SPlan Base Case.xls Chart 2_Book1" xfId="8148"/>
    <cellStyle name="_Portfolio SPlan Base Case.xls Chart 2_Book1 2" xfId="8149"/>
    <cellStyle name="_Portfolio SPlan Base Case.xls Chart 2_Book2" xfId="8150"/>
    <cellStyle name="_Portfolio SPlan Base Case.xls Chart 2_Book2 2" xfId="8151"/>
    <cellStyle name="_Portfolio SPlan Base Case.xls Chart 2_Book2 2 2" xfId="8152"/>
    <cellStyle name="_Portfolio SPlan Base Case.xls Chart 2_Book2 2 2 2" xfId="8153"/>
    <cellStyle name="_Portfolio SPlan Base Case.xls Chart 2_Book2 2 3" xfId="8154"/>
    <cellStyle name="_Portfolio SPlan Base Case.xls Chart 2_Book2 3" xfId="8155"/>
    <cellStyle name="_Portfolio SPlan Base Case.xls Chart 2_Book2 3 2" xfId="8156"/>
    <cellStyle name="_Portfolio SPlan Base Case.xls Chart 2_Book2 4" xfId="8157"/>
    <cellStyle name="_Portfolio SPlan Base Case.xls Chart 2_Book2_Adj Bench DR 3 for Initial Briefs (Electric)" xfId="8158"/>
    <cellStyle name="_Portfolio SPlan Base Case.xls Chart 2_Book2_Adj Bench DR 3 for Initial Briefs (Electric) 2" xfId="8159"/>
    <cellStyle name="_Portfolio SPlan Base Case.xls Chart 2_Book2_Adj Bench DR 3 for Initial Briefs (Electric) 2 2" xfId="8160"/>
    <cellStyle name="_Portfolio SPlan Base Case.xls Chart 2_Book2_Adj Bench DR 3 for Initial Briefs (Electric) 2 2 2" xfId="8161"/>
    <cellStyle name="_Portfolio SPlan Base Case.xls Chart 2_Book2_Adj Bench DR 3 for Initial Briefs (Electric) 2 3" xfId="8162"/>
    <cellStyle name="_Portfolio SPlan Base Case.xls Chart 2_Book2_Adj Bench DR 3 for Initial Briefs (Electric) 3" xfId="8163"/>
    <cellStyle name="_Portfolio SPlan Base Case.xls Chart 2_Book2_Adj Bench DR 3 for Initial Briefs (Electric) 3 2" xfId="8164"/>
    <cellStyle name="_Portfolio SPlan Base Case.xls Chart 2_Book2_Adj Bench DR 3 for Initial Briefs (Electric) 4" xfId="8165"/>
    <cellStyle name="_Portfolio SPlan Base Case.xls Chart 2_Book2_Adj Bench DR 3 for Initial Briefs (Electric)_DEM-WP(C) ENERG10C--ctn Mid-C_042010 2010GRC" xfId="8166"/>
    <cellStyle name="_Portfolio SPlan Base Case.xls Chart 2_Book2_Adj Bench DR 3 for Initial Briefs (Electric)_DEM-WP(C) ENERG10C--ctn Mid-C_042010 2010GRC 2" xfId="8167"/>
    <cellStyle name="_Portfolio SPlan Base Case.xls Chart 2_Book2_DEM-WP(C) ENERG10C--ctn Mid-C_042010 2010GRC" xfId="8168"/>
    <cellStyle name="_Portfolio SPlan Base Case.xls Chart 2_Book2_DEM-WP(C) ENERG10C--ctn Mid-C_042010 2010GRC 2" xfId="8169"/>
    <cellStyle name="_Portfolio SPlan Base Case.xls Chart 2_Book2_Electric Rev Req Model (2009 GRC) Rebuttal" xfId="8170"/>
    <cellStyle name="_Portfolio SPlan Base Case.xls Chart 2_Book2_Electric Rev Req Model (2009 GRC) Rebuttal 2" xfId="8171"/>
    <cellStyle name="_Portfolio SPlan Base Case.xls Chart 2_Book2_Electric Rev Req Model (2009 GRC) Rebuttal 2 2" xfId="8172"/>
    <cellStyle name="_Portfolio SPlan Base Case.xls Chart 2_Book2_Electric Rev Req Model (2009 GRC) Rebuttal 3" xfId="8173"/>
    <cellStyle name="_Portfolio SPlan Base Case.xls Chart 2_Book2_Electric Rev Req Model (2009 GRC) Rebuttal REmoval of New  WH Solar AdjustMI" xfId="8174"/>
    <cellStyle name="_Portfolio SPlan Base Case.xls Chart 2_Book2_Electric Rev Req Model (2009 GRC) Rebuttal REmoval of New  WH Solar AdjustMI 2" xfId="8175"/>
    <cellStyle name="_Portfolio SPlan Base Case.xls Chart 2_Book2_Electric Rev Req Model (2009 GRC) Rebuttal REmoval of New  WH Solar AdjustMI 2 2" xfId="8176"/>
    <cellStyle name="_Portfolio SPlan Base Case.xls Chart 2_Book2_Electric Rev Req Model (2009 GRC) Rebuttal REmoval of New  WH Solar AdjustMI 2 2 2" xfId="8177"/>
    <cellStyle name="_Portfolio SPlan Base Case.xls Chart 2_Book2_Electric Rev Req Model (2009 GRC) Rebuttal REmoval of New  WH Solar AdjustMI 2 3" xfId="8178"/>
    <cellStyle name="_Portfolio SPlan Base Case.xls Chart 2_Book2_Electric Rev Req Model (2009 GRC) Rebuttal REmoval of New  WH Solar AdjustMI 3" xfId="8179"/>
    <cellStyle name="_Portfolio SPlan Base Case.xls Chart 2_Book2_Electric Rev Req Model (2009 GRC) Rebuttal REmoval of New  WH Solar AdjustMI 3 2" xfId="8180"/>
    <cellStyle name="_Portfolio SPlan Base Case.xls Chart 2_Book2_Electric Rev Req Model (2009 GRC) Rebuttal REmoval of New  WH Solar AdjustMI 4" xfId="8181"/>
    <cellStyle name="_Portfolio SPlan Base Case.xls Chart 2_Book2_Electric Rev Req Model (2009 GRC) Rebuttal REmoval of New  WH Solar AdjustMI_DEM-WP(C) ENERG10C--ctn Mid-C_042010 2010GRC" xfId="8182"/>
    <cellStyle name="_Portfolio SPlan Base Case.xls Chart 2_Book2_Electric Rev Req Model (2009 GRC) Rebuttal REmoval of New  WH Solar AdjustMI_DEM-WP(C) ENERG10C--ctn Mid-C_042010 2010GRC 2" xfId="8183"/>
    <cellStyle name="_Portfolio SPlan Base Case.xls Chart 2_Book2_Electric Rev Req Model (2009 GRC) Revised 01-18-2010" xfId="8184"/>
    <cellStyle name="_Portfolio SPlan Base Case.xls Chart 2_Book2_Electric Rev Req Model (2009 GRC) Revised 01-18-2010 2" xfId="8185"/>
    <cellStyle name="_Portfolio SPlan Base Case.xls Chart 2_Book2_Electric Rev Req Model (2009 GRC) Revised 01-18-2010 2 2" xfId="8186"/>
    <cellStyle name="_Portfolio SPlan Base Case.xls Chart 2_Book2_Electric Rev Req Model (2009 GRC) Revised 01-18-2010 2 2 2" xfId="8187"/>
    <cellStyle name="_Portfolio SPlan Base Case.xls Chart 2_Book2_Electric Rev Req Model (2009 GRC) Revised 01-18-2010 2 3" xfId="8188"/>
    <cellStyle name="_Portfolio SPlan Base Case.xls Chart 2_Book2_Electric Rev Req Model (2009 GRC) Revised 01-18-2010 3" xfId="8189"/>
    <cellStyle name="_Portfolio SPlan Base Case.xls Chart 2_Book2_Electric Rev Req Model (2009 GRC) Revised 01-18-2010 3 2" xfId="8190"/>
    <cellStyle name="_Portfolio SPlan Base Case.xls Chart 2_Book2_Electric Rev Req Model (2009 GRC) Revised 01-18-2010 4" xfId="8191"/>
    <cellStyle name="_Portfolio SPlan Base Case.xls Chart 2_Book2_Electric Rev Req Model (2009 GRC) Revised 01-18-2010_DEM-WP(C) ENERG10C--ctn Mid-C_042010 2010GRC" xfId="8192"/>
    <cellStyle name="_Portfolio SPlan Base Case.xls Chart 2_Book2_Electric Rev Req Model (2009 GRC) Revised 01-18-2010_DEM-WP(C) ENERG10C--ctn Mid-C_042010 2010GRC 2" xfId="8193"/>
    <cellStyle name="_Portfolio SPlan Base Case.xls Chart 2_Book2_Final Order Electric EXHIBIT A-1" xfId="8194"/>
    <cellStyle name="_Portfolio SPlan Base Case.xls Chart 2_Book2_Final Order Electric EXHIBIT A-1 2" xfId="8195"/>
    <cellStyle name="_Portfolio SPlan Base Case.xls Chart 2_Book2_Final Order Electric EXHIBIT A-1 2 2" xfId="8196"/>
    <cellStyle name="_Portfolio SPlan Base Case.xls Chart 2_Book2_Final Order Electric EXHIBIT A-1 3" xfId="8197"/>
    <cellStyle name="_Portfolio SPlan Base Case.xls Chart 2_Chelan PUD Power Costs (8-10)" xfId="8198"/>
    <cellStyle name="_Portfolio SPlan Base Case.xls Chart 2_Chelan PUD Power Costs (8-10) 2" xfId="8199"/>
    <cellStyle name="_Portfolio SPlan Base Case.xls Chart 2_Colstrip 1&amp;2 Annual O&amp;M Budgets" xfId="8200"/>
    <cellStyle name="_Portfolio SPlan Base Case.xls Chart 2_Colstrip 1&amp;2 Annual O&amp;M Budgets 2" xfId="8201"/>
    <cellStyle name="_Portfolio SPlan Base Case.xls Chart 2_Colstrip 1&amp;2 Annual O&amp;M Budgets 3" xfId="8202"/>
    <cellStyle name="_Portfolio SPlan Base Case.xls Chart 2_Confidential Material" xfId="8203"/>
    <cellStyle name="_Portfolio SPlan Base Case.xls Chart 2_Confidential Material 2" xfId="8204"/>
    <cellStyle name="_Portfolio SPlan Base Case.xls Chart 2_DEM-WP(C) Colstrip 12 Coal Cost Forecast 2010GRC" xfId="8205"/>
    <cellStyle name="_Portfolio SPlan Base Case.xls Chart 2_DEM-WP(C) Colstrip 12 Coal Cost Forecast 2010GRC 2" xfId="8206"/>
    <cellStyle name="_Portfolio SPlan Base Case.xls Chart 2_DEM-WP(C) ENERG10C--ctn Mid-C_042010 2010GRC" xfId="8207"/>
    <cellStyle name="_Portfolio SPlan Base Case.xls Chart 2_DEM-WP(C) ENERG10C--ctn Mid-C_042010 2010GRC 2" xfId="8208"/>
    <cellStyle name="_Portfolio SPlan Base Case.xls Chart 2_DEM-WP(C) Production O&amp;M 2010GRC As-Filed" xfId="8209"/>
    <cellStyle name="_Portfolio SPlan Base Case.xls Chart 2_DEM-WP(C) Production O&amp;M 2010GRC As-Filed 2" xfId="8210"/>
    <cellStyle name="_Portfolio SPlan Base Case.xls Chart 2_DEM-WP(C) Production O&amp;M 2010GRC As-Filed 2 2" xfId="8211"/>
    <cellStyle name="_Portfolio SPlan Base Case.xls Chart 2_DEM-WP(C) Production O&amp;M 2010GRC As-Filed 2 3" xfId="8212"/>
    <cellStyle name="_Portfolio SPlan Base Case.xls Chart 2_DEM-WP(C) Production O&amp;M 2010GRC As-Filed 3" xfId="8213"/>
    <cellStyle name="_Portfolio SPlan Base Case.xls Chart 2_DEM-WP(C) Production O&amp;M 2010GRC As-Filed 3 2" xfId="8214"/>
    <cellStyle name="_Portfolio SPlan Base Case.xls Chart 2_DEM-WP(C) Production O&amp;M 2010GRC As-Filed 4" xfId="8215"/>
    <cellStyle name="_Portfolio SPlan Base Case.xls Chart 2_DEM-WP(C) Production O&amp;M 2010GRC As-Filed 4 2" xfId="8216"/>
    <cellStyle name="_Portfolio SPlan Base Case.xls Chart 2_DEM-WP(C) Production O&amp;M 2010GRC As-Filed 5" xfId="8217"/>
    <cellStyle name="_Portfolio SPlan Base Case.xls Chart 2_DEM-WP(C) Production O&amp;M 2010GRC As-Filed 5 2" xfId="8218"/>
    <cellStyle name="_Portfolio SPlan Base Case.xls Chart 2_DEM-WP(C) Production O&amp;M 2010GRC As-Filed 6" xfId="8219"/>
    <cellStyle name="_Portfolio SPlan Base Case.xls Chart 2_DEM-WP(C) Production O&amp;M 2010GRC As-Filed 6 2" xfId="8220"/>
    <cellStyle name="_Portfolio SPlan Base Case.xls Chart 2_Electric Rev Req Model (2009 GRC) " xfId="8221"/>
    <cellStyle name="_Portfolio SPlan Base Case.xls Chart 2_Electric Rev Req Model (2009 GRC)  2" xfId="8222"/>
    <cellStyle name="_Portfolio SPlan Base Case.xls Chart 2_Electric Rev Req Model (2009 GRC)  2 2" xfId="8223"/>
    <cellStyle name="_Portfolio SPlan Base Case.xls Chart 2_Electric Rev Req Model (2009 GRC)  2 2 2" xfId="8224"/>
    <cellStyle name="_Portfolio SPlan Base Case.xls Chart 2_Electric Rev Req Model (2009 GRC)  2 3" xfId="8225"/>
    <cellStyle name="_Portfolio SPlan Base Case.xls Chart 2_Electric Rev Req Model (2009 GRC)  3" xfId="8226"/>
    <cellStyle name="_Portfolio SPlan Base Case.xls Chart 2_Electric Rev Req Model (2009 GRC)  3 2" xfId="8227"/>
    <cellStyle name="_Portfolio SPlan Base Case.xls Chart 2_Electric Rev Req Model (2009 GRC)  4" xfId="8228"/>
    <cellStyle name="_Portfolio SPlan Base Case.xls Chart 2_Electric Rev Req Model (2009 GRC) _DEM-WP(C) ENERG10C--ctn Mid-C_042010 2010GRC" xfId="8229"/>
    <cellStyle name="_Portfolio SPlan Base Case.xls Chart 2_Electric Rev Req Model (2009 GRC) _DEM-WP(C) ENERG10C--ctn Mid-C_042010 2010GRC 2" xfId="8230"/>
    <cellStyle name="_Portfolio SPlan Base Case.xls Chart 2_Electric Rev Req Model (2009 GRC) Rebuttal" xfId="8231"/>
    <cellStyle name="_Portfolio SPlan Base Case.xls Chart 2_Electric Rev Req Model (2009 GRC) Rebuttal 2" xfId="8232"/>
    <cellStyle name="_Portfolio SPlan Base Case.xls Chart 2_Electric Rev Req Model (2009 GRC) Rebuttal 2 2" xfId="8233"/>
    <cellStyle name="_Portfolio SPlan Base Case.xls Chart 2_Electric Rev Req Model (2009 GRC) Rebuttal 3" xfId="8234"/>
    <cellStyle name="_Portfolio SPlan Base Case.xls Chart 2_Electric Rev Req Model (2009 GRC) Rebuttal REmoval of New  WH Solar AdjustMI" xfId="8235"/>
    <cellStyle name="_Portfolio SPlan Base Case.xls Chart 2_Electric Rev Req Model (2009 GRC) Rebuttal REmoval of New  WH Solar AdjustMI 2" xfId="8236"/>
    <cellStyle name="_Portfolio SPlan Base Case.xls Chart 2_Electric Rev Req Model (2009 GRC) Rebuttal REmoval of New  WH Solar AdjustMI 2 2" xfId="8237"/>
    <cellStyle name="_Portfolio SPlan Base Case.xls Chart 2_Electric Rev Req Model (2009 GRC) Rebuttal REmoval of New  WH Solar AdjustMI 2 2 2" xfId="8238"/>
    <cellStyle name="_Portfolio SPlan Base Case.xls Chart 2_Electric Rev Req Model (2009 GRC) Rebuttal REmoval of New  WH Solar AdjustMI 2 3" xfId="8239"/>
    <cellStyle name="_Portfolio SPlan Base Case.xls Chart 2_Electric Rev Req Model (2009 GRC) Rebuttal REmoval of New  WH Solar AdjustMI 3" xfId="8240"/>
    <cellStyle name="_Portfolio SPlan Base Case.xls Chart 2_Electric Rev Req Model (2009 GRC) Rebuttal REmoval of New  WH Solar AdjustMI 3 2" xfId="8241"/>
    <cellStyle name="_Portfolio SPlan Base Case.xls Chart 2_Electric Rev Req Model (2009 GRC) Rebuttal REmoval of New  WH Solar AdjustMI 4" xfId="8242"/>
    <cellStyle name="_Portfolio SPlan Base Case.xls Chart 2_Electric Rev Req Model (2009 GRC) Rebuttal REmoval of New  WH Solar AdjustMI_DEM-WP(C) ENERG10C--ctn Mid-C_042010 2010GRC" xfId="8243"/>
    <cellStyle name="_Portfolio SPlan Base Case.xls Chart 2_Electric Rev Req Model (2009 GRC) Rebuttal REmoval of New  WH Solar AdjustMI_DEM-WP(C) ENERG10C--ctn Mid-C_042010 2010GRC 2" xfId="8244"/>
    <cellStyle name="_Portfolio SPlan Base Case.xls Chart 2_Electric Rev Req Model (2009 GRC) Revised 01-18-2010" xfId="8245"/>
    <cellStyle name="_Portfolio SPlan Base Case.xls Chart 2_Electric Rev Req Model (2009 GRC) Revised 01-18-2010 2" xfId="8246"/>
    <cellStyle name="_Portfolio SPlan Base Case.xls Chart 2_Electric Rev Req Model (2009 GRC) Revised 01-18-2010 2 2" xfId="8247"/>
    <cellStyle name="_Portfolio SPlan Base Case.xls Chart 2_Electric Rev Req Model (2009 GRC) Revised 01-18-2010 2 2 2" xfId="8248"/>
    <cellStyle name="_Portfolio SPlan Base Case.xls Chart 2_Electric Rev Req Model (2009 GRC) Revised 01-18-2010 2 3" xfId="8249"/>
    <cellStyle name="_Portfolio SPlan Base Case.xls Chart 2_Electric Rev Req Model (2009 GRC) Revised 01-18-2010 3" xfId="8250"/>
    <cellStyle name="_Portfolio SPlan Base Case.xls Chart 2_Electric Rev Req Model (2009 GRC) Revised 01-18-2010 3 2" xfId="8251"/>
    <cellStyle name="_Portfolio SPlan Base Case.xls Chart 2_Electric Rev Req Model (2009 GRC) Revised 01-18-2010 4" xfId="8252"/>
    <cellStyle name="_Portfolio SPlan Base Case.xls Chart 2_Electric Rev Req Model (2009 GRC) Revised 01-18-2010_DEM-WP(C) ENERG10C--ctn Mid-C_042010 2010GRC" xfId="8253"/>
    <cellStyle name="_Portfolio SPlan Base Case.xls Chart 2_Electric Rev Req Model (2009 GRC) Revised 01-18-2010_DEM-WP(C) ENERG10C--ctn Mid-C_042010 2010GRC 2" xfId="8254"/>
    <cellStyle name="_Portfolio SPlan Base Case.xls Chart 2_Electric Rev Req Model (2010 GRC)" xfId="8255"/>
    <cellStyle name="_Portfolio SPlan Base Case.xls Chart 2_Electric Rev Req Model (2010 GRC) 2" xfId="8256"/>
    <cellStyle name="_Portfolio SPlan Base Case.xls Chart 2_Electric Rev Req Model (2010 GRC) SF" xfId="8257"/>
    <cellStyle name="_Portfolio SPlan Base Case.xls Chart 2_Electric Rev Req Model (2010 GRC) SF 2" xfId="8258"/>
    <cellStyle name="_Portfolio SPlan Base Case.xls Chart 2_Final Order Electric EXHIBIT A-1" xfId="8259"/>
    <cellStyle name="_Portfolio SPlan Base Case.xls Chart 2_Final Order Electric EXHIBIT A-1 2" xfId="8260"/>
    <cellStyle name="_Portfolio SPlan Base Case.xls Chart 2_Final Order Electric EXHIBIT A-1 2 2" xfId="8261"/>
    <cellStyle name="_Portfolio SPlan Base Case.xls Chart 2_Final Order Electric EXHIBIT A-1 3" xfId="8262"/>
    <cellStyle name="_Portfolio SPlan Base Case.xls Chart 2_NIM Summary" xfId="8263"/>
    <cellStyle name="_Portfolio SPlan Base Case.xls Chart 2_NIM Summary 2" xfId="8264"/>
    <cellStyle name="_Portfolio SPlan Base Case.xls Chart 2_NIM Summary 2 2" xfId="8265"/>
    <cellStyle name="_Portfolio SPlan Base Case.xls Chart 2_NIM Summary 2 2 2" xfId="8266"/>
    <cellStyle name="_Portfolio SPlan Base Case.xls Chart 2_NIM Summary 2 3" xfId="8267"/>
    <cellStyle name="_Portfolio SPlan Base Case.xls Chart 2_NIM Summary 3" xfId="8268"/>
    <cellStyle name="_Portfolio SPlan Base Case.xls Chart 2_NIM Summary 3 2" xfId="8269"/>
    <cellStyle name="_Portfolio SPlan Base Case.xls Chart 2_NIM Summary 4" xfId="8270"/>
    <cellStyle name="_Portfolio SPlan Base Case.xls Chart 2_NIM Summary_DEM-WP(C) ENERG10C--ctn Mid-C_042010 2010GRC" xfId="8271"/>
    <cellStyle name="_Portfolio SPlan Base Case.xls Chart 2_NIM Summary_DEM-WP(C) ENERG10C--ctn Mid-C_042010 2010GRC 2" xfId="8272"/>
    <cellStyle name="_Portfolio SPlan Base Case.xls Chart 2_Rebuttal Power Costs" xfId="8273"/>
    <cellStyle name="_Portfolio SPlan Base Case.xls Chart 2_Rebuttal Power Costs 2" xfId="8274"/>
    <cellStyle name="_Portfolio SPlan Base Case.xls Chart 2_Rebuttal Power Costs 2 2" xfId="8275"/>
    <cellStyle name="_Portfolio SPlan Base Case.xls Chart 2_Rebuttal Power Costs 2 2 2" xfId="8276"/>
    <cellStyle name="_Portfolio SPlan Base Case.xls Chart 2_Rebuttal Power Costs 2 3" xfId="8277"/>
    <cellStyle name="_Portfolio SPlan Base Case.xls Chart 2_Rebuttal Power Costs 3" xfId="8278"/>
    <cellStyle name="_Portfolio SPlan Base Case.xls Chart 2_Rebuttal Power Costs 3 2" xfId="8279"/>
    <cellStyle name="_Portfolio SPlan Base Case.xls Chart 2_Rebuttal Power Costs 4" xfId="8280"/>
    <cellStyle name="_Portfolio SPlan Base Case.xls Chart 2_Rebuttal Power Costs_Adj Bench DR 3 for Initial Briefs (Electric)" xfId="8281"/>
    <cellStyle name="_Portfolio SPlan Base Case.xls Chart 2_Rebuttal Power Costs_Adj Bench DR 3 for Initial Briefs (Electric) 2" xfId="8282"/>
    <cellStyle name="_Portfolio SPlan Base Case.xls Chart 2_Rebuttal Power Costs_Adj Bench DR 3 for Initial Briefs (Electric) 2 2" xfId="8283"/>
    <cellStyle name="_Portfolio SPlan Base Case.xls Chart 2_Rebuttal Power Costs_Adj Bench DR 3 for Initial Briefs (Electric) 2 2 2" xfId="8284"/>
    <cellStyle name="_Portfolio SPlan Base Case.xls Chart 2_Rebuttal Power Costs_Adj Bench DR 3 for Initial Briefs (Electric) 2 3" xfId="8285"/>
    <cellStyle name="_Portfolio SPlan Base Case.xls Chart 2_Rebuttal Power Costs_Adj Bench DR 3 for Initial Briefs (Electric) 3" xfId="8286"/>
    <cellStyle name="_Portfolio SPlan Base Case.xls Chart 2_Rebuttal Power Costs_Adj Bench DR 3 for Initial Briefs (Electric) 3 2" xfId="8287"/>
    <cellStyle name="_Portfolio SPlan Base Case.xls Chart 2_Rebuttal Power Costs_Adj Bench DR 3 for Initial Briefs (Electric) 4" xfId="8288"/>
    <cellStyle name="_Portfolio SPlan Base Case.xls Chart 2_Rebuttal Power Costs_Adj Bench DR 3 for Initial Briefs (Electric)_DEM-WP(C) ENERG10C--ctn Mid-C_042010 2010GRC" xfId="8289"/>
    <cellStyle name="_Portfolio SPlan Base Case.xls Chart 2_Rebuttal Power Costs_Adj Bench DR 3 for Initial Briefs (Electric)_DEM-WP(C) ENERG10C--ctn Mid-C_042010 2010GRC 2" xfId="8290"/>
    <cellStyle name="_Portfolio SPlan Base Case.xls Chart 2_Rebuttal Power Costs_DEM-WP(C) ENERG10C--ctn Mid-C_042010 2010GRC" xfId="8291"/>
    <cellStyle name="_Portfolio SPlan Base Case.xls Chart 2_Rebuttal Power Costs_DEM-WP(C) ENERG10C--ctn Mid-C_042010 2010GRC 2" xfId="8292"/>
    <cellStyle name="_Portfolio SPlan Base Case.xls Chart 2_Rebuttal Power Costs_Electric Rev Req Model (2009 GRC) Rebuttal" xfId="8293"/>
    <cellStyle name="_Portfolio SPlan Base Case.xls Chart 2_Rebuttal Power Costs_Electric Rev Req Model (2009 GRC) Rebuttal 2" xfId="8294"/>
    <cellStyle name="_Portfolio SPlan Base Case.xls Chart 2_Rebuttal Power Costs_Electric Rev Req Model (2009 GRC) Rebuttal 2 2" xfId="8295"/>
    <cellStyle name="_Portfolio SPlan Base Case.xls Chart 2_Rebuttal Power Costs_Electric Rev Req Model (2009 GRC) Rebuttal 3" xfId="8296"/>
    <cellStyle name="_Portfolio SPlan Base Case.xls Chart 2_Rebuttal Power Costs_Electric Rev Req Model (2009 GRC) Rebuttal REmoval of New  WH Solar AdjustMI" xfId="8297"/>
    <cellStyle name="_Portfolio SPlan Base Case.xls Chart 2_Rebuttal Power Costs_Electric Rev Req Model (2009 GRC) Rebuttal REmoval of New  WH Solar AdjustMI 2" xfId="8298"/>
    <cellStyle name="_Portfolio SPlan Base Case.xls Chart 2_Rebuttal Power Costs_Electric Rev Req Model (2009 GRC) Rebuttal REmoval of New  WH Solar AdjustMI 2 2" xfId="8299"/>
    <cellStyle name="_Portfolio SPlan Base Case.xls Chart 2_Rebuttal Power Costs_Electric Rev Req Model (2009 GRC) Rebuttal REmoval of New  WH Solar AdjustMI 2 2 2" xfId="8300"/>
    <cellStyle name="_Portfolio SPlan Base Case.xls Chart 2_Rebuttal Power Costs_Electric Rev Req Model (2009 GRC) Rebuttal REmoval of New  WH Solar AdjustMI 2 3" xfId="8301"/>
    <cellStyle name="_Portfolio SPlan Base Case.xls Chart 2_Rebuttal Power Costs_Electric Rev Req Model (2009 GRC) Rebuttal REmoval of New  WH Solar AdjustMI 3" xfId="8302"/>
    <cellStyle name="_Portfolio SPlan Base Case.xls Chart 2_Rebuttal Power Costs_Electric Rev Req Model (2009 GRC) Rebuttal REmoval of New  WH Solar AdjustMI 3 2" xfId="8303"/>
    <cellStyle name="_Portfolio SPlan Base Case.xls Chart 2_Rebuttal Power Costs_Electric Rev Req Model (2009 GRC) Rebuttal REmoval of New  WH Solar AdjustMI 4" xfId="8304"/>
    <cellStyle name="_Portfolio SPlan Base Case.xls Chart 2_Rebuttal Power Costs_Electric Rev Req Model (2009 GRC) Rebuttal REmoval of New  WH Solar AdjustMI_DEM-WP(C) ENERG10C--ctn Mid-C_042010 2010GRC" xfId="8305"/>
    <cellStyle name="_Portfolio SPlan Base Case.xls Chart 2_Rebuttal Power Costs_Electric Rev Req Model (2009 GRC) Rebuttal REmoval of New  WH Solar AdjustMI_DEM-WP(C) ENERG10C--ctn Mid-C_042010 2010GRC 2" xfId="8306"/>
    <cellStyle name="_Portfolio SPlan Base Case.xls Chart 2_Rebuttal Power Costs_Electric Rev Req Model (2009 GRC) Revised 01-18-2010" xfId="8307"/>
    <cellStyle name="_Portfolio SPlan Base Case.xls Chart 2_Rebuttal Power Costs_Electric Rev Req Model (2009 GRC) Revised 01-18-2010 2" xfId="8308"/>
    <cellStyle name="_Portfolio SPlan Base Case.xls Chart 2_Rebuttal Power Costs_Electric Rev Req Model (2009 GRC) Revised 01-18-2010 2 2" xfId="8309"/>
    <cellStyle name="_Portfolio SPlan Base Case.xls Chart 2_Rebuttal Power Costs_Electric Rev Req Model (2009 GRC) Revised 01-18-2010 2 2 2" xfId="8310"/>
    <cellStyle name="_Portfolio SPlan Base Case.xls Chart 2_Rebuttal Power Costs_Electric Rev Req Model (2009 GRC) Revised 01-18-2010 2 3" xfId="8311"/>
    <cellStyle name="_Portfolio SPlan Base Case.xls Chart 2_Rebuttal Power Costs_Electric Rev Req Model (2009 GRC) Revised 01-18-2010 3" xfId="8312"/>
    <cellStyle name="_Portfolio SPlan Base Case.xls Chart 2_Rebuttal Power Costs_Electric Rev Req Model (2009 GRC) Revised 01-18-2010 3 2" xfId="8313"/>
    <cellStyle name="_Portfolio SPlan Base Case.xls Chart 2_Rebuttal Power Costs_Electric Rev Req Model (2009 GRC) Revised 01-18-2010 4" xfId="8314"/>
    <cellStyle name="_Portfolio SPlan Base Case.xls Chart 2_Rebuttal Power Costs_Electric Rev Req Model (2009 GRC) Revised 01-18-2010_DEM-WP(C) ENERG10C--ctn Mid-C_042010 2010GRC" xfId="8315"/>
    <cellStyle name="_Portfolio SPlan Base Case.xls Chart 2_Rebuttal Power Costs_Electric Rev Req Model (2009 GRC) Revised 01-18-2010_DEM-WP(C) ENERG10C--ctn Mid-C_042010 2010GRC 2" xfId="8316"/>
    <cellStyle name="_Portfolio SPlan Base Case.xls Chart 2_Rebuttal Power Costs_Final Order Electric EXHIBIT A-1" xfId="8317"/>
    <cellStyle name="_Portfolio SPlan Base Case.xls Chart 2_Rebuttal Power Costs_Final Order Electric EXHIBIT A-1 2" xfId="8318"/>
    <cellStyle name="_Portfolio SPlan Base Case.xls Chart 2_Rebuttal Power Costs_Final Order Electric EXHIBIT A-1 2 2" xfId="8319"/>
    <cellStyle name="_Portfolio SPlan Base Case.xls Chart 2_Rebuttal Power Costs_Final Order Electric EXHIBIT A-1 3" xfId="8320"/>
    <cellStyle name="_Portfolio SPlan Base Case.xls Chart 2_TENASKA REGULATORY ASSET" xfId="8321"/>
    <cellStyle name="_Portfolio SPlan Base Case.xls Chart 2_TENASKA REGULATORY ASSET 2" xfId="8322"/>
    <cellStyle name="_Portfolio SPlan Base Case.xls Chart 2_TENASKA REGULATORY ASSET 2 2" xfId="8323"/>
    <cellStyle name="_Portfolio SPlan Base Case.xls Chart 2_TENASKA REGULATORY ASSET 3" xfId="8324"/>
    <cellStyle name="_Portfolio SPlan Base Case.xls Chart 3" xfId="8325"/>
    <cellStyle name="_Portfolio SPlan Base Case.xls Chart 3 2" xfId="8326"/>
    <cellStyle name="_Portfolio SPlan Base Case.xls Chart 3 2 2" xfId="8327"/>
    <cellStyle name="_Portfolio SPlan Base Case.xls Chart 3 2 2 2" xfId="8328"/>
    <cellStyle name="_Portfolio SPlan Base Case.xls Chart 3 2 3" xfId="8329"/>
    <cellStyle name="_Portfolio SPlan Base Case.xls Chart 3 3" xfId="8330"/>
    <cellStyle name="_Portfolio SPlan Base Case.xls Chart 3 3 2" xfId="8331"/>
    <cellStyle name="_Portfolio SPlan Base Case.xls Chart 3 4" xfId="8332"/>
    <cellStyle name="_Portfolio SPlan Base Case.xls Chart 3 4 2" xfId="8333"/>
    <cellStyle name="_Portfolio SPlan Base Case.xls Chart 3 5" xfId="8334"/>
    <cellStyle name="_Portfolio SPlan Base Case.xls Chart 3 5 2" xfId="8335"/>
    <cellStyle name="_Portfolio SPlan Base Case.xls Chart 3 6" xfId="8336"/>
    <cellStyle name="_Portfolio SPlan Base Case.xls Chart 3 6 2" xfId="8337"/>
    <cellStyle name="_Portfolio SPlan Base Case.xls Chart 3_Adj Bench DR 3 for Initial Briefs (Electric)" xfId="8338"/>
    <cellStyle name="_Portfolio SPlan Base Case.xls Chart 3_Adj Bench DR 3 for Initial Briefs (Electric) 2" xfId="8339"/>
    <cellStyle name="_Portfolio SPlan Base Case.xls Chart 3_Adj Bench DR 3 for Initial Briefs (Electric) 2 2" xfId="8340"/>
    <cellStyle name="_Portfolio SPlan Base Case.xls Chart 3_Adj Bench DR 3 for Initial Briefs (Electric) 2 2 2" xfId="8341"/>
    <cellStyle name="_Portfolio SPlan Base Case.xls Chart 3_Adj Bench DR 3 for Initial Briefs (Electric) 2 3" xfId="8342"/>
    <cellStyle name="_Portfolio SPlan Base Case.xls Chart 3_Adj Bench DR 3 for Initial Briefs (Electric) 3" xfId="8343"/>
    <cellStyle name="_Portfolio SPlan Base Case.xls Chart 3_Adj Bench DR 3 for Initial Briefs (Electric) 3 2" xfId="8344"/>
    <cellStyle name="_Portfolio SPlan Base Case.xls Chart 3_Adj Bench DR 3 for Initial Briefs (Electric) 4" xfId="8345"/>
    <cellStyle name="_Portfolio SPlan Base Case.xls Chart 3_Adj Bench DR 3 for Initial Briefs (Electric)_DEM-WP(C) ENERG10C--ctn Mid-C_042010 2010GRC" xfId="8346"/>
    <cellStyle name="_Portfolio SPlan Base Case.xls Chart 3_Adj Bench DR 3 for Initial Briefs (Electric)_DEM-WP(C) ENERG10C--ctn Mid-C_042010 2010GRC 2" xfId="8347"/>
    <cellStyle name="_Portfolio SPlan Base Case.xls Chart 3_Book1" xfId="8348"/>
    <cellStyle name="_Portfolio SPlan Base Case.xls Chart 3_Book1 2" xfId="8349"/>
    <cellStyle name="_Portfolio SPlan Base Case.xls Chart 3_Book2" xfId="8350"/>
    <cellStyle name="_Portfolio SPlan Base Case.xls Chart 3_Book2 2" xfId="8351"/>
    <cellStyle name="_Portfolio SPlan Base Case.xls Chart 3_Book2 2 2" xfId="8352"/>
    <cellStyle name="_Portfolio SPlan Base Case.xls Chart 3_Book2 2 2 2" xfId="8353"/>
    <cellStyle name="_Portfolio SPlan Base Case.xls Chart 3_Book2 2 3" xfId="8354"/>
    <cellStyle name="_Portfolio SPlan Base Case.xls Chart 3_Book2 3" xfId="8355"/>
    <cellStyle name="_Portfolio SPlan Base Case.xls Chart 3_Book2 3 2" xfId="8356"/>
    <cellStyle name="_Portfolio SPlan Base Case.xls Chart 3_Book2 4" xfId="8357"/>
    <cellStyle name="_Portfolio SPlan Base Case.xls Chart 3_Book2_Adj Bench DR 3 for Initial Briefs (Electric)" xfId="8358"/>
    <cellStyle name="_Portfolio SPlan Base Case.xls Chart 3_Book2_Adj Bench DR 3 for Initial Briefs (Electric) 2" xfId="8359"/>
    <cellStyle name="_Portfolio SPlan Base Case.xls Chart 3_Book2_Adj Bench DR 3 for Initial Briefs (Electric) 2 2" xfId="8360"/>
    <cellStyle name="_Portfolio SPlan Base Case.xls Chart 3_Book2_Adj Bench DR 3 for Initial Briefs (Electric) 2 2 2" xfId="8361"/>
    <cellStyle name="_Portfolio SPlan Base Case.xls Chart 3_Book2_Adj Bench DR 3 for Initial Briefs (Electric) 2 3" xfId="8362"/>
    <cellStyle name="_Portfolio SPlan Base Case.xls Chart 3_Book2_Adj Bench DR 3 for Initial Briefs (Electric) 3" xfId="8363"/>
    <cellStyle name="_Portfolio SPlan Base Case.xls Chart 3_Book2_Adj Bench DR 3 for Initial Briefs (Electric) 3 2" xfId="8364"/>
    <cellStyle name="_Portfolio SPlan Base Case.xls Chart 3_Book2_Adj Bench DR 3 for Initial Briefs (Electric) 4" xfId="8365"/>
    <cellStyle name="_Portfolio SPlan Base Case.xls Chart 3_Book2_Adj Bench DR 3 for Initial Briefs (Electric)_DEM-WP(C) ENERG10C--ctn Mid-C_042010 2010GRC" xfId="8366"/>
    <cellStyle name="_Portfolio SPlan Base Case.xls Chart 3_Book2_Adj Bench DR 3 for Initial Briefs (Electric)_DEM-WP(C) ENERG10C--ctn Mid-C_042010 2010GRC 2" xfId="8367"/>
    <cellStyle name="_Portfolio SPlan Base Case.xls Chart 3_Book2_DEM-WP(C) ENERG10C--ctn Mid-C_042010 2010GRC" xfId="8368"/>
    <cellStyle name="_Portfolio SPlan Base Case.xls Chart 3_Book2_DEM-WP(C) ENERG10C--ctn Mid-C_042010 2010GRC 2" xfId="8369"/>
    <cellStyle name="_Portfolio SPlan Base Case.xls Chart 3_Book2_Electric Rev Req Model (2009 GRC) Rebuttal" xfId="8370"/>
    <cellStyle name="_Portfolio SPlan Base Case.xls Chart 3_Book2_Electric Rev Req Model (2009 GRC) Rebuttal 2" xfId="8371"/>
    <cellStyle name="_Portfolio SPlan Base Case.xls Chart 3_Book2_Electric Rev Req Model (2009 GRC) Rebuttal 2 2" xfId="8372"/>
    <cellStyle name="_Portfolio SPlan Base Case.xls Chart 3_Book2_Electric Rev Req Model (2009 GRC) Rebuttal 3" xfId="8373"/>
    <cellStyle name="_Portfolio SPlan Base Case.xls Chart 3_Book2_Electric Rev Req Model (2009 GRC) Rebuttal REmoval of New  WH Solar AdjustMI" xfId="8374"/>
    <cellStyle name="_Portfolio SPlan Base Case.xls Chart 3_Book2_Electric Rev Req Model (2009 GRC) Rebuttal REmoval of New  WH Solar AdjustMI 2" xfId="8375"/>
    <cellStyle name="_Portfolio SPlan Base Case.xls Chart 3_Book2_Electric Rev Req Model (2009 GRC) Rebuttal REmoval of New  WH Solar AdjustMI 2 2" xfId="8376"/>
    <cellStyle name="_Portfolio SPlan Base Case.xls Chart 3_Book2_Electric Rev Req Model (2009 GRC) Rebuttal REmoval of New  WH Solar AdjustMI 2 2 2" xfId="8377"/>
    <cellStyle name="_Portfolio SPlan Base Case.xls Chart 3_Book2_Electric Rev Req Model (2009 GRC) Rebuttal REmoval of New  WH Solar AdjustMI 2 3" xfId="8378"/>
    <cellStyle name="_Portfolio SPlan Base Case.xls Chart 3_Book2_Electric Rev Req Model (2009 GRC) Rebuttal REmoval of New  WH Solar AdjustMI 3" xfId="8379"/>
    <cellStyle name="_Portfolio SPlan Base Case.xls Chart 3_Book2_Electric Rev Req Model (2009 GRC) Rebuttal REmoval of New  WH Solar AdjustMI 3 2" xfId="8380"/>
    <cellStyle name="_Portfolio SPlan Base Case.xls Chart 3_Book2_Electric Rev Req Model (2009 GRC) Rebuttal REmoval of New  WH Solar AdjustMI 4" xfId="8381"/>
    <cellStyle name="_Portfolio SPlan Base Case.xls Chart 3_Book2_Electric Rev Req Model (2009 GRC) Rebuttal REmoval of New  WH Solar AdjustMI_DEM-WP(C) ENERG10C--ctn Mid-C_042010 2010GRC" xfId="8382"/>
    <cellStyle name="_Portfolio SPlan Base Case.xls Chart 3_Book2_Electric Rev Req Model (2009 GRC) Rebuttal REmoval of New  WH Solar AdjustMI_DEM-WP(C) ENERG10C--ctn Mid-C_042010 2010GRC 2" xfId="8383"/>
    <cellStyle name="_Portfolio SPlan Base Case.xls Chart 3_Book2_Electric Rev Req Model (2009 GRC) Revised 01-18-2010" xfId="8384"/>
    <cellStyle name="_Portfolio SPlan Base Case.xls Chart 3_Book2_Electric Rev Req Model (2009 GRC) Revised 01-18-2010 2" xfId="8385"/>
    <cellStyle name="_Portfolio SPlan Base Case.xls Chart 3_Book2_Electric Rev Req Model (2009 GRC) Revised 01-18-2010 2 2" xfId="8386"/>
    <cellStyle name="_Portfolio SPlan Base Case.xls Chart 3_Book2_Electric Rev Req Model (2009 GRC) Revised 01-18-2010 2 2 2" xfId="8387"/>
    <cellStyle name="_Portfolio SPlan Base Case.xls Chart 3_Book2_Electric Rev Req Model (2009 GRC) Revised 01-18-2010 2 3" xfId="8388"/>
    <cellStyle name="_Portfolio SPlan Base Case.xls Chart 3_Book2_Electric Rev Req Model (2009 GRC) Revised 01-18-2010 3" xfId="8389"/>
    <cellStyle name="_Portfolio SPlan Base Case.xls Chart 3_Book2_Electric Rev Req Model (2009 GRC) Revised 01-18-2010 3 2" xfId="8390"/>
    <cellStyle name="_Portfolio SPlan Base Case.xls Chart 3_Book2_Electric Rev Req Model (2009 GRC) Revised 01-18-2010 4" xfId="8391"/>
    <cellStyle name="_Portfolio SPlan Base Case.xls Chart 3_Book2_Electric Rev Req Model (2009 GRC) Revised 01-18-2010_DEM-WP(C) ENERG10C--ctn Mid-C_042010 2010GRC" xfId="8392"/>
    <cellStyle name="_Portfolio SPlan Base Case.xls Chart 3_Book2_Electric Rev Req Model (2009 GRC) Revised 01-18-2010_DEM-WP(C) ENERG10C--ctn Mid-C_042010 2010GRC 2" xfId="8393"/>
    <cellStyle name="_Portfolio SPlan Base Case.xls Chart 3_Book2_Final Order Electric EXHIBIT A-1" xfId="8394"/>
    <cellStyle name="_Portfolio SPlan Base Case.xls Chart 3_Book2_Final Order Electric EXHIBIT A-1 2" xfId="8395"/>
    <cellStyle name="_Portfolio SPlan Base Case.xls Chart 3_Book2_Final Order Electric EXHIBIT A-1 2 2" xfId="8396"/>
    <cellStyle name="_Portfolio SPlan Base Case.xls Chart 3_Book2_Final Order Electric EXHIBIT A-1 3" xfId="8397"/>
    <cellStyle name="_Portfolio SPlan Base Case.xls Chart 3_Chelan PUD Power Costs (8-10)" xfId="8398"/>
    <cellStyle name="_Portfolio SPlan Base Case.xls Chart 3_Chelan PUD Power Costs (8-10) 2" xfId="8399"/>
    <cellStyle name="_Portfolio SPlan Base Case.xls Chart 3_Colstrip 1&amp;2 Annual O&amp;M Budgets" xfId="8400"/>
    <cellStyle name="_Portfolio SPlan Base Case.xls Chart 3_Colstrip 1&amp;2 Annual O&amp;M Budgets 2" xfId="8401"/>
    <cellStyle name="_Portfolio SPlan Base Case.xls Chart 3_Colstrip 1&amp;2 Annual O&amp;M Budgets 3" xfId="8402"/>
    <cellStyle name="_Portfolio SPlan Base Case.xls Chart 3_Confidential Material" xfId="8403"/>
    <cellStyle name="_Portfolio SPlan Base Case.xls Chart 3_Confidential Material 2" xfId="8404"/>
    <cellStyle name="_Portfolio SPlan Base Case.xls Chart 3_DEM-WP(C) Colstrip 12 Coal Cost Forecast 2010GRC" xfId="8405"/>
    <cellStyle name="_Portfolio SPlan Base Case.xls Chart 3_DEM-WP(C) Colstrip 12 Coal Cost Forecast 2010GRC 2" xfId="8406"/>
    <cellStyle name="_Portfolio SPlan Base Case.xls Chart 3_DEM-WP(C) ENERG10C--ctn Mid-C_042010 2010GRC" xfId="8407"/>
    <cellStyle name="_Portfolio SPlan Base Case.xls Chart 3_DEM-WP(C) ENERG10C--ctn Mid-C_042010 2010GRC 2" xfId="8408"/>
    <cellStyle name="_Portfolio SPlan Base Case.xls Chart 3_DEM-WP(C) Production O&amp;M 2010GRC As-Filed" xfId="8409"/>
    <cellStyle name="_Portfolio SPlan Base Case.xls Chart 3_DEM-WP(C) Production O&amp;M 2010GRC As-Filed 2" xfId="8410"/>
    <cellStyle name="_Portfolio SPlan Base Case.xls Chart 3_DEM-WP(C) Production O&amp;M 2010GRC As-Filed 2 2" xfId="8411"/>
    <cellStyle name="_Portfolio SPlan Base Case.xls Chart 3_DEM-WP(C) Production O&amp;M 2010GRC As-Filed 2 3" xfId="8412"/>
    <cellStyle name="_Portfolio SPlan Base Case.xls Chart 3_DEM-WP(C) Production O&amp;M 2010GRC As-Filed 3" xfId="8413"/>
    <cellStyle name="_Portfolio SPlan Base Case.xls Chart 3_DEM-WP(C) Production O&amp;M 2010GRC As-Filed 3 2" xfId="8414"/>
    <cellStyle name="_Portfolio SPlan Base Case.xls Chart 3_DEM-WP(C) Production O&amp;M 2010GRC As-Filed 4" xfId="8415"/>
    <cellStyle name="_Portfolio SPlan Base Case.xls Chart 3_DEM-WP(C) Production O&amp;M 2010GRC As-Filed 4 2" xfId="8416"/>
    <cellStyle name="_Portfolio SPlan Base Case.xls Chart 3_DEM-WP(C) Production O&amp;M 2010GRC As-Filed 5" xfId="8417"/>
    <cellStyle name="_Portfolio SPlan Base Case.xls Chart 3_DEM-WP(C) Production O&amp;M 2010GRC As-Filed 5 2" xfId="8418"/>
    <cellStyle name="_Portfolio SPlan Base Case.xls Chart 3_DEM-WP(C) Production O&amp;M 2010GRC As-Filed 6" xfId="8419"/>
    <cellStyle name="_Portfolio SPlan Base Case.xls Chart 3_DEM-WP(C) Production O&amp;M 2010GRC As-Filed 6 2" xfId="8420"/>
    <cellStyle name="_Portfolio SPlan Base Case.xls Chart 3_Electric Rev Req Model (2009 GRC) " xfId="8421"/>
    <cellStyle name="_Portfolio SPlan Base Case.xls Chart 3_Electric Rev Req Model (2009 GRC)  2" xfId="8422"/>
    <cellStyle name="_Portfolio SPlan Base Case.xls Chart 3_Electric Rev Req Model (2009 GRC)  2 2" xfId="8423"/>
    <cellStyle name="_Portfolio SPlan Base Case.xls Chart 3_Electric Rev Req Model (2009 GRC)  2 2 2" xfId="8424"/>
    <cellStyle name="_Portfolio SPlan Base Case.xls Chart 3_Electric Rev Req Model (2009 GRC)  2 3" xfId="8425"/>
    <cellStyle name="_Portfolio SPlan Base Case.xls Chart 3_Electric Rev Req Model (2009 GRC)  3" xfId="8426"/>
    <cellStyle name="_Portfolio SPlan Base Case.xls Chart 3_Electric Rev Req Model (2009 GRC)  3 2" xfId="8427"/>
    <cellStyle name="_Portfolio SPlan Base Case.xls Chart 3_Electric Rev Req Model (2009 GRC)  4" xfId="8428"/>
    <cellStyle name="_Portfolio SPlan Base Case.xls Chart 3_Electric Rev Req Model (2009 GRC) _DEM-WP(C) ENERG10C--ctn Mid-C_042010 2010GRC" xfId="8429"/>
    <cellStyle name="_Portfolio SPlan Base Case.xls Chart 3_Electric Rev Req Model (2009 GRC) _DEM-WP(C) ENERG10C--ctn Mid-C_042010 2010GRC 2" xfId="8430"/>
    <cellStyle name="_Portfolio SPlan Base Case.xls Chart 3_Electric Rev Req Model (2009 GRC) Rebuttal" xfId="8431"/>
    <cellStyle name="_Portfolio SPlan Base Case.xls Chart 3_Electric Rev Req Model (2009 GRC) Rebuttal 2" xfId="8432"/>
    <cellStyle name="_Portfolio SPlan Base Case.xls Chart 3_Electric Rev Req Model (2009 GRC) Rebuttal 2 2" xfId="8433"/>
    <cellStyle name="_Portfolio SPlan Base Case.xls Chart 3_Electric Rev Req Model (2009 GRC) Rebuttal 3" xfId="8434"/>
    <cellStyle name="_Portfolio SPlan Base Case.xls Chart 3_Electric Rev Req Model (2009 GRC) Rebuttal REmoval of New  WH Solar AdjustMI" xfId="8435"/>
    <cellStyle name="_Portfolio SPlan Base Case.xls Chart 3_Electric Rev Req Model (2009 GRC) Rebuttal REmoval of New  WH Solar AdjustMI 2" xfId="8436"/>
    <cellStyle name="_Portfolio SPlan Base Case.xls Chart 3_Electric Rev Req Model (2009 GRC) Rebuttal REmoval of New  WH Solar AdjustMI 2 2" xfId="8437"/>
    <cellStyle name="_Portfolio SPlan Base Case.xls Chart 3_Electric Rev Req Model (2009 GRC) Rebuttal REmoval of New  WH Solar AdjustMI 2 2 2" xfId="8438"/>
    <cellStyle name="_Portfolio SPlan Base Case.xls Chart 3_Electric Rev Req Model (2009 GRC) Rebuttal REmoval of New  WH Solar AdjustMI 2 3" xfId="8439"/>
    <cellStyle name="_Portfolio SPlan Base Case.xls Chart 3_Electric Rev Req Model (2009 GRC) Rebuttal REmoval of New  WH Solar AdjustMI 3" xfId="8440"/>
    <cellStyle name="_Portfolio SPlan Base Case.xls Chart 3_Electric Rev Req Model (2009 GRC) Rebuttal REmoval of New  WH Solar AdjustMI 3 2" xfId="8441"/>
    <cellStyle name="_Portfolio SPlan Base Case.xls Chart 3_Electric Rev Req Model (2009 GRC) Rebuttal REmoval of New  WH Solar AdjustMI 4" xfId="8442"/>
    <cellStyle name="_Portfolio SPlan Base Case.xls Chart 3_Electric Rev Req Model (2009 GRC) Rebuttal REmoval of New  WH Solar AdjustMI_DEM-WP(C) ENERG10C--ctn Mid-C_042010 2010GRC" xfId="8443"/>
    <cellStyle name="_Portfolio SPlan Base Case.xls Chart 3_Electric Rev Req Model (2009 GRC) Rebuttal REmoval of New  WH Solar AdjustMI_DEM-WP(C) ENERG10C--ctn Mid-C_042010 2010GRC 2" xfId="8444"/>
    <cellStyle name="_Portfolio SPlan Base Case.xls Chart 3_Electric Rev Req Model (2009 GRC) Revised 01-18-2010" xfId="8445"/>
    <cellStyle name="_Portfolio SPlan Base Case.xls Chart 3_Electric Rev Req Model (2009 GRC) Revised 01-18-2010 2" xfId="8446"/>
    <cellStyle name="_Portfolio SPlan Base Case.xls Chart 3_Electric Rev Req Model (2009 GRC) Revised 01-18-2010 2 2" xfId="8447"/>
    <cellStyle name="_Portfolio SPlan Base Case.xls Chart 3_Electric Rev Req Model (2009 GRC) Revised 01-18-2010 2 2 2" xfId="8448"/>
    <cellStyle name="_Portfolio SPlan Base Case.xls Chart 3_Electric Rev Req Model (2009 GRC) Revised 01-18-2010 2 3" xfId="8449"/>
    <cellStyle name="_Portfolio SPlan Base Case.xls Chart 3_Electric Rev Req Model (2009 GRC) Revised 01-18-2010 3" xfId="8450"/>
    <cellStyle name="_Portfolio SPlan Base Case.xls Chart 3_Electric Rev Req Model (2009 GRC) Revised 01-18-2010 3 2" xfId="8451"/>
    <cellStyle name="_Portfolio SPlan Base Case.xls Chart 3_Electric Rev Req Model (2009 GRC) Revised 01-18-2010 4" xfId="8452"/>
    <cellStyle name="_Portfolio SPlan Base Case.xls Chart 3_Electric Rev Req Model (2009 GRC) Revised 01-18-2010_DEM-WP(C) ENERG10C--ctn Mid-C_042010 2010GRC" xfId="8453"/>
    <cellStyle name="_Portfolio SPlan Base Case.xls Chart 3_Electric Rev Req Model (2009 GRC) Revised 01-18-2010_DEM-WP(C) ENERG10C--ctn Mid-C_042010 2010GRC 2" xfId="8454"/>
    <cellStyle name="_Portfolio SPlan Base Case.xls Chart 3_Electric Rev Req Model (2010 GRC)" xfId="8455"/>
    <cellStyle name="_Portfolio SPlan Base Case.xls Chart 3_Electric Rev Req Model (2010 GRC) 2" xfId="8456"/>
    <cellStyle name="_Portfolio SPlan Base Case.xls Chart 3_Electric Rev Req Model (2010 GRC) SF" xfId="8457"/>
    <cellStyle name="_Portfolio SPlan Base Case.xls Chart 3_Electric Rev Req Model (2010 GRC) SF 2" xfId="8458"/>
    <cellStyle name="_Portfolio SPlan Base Case.xls Chart 3_Final Order Electric EXHIBIT A-1" xfId="8459"/>
    <cellStyle name="_Portfolio SPlan Base Case.xls Chart 3_Final Order Electric EXHIBIT A-1 2" xfId="8460"/>
    <cellStyle name="_Portfolio SPlan Base Case.xls Chart 3_Final Order Electric EXHIBIT A-1 2 2" xfId="8461"/>
    <cellStyle name="_Portfolio SPlan Base Case.xls Chart 3_Final Order Electric EXHIBIT A-1 3" xfId="8462"/>
    <cellStyle name="_Portfolio SPlan Base Case.xls Chart 3_NIM Summary" xfId="8463"/>
    <cellStyle name="_Portfolio SPlan Base Case.xls Chart 3_NIM Summary 2" xfId="8464"/>
    <cellStyle name="_Portfolio SPlan Base Case.xls Chart 3_NIM Summary 2 2" xfId="8465"/>
    <cellStyle name="_Portfolio SPlan Base Case.xls Chart 3_NIM Summary 2 2 2" xfId="8466"/>
    <cellStyle name="_Portfolio SPlan Base Case.xls Chart 3_NIM Summary 2 3" xfId="8467"/>
    <cellStyle name="_Portfolio SPlan Base Case.xls Chart 3_NIM Summary 3" xfId="8468"/>
    <cellStyle name="_Portfolio SPlan Base Case.xls Chart 3_NIM Summary 3 2" xfId="8469"/>
    <cellStyle name="_Portfolio SPlan Base Case.xls Chart 3_NIM Summary 4" xfId="8470"/>
    <cellStyle name="_Portfolio SPlan Base Case.xls Chart 3_NIM Summary_DEM-WP(C) ENERG10C--ctn Mid-C_042010 2010GRC" xfId="8471"/>
    <cellStyle name="_Portfolio SPlan Base Case.xls Chart 3_NIM Summary_DEM-WP(C) ENERG10C--ctn Mid-C_042010 2010GRC 2" xfId="8472"/>
    <cellStyle name="_Portfolio SPlan Base Case.xls Chart 3_Rebuttal Power Costs" xfId="8473"/>
    <cellStyle name="_Portfolio SPlan Base Case.xls Chart 3_Rebuttal Power Costs 2" xfId="8474"/>
    <cellStyle name="_Portfolio SPlan Base Case.xls Chart 3_Rebuttal Power Costs 2 2" xfId="8475"/>
    <cellStyle name="_Portfolio SPlan Base Case.xls Chart 3_Rebuttal Power Costs 2 2 2" xfId="8476"/>
    <cellStyle name="_Portfolio SPlan Base Case.xls Chart 3_Rebuttal Power Costs 2 3" xfId="8477"/>
    <cellStyle name="_Portfolio SPlan Base Case.xls Chart 3_Rebuttal Power Costs 3" xfId="8478"/>
    <cellStyle name="_Portfolio SPlan Base Case.xls Chart 3_Rebuttal Power Costs 3 2" xfId="8479"/>
    <cellStyle name="_Portfolio SPlan Base Case.xls Chart 3_Rebuttal Power Costs 4" xfId="8480"/>
    <cellStyle name="_Portfolio SPlan Base Case.xls Chart 3_Rebuttal Power Costs_Adj Bench DR 3 for Initial Briefs (Electric)" xfId="8481"/>
    <cellStyle name="_Portfolio SPlan Base Case.xls Chart 3_Rebuttal Power Costs_Adj Bench DR 3 for Initial Briefs (Electric) 2" xfId="8482"/>
    <cellStyle name="_Portfolio SPlan Base Case.xls Chart 3_Rebuttal Power Costs_Adj Bench DR 3 for Initial Briefs (Electric) 2 2" xfId="8483"/>
    <cellStyle name="_Portfolio SPlan Base Case.xls Chart 3_Rebuttal Power Costs_Adj Bench DR 3 for Initial Briefs (Electric) 2 2 2" xfId="8484"/>
    <cellStyle name="_Portfolio SPlan Base Case.xls Chart 3_Rebuttal Power Costs_Adj Bench DR 3 for Initial Briefs (Electric) 2 3" xfId="8485"/>
    <cellStyle name="_Portfolio SPlan Base Case.xls Chart 3_Rebuttal Power Costs_Adj Bench DR 3 for Initial Briefs (Electric) 3" xfId="8486"/>
    <cellStyle name="_Portfolio SPlan Base Case.xls Chart 3_Rebuttal Power Costs_Adj Bench DR 3 for Initial Briefs (Electric) 3 2" xfId="8487"/>
    <cellStyle name="_Portfolio SPlan Base Case.xls Chart 3_Rebuttal Power Costs_Adj Bench DR 3 for Initial Briefs (Electric) 4" xfId="8488"/>
    <cellStyle name="_Portfolio SPlan Base Case.xls Chart 3_Rebuttal Power Costs_Adj Bench DR 3 for Initial Briefs (Electric)_DEM-WP(C) ENERG10C--ctn Mid-C_042010 2010GRC" xfId="8489"/>
    <cellStyle name="_Portfolio SPlan Base Case.xls Chart 3_Rebuttal Power Costs_Adj Bench DR 3 for Initial Briefs (Electric)_DEM-WP(C) ENERG10C--ctn Mid-C_042010 2010GRC 2" xfId="8490"/>
    <cellStyle name="_Portfolio SPlan Base Case.xls Chart 3_Rebuttal Power Costs_DEM-WP(C) ENERG10C--ctn Mid-C_042010 2010GRC" xfId="8491"/>
    <cellStyle name="_Portfolio SPlan Base Case.xls Chart 3_Rebuttal Power Costs_DEM-WP(C) ENERG10C--ctn Mid-C_042010 2010GRC 2" xfId="8492"/>
    <cellStyle name="_Portfolio SPlan Base Case.xls Chart 3_Rebuttal Power Costs_Electric Rev Req Model (2009 GRC) Rebuttal" xfId="8493"/>
    <cellStyle name="_Portfolio SPlan Base Case.xls Chart 3_Rebuttal Power Costs_Electric Rev Req Model (2009 GRC) Rebuttal 2" xfId="8494"/>
    <cellStyle name="_Portfolio SPlan Base Case.xls Chart 3_Rebuttal Power Costs_Electric Rev Req Model (2009 GRC) Rebuttal 2 2" xfId="8495"/>
    <cellStyle name="_Portfolio SPlan Base Case.xls Chart 3_Rebuttal Power Costs_Electric Rev Req Model (2009 GRC) Rebuttal 3" xfId="8496"/>
    <cellStyle name="_Portfolio SPlan Base Case.xls Chart 3_Rebuttal Power Costs_Electric Rev Req Model (2009 GRC) Rebuttal REmoval of New  WH Solar AdjustMI" xfId="8497"/>
    <cellStyle name="_Portfolio SPlan Base Case.xls Chart 3_Rebuttal Power Costs_Electric Rev Req Model (2009 GRC) Rebuttal REmoval of New  WH Solar AdjustMI 2" xfId="8498"/>
    <cellStyle name="_Portfolio SPlan Base Case.xls Chart 3_Rebuttal Power Costs_Electric Rev Req Model (2009 GRC) Rebuttal REmoval of New  WH Solar AdjustMI 2 2" xfId="8499"/>
    <cellStyle name="_Portfolio SPlan Base Case.xls Chart 3_Rebuttal Power Costs_Electric Rev Req Model (2009 GRC) Rebuttal REmoval of New  WH Solar AdjustMI 2 2 2" xfId="8500"/>
    <cellStyle name="_Portfolio SPlan Base Case.xls Chart 3_Rebuttal Power Costs_Electric Rev Req Model (2009 GRC) Rebuttal REmoval of New  WH Solar AdjustMI 2 3" xfId="8501"/>
    <cellStyle name="_Portfolio SPlan Base Case.xls Chart 3_Rebuttal Power Costs_Electric Rev Req Model (2009 GRC) Rebuttal REmoval of New  WH Solar AdjustMI 3" xfId="8502"/>
    <cellStyle name="_Portfolio SPlan Base Case.xls Chart 3_Rebuttal Power Costs_Electric Rev Req Model (2009 GRC) Rebuttal REmoval of New  WH Solar AdjustMI 3 2" xfId="8503"/>
    <cellStyle name="_Portfolio SPlan Base Case.xls Chart 3_Rebuttal Power Costs_Electric Rev Req Model (2009 GRC) Rebuttal REmoval of New  WH Solar AdjustMI 4" xfId="8504"/>
    <cellStyle name="_Portfolio SPlan Base Case.xls Chart 3_Rebuttal Power Costs_Electric Rev Req Model (2009 GRC) Rebuttal REmoval of New  WH Solar AdjustMI_DEM-WP(C) ENERG10C--ctn Mid-C_042010 2010GRC" xfId="8505"/>
    <cellStyle name="_Portfolio SPlan Base Case.xls Chart 3_Rebuttal Power Costs_Electric Rev Req Model (2009 GRC) Rebuttal REmoval of New  WH Solar AdjustMI_DEM-WP(C) ENERG10C--ctn Mid-C_042010 2010GRC 2" xfId="8506"/>
    <cellStyle name="_Portfolio SPlan Base Case.xls Chart 3_Rebuttal Power Costs_Electric Rev Req Model (2009 GRC) Revised 01-18-2010" xfId="8507"/>
    <cellStyle name="_Portfolio SPlan Base Case.xls Chart 3_Rebuttal Power Costs_Electric Rev Req Model (2009 GRC) Revised 01-18-2010 2" xfId="8508"/>
    <cellStyle name="_Portfolio SPlan Base Case.xls Chart 3_Rebuttal Power Costs_Electric Rev Req Model (2009 GRC) Revised 01-18-2010 2 2" xfId="8509"/>
    <cellStyle name="_Portfolio SPlan Base Case.xls Chart 3_Rebuttal Power Costs_Electric Rev Req Model (2009 GRC) Revised 01-18-2010 2 2 2" xfId="8510"/>
    <cellStyle name="_Portfolio SPlan Base Case.xls Chart 3_Rebuttal Power Costs_Electric Rev Req Model (2009 GRC) Revised 01-18-2010 2 3" xfId="8511"/>
    <cellStyle name="_Portfolio SPlan Base Case.xls Chart 3_Rebuttal Power Costs_Electric Rev Req Model (2009 GRC) Revised 01-18-2010 3" xfId="8512"/>
    <cellStyle name="_Portfolio SPlan Base Case.xls Chart 3_Rebuttal Power Costs_Electric Rev Req Model (2009 GRC) Revised 01-18-2010 3 2" xfId="8513"/>
    <cellStyle name="_Portfolio SPlan Base Case.xls Chart 3_Rebuttal Power Costs_Electric Rev Req Model (2009 GRC) Revised 01-18-2010 4" xfId="8514"/>
    <cellStyle name="_Portfolio SPlan Base Case.xls Chart 3_Rebuttal Power Costs_Electric Rev Req Model (2009 GRC) Revised 01-18-2010_DEM-WP(C) ENERG10C--ctn Mid-C_042010 2010GRC" xfId="8515"/>
    <cellStyle name="_Portfolio SPlan Base Case.xls Chart 3_Rebuttal Power Costs_Electric Rev Req Model (2009 GRC) Revised 01-18-2010_DEM-WP(C) ENERG10C--ctn Mid-C_042010 2010GRC 2" xfId="8516"/>
    <cellStyle name="_Portfolio SPlan Base Case.xls Chart 3_Rebuttal Power Costs_Final Order Electric EXHIBIT A-1" xfId="8517"/>
    <cellStyle name="_Portfolio SPlan Base Case.xls Chart 3_Rebuttal Power Costs_Final Order Electric EXHIBIT A-1 2" xfId="8518"/>
    <cellStyle name="_Portfolio SPlan Base Case.xls Chart 3_Rebuttal Power Costs_Final Order Electric EXHIBIT A-1 2 2" xfId="8519"/>
    <cellStyle name="_Portfolio SPlan Base Case.xls Chart 3_Rebuttal Power Costs_Final Order Electric EXHIBIT A-1 3" xfId="8520"/>
    <cellStyle name="_Portfolio SPlan Base Case.xls Chart 3_TENASKA REGULATORY ASSET" xfId="8521"/>
    <cellStyle name="_Portfolio SPlan Base Case.xls Chart 3_TENASKA REGULATORY ASSET 2" xfId="8522"/>
    <cellStyle name="_Portfolio SPlan Base Case.xls Chart 3_TENASKA REGULATORY ASSET 2 2" xfId="8523"/>
    <cellStyle name="_Portfolio SPlan Base Case.xls Chart 3_TENASKA REGULATORY ASSET 3" xfId="8524"/>
    <cellStyle name="_Power Cost Value Copy 11.30.05 gas 1.09.06 AURORA at 1.10.06" xfId="8525"/>
    <cellStyle name="_Power Cost Value Copy 11.30.05 gas 1.09.06 AURORA at 1.10.06 2" xfId="8526"/>
    <cellStyle name="_Power Cost Value Copy 11.30.05 gas 1.09.06 AURORA at 1.10.06 2 2" xfId="8527"/>
    <cellStyle name="_Power Cost Value Copy 11.30.05 gas 1.09.06 AURORA at 1.10.06 2 2 2" xfId="8528"/>
    <cellStyle name="_Power Cost Value Copy 11.30.05 gas 1.09.06 AURORA at 1.10.06 2 2 2 2" xfId="8529"/>
    <cellStyle name="_Power Cost Value Copy 11.30.05 gas 1.09.06 AURORA at 1.10.06 2 2 3" xfId="8530"/>
    <cellStyle name="_Power Cost Value Copy 11.30.05 gas 1.09.06 AURORA at 1.10.06 2 3" xfId="8531"/>
    <cellStyle name="_Power Cost Value Copy 11.30.05 gas 1.09.06 AURORA at 1.10.06 2 3 2" xfId="8532"/>
    <cellStyle name="_Power Cost Value Copy 11.30.05 gas 1.09.06 AURORA at 1.10.06 2 4" xfId="8533"/>
    <cellStyle name="_Power Cost Value Copy 11.30.05 gas 1.09.06 AURORA at 1.10.06 3" xfId="8534"/>
    <cellStyle name="_Power Cost Value Copy 11.30.05 gas 1.09.06 AURORA at 1.10.06 3 2" xfId="8535"/>
    <cellStyle name="_Power Cost Value Copy 11.30.05 gas 1.09.06 AURORA at 1.10.06 3 2 2" xfId="8536"/>
    <cellStyle name="_Power Cost Value Copy 11.30.05 gas 1.09.06 AURORA at 1.10.06 3 3" xfId="8537"/>
    <cellStyle name="_Power Cost Value Copy 11.30.05 gas 1.09.06 AURORA at 1.10.06 4" xfId="8538"/>
    <cellStyle name="_Power Cost Value Copy 11.30.05 gas 1.09.06 AURORA at 1.10.06 4 2" xfId="8539"/>
    <cellStyle name="_Power Cost Value Copy 11.30.05 gas 1.09.06 AURORA at 1.10.06 4 2 2" xfId="8540"/>
    <cellStyle name="_Power Cost Value Copy 11.30.05 gas 1.09.06 AURORA at 1.10.06 4 3" xfId="8541"/>
    <cellStyle name="_Power Cost Value Copy 11.30.05 gas 1.09.06 AURORA at 1.10.06 5" xfId="8542"/>
    <cellStyle name="_Power Cost Value Copy 11.30.05 gas 1.09.06 AURORA at 1.10.06 5 2" xfId="8543"/>
    <cellStyle name="_Power Cost Value Copy 11.30.05 gas 1.09.06 AURORA at 1.10.06 6" xfId="8544"/>
    <cellStyle name="_Power Cost Value Copy 11.30.05 gas 1.09.06 AURORA at 1.10.06 6 2" xfId="8545"/>
    <cellStyle name="_Power Cost Value Copy 11.30.05 gas 1.09.06 AURORA at 1.10.06 6 2 2" xfId="8546"/>
    <cellStyle name="_Power Cost Value Copy 11.30.05 gas 1.09.06 AURORA at 1.10.06 6 3" xfId="8547"/>
    <cellStyle name="_Power Cost Value Copy 11.30.05 gas 1.09.06 AURORA at 1.10.06 7" xfId="8548"/>
    <cellStyle name="_Power Cost Value Copy 11.30.05 gas 1.09.06 AURORA at 1.10.06 7 2" xfId="8549"/>
    <cellStyle name="_Power Cost Value Copy 11.30.05 gas 1.09.06 AURORA at 1.10.06 7 2 2" xfId="8550"/>
    <cellStyle name="_Power Cost Value Copy 11.30.05 gas 1.09.06 AURORA at 1.10.06 7 3" xfId="8551"/>
    <cellStyle name="_Power Cost Value Copy 11.30.05 gas 1.09.06 AURORA at 1.10.06 8" xfId="8552"/>
    <cellStyle name="_Power Cost Value Copy 11.30.05 gas 1.09.06 AURORA at 1.10.06_04 07E Wild Horse Wind Expansion (C) (2)" xfId="8553"/>
    <cellStyle name="_Power Cost Value Copy 11.30.05 gas 1.09.06 AURORA at 1.10.06_04 07E Wild Horse Wind Expansion (C) (2) 2" xfId="8554"/>
    <cellStyle name="_Power Cost Value Copy 11.30.05 gas 1.09.06 AURORA at 1.10.06_04 07E Wild Horse Wind Expansion (C) (2) 2 2" xfId="8555"/>
    <cellStyle name="_Power Cost Value Copy 11.30.05 gas 1.09.06 AURORA at 1.10.06_04 07E Wild Horse Wind Expansion (C) (2) 2 2 2" xfId="8556"/>
    <cellStyle name="_Power Cost Value Copy 11.30.05 gas 1.09.06 AURORA at 1.10.06_04 07E Wild Horse Wind Expansion (C) (2) 2 3" xfId="8557"/>
    <cellStyle name="_Power Cost Value Copy 11.30.05 gas 1.09.06 AURORA at 1.10.06_04 07E Wild Horse Wind Expansion (C) (2) 3" xfId="8558"/>
    <cellStyle name="_Power Cost Value Copy 11.30.05 gas 1.09.06 AURORA at 1.10.06_04 07E Wild Horse Wind Expansion (C) (2) 3 2" xfId="8559"/>
    <cellStyle name="_Power Cost Value Copy 11.30.05 gas 1.09.06 AURORA at 1.10.06_04 07E Wild Horse Wind Expansion (C) (2) 4" xfId="8560"/>
    <cellStyle name="_Power Cost Value Copy 11.30.05 gas 1.09.06 AURORA at 1.10.06_04 07E Wild Horse Wind Expansion (C) (2)_Adj Bench DR 3 for Initial Briefs (Electric)" xfId="8561"/>
    <cellStyle name="_Power Cost Value Copy 11.30.05 gas 1.09.06 AURORA at 1.10.06_04 07E Wild Horse Wind Expansion (C) (2)_Adj Bench DR 3 for Initial Briefs (Electric) 2" xfId="8562"/>
    <cellStyle name="_Power Cost Value Copy 11.30.05 gas 1.09.06 AURORA at 1.10.06_04 07E Wild Horse Wind Expansion (C) (2)_Adj Bench DR 3 for Initial Briefs (Electric) 2 2" xfId="8563"/>
    <cellStyle name="_Power Cost Value Copy 11.30.05 gas 1.09.06 AURORA at 1.10.06_04 07E Wild Horse Wind Expansion (C) (2)_Adj Bench DR 3 for Initial Briefs (Electric) 2 2 2" xfId="8564"/>
    <cellStyle name="_Power Cost Value Copy 11.30.05 gas 1.09.06 AURORA at 1.10.06_04 07E Wild Horse Wind Expansion (C) (2)_Adj Bench DR 3 for Initial Briefs (Electric) 2 3" xfId="8565"/>
    <cellStyle name="_Power Cost Value Copy 11.30.05 gas 1.09.06 AURORA at 1.10.06_04 07E Wild Horse Wind Expansion (C) (2)_Adj Bench DR 3 for Initial Briefs (Electric) 3" xfId="8566"/>
    <cellStyle name="_Power Cost Value Copy 11.30.05 gas 1.09.06 AURORA at 1.10.06_04 07E Wild Horse Wind Expansion (C) (2)_Adj Bench DR 3 for Initial Briefs (Electric) 3 2" xfId="8567"/>
    <cellStyle name="_Power Cost Value Copy 11.30.05 gas 1.09.06 AURORA at 1.10.06_04 07E Wild Horse Wind Expansion (C) (2)_Adj Bench DR 3 for Initial Briefs (Electric) 4" xfId="8568"/>
    <cellStyle name="_Power Cost Value Copy 11.30.05 gas 1.09.06 AURORA at 1.10.06_04 07E Wild Horse Wind Expansion (C) (2)_Adj Bench DR 3 for Initial Briefs (Electric)_DEM-WP(C) ENERG10C--ctn Mid-C_042010 2010GRC" xfId="8569"/>
    <cellStyle name="_Power Cost Value Copy 11.30.05 gas 1.09.06 AURORA at 1.10.06_04 07E Wild Horse Wind Expansion (C) (2)_Adj Bench DR 3 for Initial Briefs (Electric)_DEM-WP(C) ENERG10C--ctn Mid-C_042010 2010GRC 2" xfId="8570"/>
    <cellStyle name="_Power Cost Value Copy 11.30.05 gas 1.09.06 AURORA at 1.10.06_04 07E Wild Horse Wind Expansion (C) (2)_Book1" xfId="8571"/>
    <cellStyle name="_Power Cost Value Copy 11.30.05 gas 1.09.06 AURORA at 1.10.06_04 07E Wild Horse Wind Expansion (C) (2)_Book1 2" xfId="8572"/>
    <cellStyle name="_Power Cost Value Copy 11.30.05 gas 1.09.06 AURORA at 1.10.06_04 07E Wild Horse Wind Expansion (C) (2)_DEM-WP(C) ENERG10C--ctn Mid-C_042010 2010GRC" xfId="8573"/>
    <cellStyle name="_Power Cost Value Copy 11.30.05 gas 1.09.06 AURORA at 1.10.06_04 07E Wild Horse Wind Expansion (C) (2)_DEM-WP(C) ENERG10C--ctn Mid-C_042010 2010GRC 2" xfId="8574"/>
    <cellStyle name="_Power Cost Value Copy 11.30.05 gas 1.09.06 AURORA at 1.10.06_04 07E Wild Horse Wind Expansion (C) (2)_Electric Rev Req Model (2009 GRC) " xfId="8575"/>
    <cellStyle name="_Power Cost Value Copy 11.30.05 gas 1.09.06 AURORA at 1.10.06_04 07E Wild Horse Wind Expansion (C) (2)_Electric Rev Req Model (2009 GRC)  2" xfId="8576"/>
    <cellStyle name="_Power Cost Value Copy 11.30.05 gas 1.09.06 AURORA at 1.10.06_04 07E Wild Horse Wind Expansion (C) (2)_Electric Rev Req Model (2009 GRC)  2 2" xfId="8577"/>
    <cellStyle name="_Power Cost Value Copy 11.30.05 gas 1.09.06 AURORA at 1.10.06_04 07E Wild Horse Wind Expansion (C) (2)_Electric Rev Req Model (2009 GRC)  2 2 2" xfId="8578"/>
    <cellStyle name="_Power Cost Value Copy 11.30.05 gas 1.09.06 AURORA at 1.10.06_04 07E Wild Horse Wind Expansion (C) (2)_Electric Rev Req Model (2009 GRC)  2 3" xfId="8579"/>
    <cellStyle name="_Power Cost Value Copy 11.30.05 gas 1.09.06 AURORA at 1.10.06_04 07E Wild Horse Wind Expansion (C) (2)_Electric Rev Req Model (2009 GRC)  3" xfId="8580"/>
    <cellStyle name="_Power Cost Value Copy 11.30.05 gas 1.09.06 AURORA at 1.10.06_04 07E Wild Horse Wind Expansion (C) (2)_Electric Rev Req Model (2009 GRC)  3 2" xfId="8581"/>
    <cellStyle name="_Power Cost Value Copy 11.30.05 gas 1.09.06 AURORA at 1.10.06_04 07E Wild Horse Wind Expansion (C) (2)_Electric Rev Req Model (2009 GRC)  4" xfId="8582"/>
    <cellStyle name="_Power Cost Value Copy 11.30.05 gas 1.09.06 AURORA at 1.10.06_04 07E Wild Horse Wind Expansion (C) (2)_Electric Rev Req Model (2009 GRC) _DEM-WP(C) ENERG10C--ctn Mid-C_042010 2010GRC" xfId="8583"/>
    <cellStyle name="_Power Cost Value Copy 11.30.05 gas 1.09.06 AURORA at 1.10.06_04 07E Wild Horse Wind Expansion (C) (2)_Electric Rev Req Model (2009 GRC) _DEM-WP(C) ENERG10C--ctn Mid-C_042010 2010GRC 2" xfId="8584"/>
    <cellStyle name="_Power Cost Value Copy 11.30.05 gas 1.09.06 AURORA at 1.10.06_04 07E Wild Horse Wind Expansion (C) (2)_Electric Rev Req Model (2009 GRC) Rebuttal" xfId="8585"/>
    <cellStyle name="_Power Cost Value Copy 11.30.05 gas 1.09.06 AURORA at 1.10.06_04 07E Wild Horse Wind Expansion (C) (2)_Electric Rev Req Model (2009 GRC) Rebuttal 2" xfId="8586"/>
    <cellStyle name="_Power Cost Value Copy 11.30.05 gas 1.09.06 AURORA at 1.10.06_04 07E Wild Horse Wind Expansion (C) (2)_Electric Rev Req Model (2009 GRC) Rebuttal 2 2" xfId="8587"/>
    <cellStyle name="_Power Cost Value Copy 11.30.05 gas 1.09.06 AURORA at 1.10.06_04 07E Wild Horse Wind Expansion (C) (2)_Electric Rev Req Model (2009 GRC) Rebuttal 3" xfId="8588"/>
    <cellStyle name="_Power Cost Value Copy 11.30.05 gas 1.09.06 AURORA at 1.10.06_04 07E Wild Horse Wind Expansion (C) (2)_Electric Rev Req Model (2009 GRC) Rebuttal REmoval of New  WH Solar AdjustMI" xfId="8589"/>
    <cellStyle name="_Power Cost Value Copy 11.30.05 gas 1.09.06 AURORA at 1.10.06_04 07E Wild Horse Wind Expansion (C) (2)_Electric Rev Req Model (2009 GRC) Rebuttal REmoval of New  WH Solar AdjustMI 2" xfId="8590"/>
    <cellStyle name="_Power Cost Value Copy 11.30.05 gas 1.09.06 AURORA at 1.10.06_04 07E Wild Horse Wind Expansion (C) (2)_Electric Rev Req Model (2009 GRC) Rebuttal REmoval of New  WH Solar AdjustMI 2 2" xfId="8591"/>
    <cellStyle name="_Power Cost Value Copy 11.30.05 gas 1.09.06 AURORA at 1.10.06_04 07E Wild Horse Wind Expansion (C) (2)_Electric Rev Req Model (2009 GRC) Rebuttal REmoval of New  WH Solar AdjustMI 3" xfId="8592"/>
    <cellStyle name="_Power Cost Value Copy 11.30.05 gas 1.09.06 AURORA at 1.10.06_04 07E Wild Horse Wind Expansion (C) (2)_Electric Rev Req Model (2009 GRC) Rebuttal REmoval of New  WH Solar AdjustMI 3 2" xfId="8593"/>
    <cellStyle name="_Power Cost Value Copy 11.30.05 gas 1.09.06 AURORA at 1.10.06_04 07E Wild Horse Wind Expansion (C) (2)_Electric Rev Req Model (2009 GRC) Rebuttal REmoval of New  WH Solar AdjustMI 4" xfId="8594"/>
    <cellStyle name="_Power Cost Value Copy 11.30.05 gas 1.09.06 AURORA at 1.10.06_04 07E Wild Horse Wind Expansion (C) (2)_Electric Rev Req Model (2009 GRC) Rebuttal REmoval of New  WH Solar AdjustMI_DEM-WP(C) ENERG10C--ctn Mid-C_042010 2010GRC" xfId="8595"/>
    <cellStyle name="_Power Cost Value Copy 11.30.05 gas 1.09.06 AURORA at 1.10.06_04 07E Wild Horse Wind Expansion (C) (2)_Electric Rev Req Model (2009 GRC) Rebuttal REmoval of New  WH Solar AdjustMI_DEM-WP(C) ENERG10C--ctn Mid-C_042010 2010GRC 2" xfId="8596"/>
    <cellStyle name="_Power Cost Value Copy 11.30.05 gas 1.09.06 AURORA at 1.10.06_04 07E Wild Horse Wind Expansion (C) (2)_Electric Rev Req Model (2009 GRC) Revised 01-18-2010" xfId="8597"/>
    <cellStyle name="_Power Cost Value Copy 11.30.05 gas 1.09.06 AURORA at 1.10.06_04 07E Wild Horse Wind Expansion (C) (2)_Electric Rev Req Model (2009 GRC) Revised 01-18-2010 2" xfId="8598"/>
    <cellStyle name="_Power Cost Value Copy 11.30.05 gas 1.09.06 AURORA at 1.10.06_04 07E Wild Horse Wind Expansion (C) (2)_Electric Rev Req Model (2009 GRC) Revised 01-18-2010 2 2" xfId="8599"/>
    <cellStyle name="_Power Cost Value Copy 11.30.05 gas 1.09.06 AURORA at 1.10.06_04 07E Wild Horse Wind Expansion (C) (2)_Electric Rev Req Model (2009 GRC) Revised 01-18-2010 3" xfId="8600"/>
    <cellStyle name="_Power Cost Value Copy 11.30.05 gas 1.09.06 AURORA at 1.10.06_04 07E Wild Horse Wind Expansion (C) (2)_Electric Rev Req Model (2009 GRC) Revised 01-18-2010 3 2" xfId="8601"/>
    <cellStyle name="_Power Cost Value Copy 11.30.05 gas 1.09.06 AURORA at 1.10.06_04 07E Wild Horse Wind Expansion (C) (2)_Electric Rev Req Model (2009 GRC) Revised 01-18-2010 4" xfId="8602"/>
    <cellStyle name="_Power Cost Value Copy 11.30.05 gas 1.09.06 AURORA at 1.10.06_04 07E Wild Horse Wind Expansion (C) (2)_Electric Rev Req Model (2009 GRC) Revised 01-18-2010_DEM-WP(C) ENERG10C--ctn Mid-C_042010 2010GRC" xfId="8603"/>
    <cellStyle name="_Power Cost Value Copy 11.30.05 gas 1.09.06 AURORA at 1.10.06_04 07E Wild Horse Wind Expansion (C) (2)_Electric Rev Req Model (2009 GRC) Revised 01-18-2010_DEM-WP(C) ENERG10C--ctn Mid-C_042010 2010GRC 2" xfId="8604"/>
    <cellStyle name="_Power Cost Value Copy 11.30.05 gas 1.09.06 AURORA at 1.10.06_04 07E Wild Horse Wind Expansion (C) (2)_Electric Rev Req Model (2010 GRC)" xfId="8605"/>
    <cellStyle name="_Power Cost Value Copy 11.30.05 gas 1.09.06 AURORA at 1.10.06_04 07E Wild Horse Wind Expansion (C) (2)_Electric Rev Req Model (2010 GRC) 2" xfId="8606"/>
    <cellStyle name="_Power Cost Value Copy 11.30.05 gas 1.09.06 AURORA at 1.10.06_04 07E Wild Horse Wind Expansion (C) (2)_Electric Rev Req Model (2010 GRC) SF" xfId="8607"/>
    <cellStyle name="_Power Cost Value Copy 11.30.05 gas 1.09.06 AURORA at 1.10.06_04 07E Wild Horse Wind Expansion (C) (2)_Electric Rev Req Model (2010 GRC) SF 2" xfId="8608"/>
    <cellStyle name="_Power Cost Value Copy 11.30.05 gas 1.09.06 AURORA at 1.10.06_04 07E Wild Horse Wind Expansion (C) (2)_Final Order Electric EXHIBIT A-1" xfId="8609"/>
    <cellStyle name="_Power Cost Value Copy 11.30.05 gas 1.09.06 AURORA at 1.10.06_04 07E Wild Horse Wind Expansion (C) (2)_Final Order Electric EXHIBIT A-1 2" xfId="8610"/>
    <cellStyle name="_Power Cost Value Copy 11.30.05 gas 1.09.06 AURORA at 1.10.06_04 07E Wild Horse Wind Expansion (C) (2)_Final Order Electric EXHIBIT A-1 2 2" xfId="8611"/>
    <cellStyle name="_Power Cost Value Copy 11.30.05 gas 1.09.06 AURORA at 1.10.06_04 07E Wild Horse Wind Expansion (C) (2)_Final Order Electric EXHIBIT A-1 3" xfId="8612"/>
    <cellStyle name="_Power Cost Value Copy 11.30.05 gas 1.09.06 AURORA at 1.10.06_04 07E Wild Horse Wind Expansion (C) (2)_TENASKA REGULATORY ASSET" xfId="8613"/>
    <cellStyle name="_Power Cost Value Copy 11.30.05 gas 1.09.06 AURORA at 1.10.06_04 07E Wild Horse Wind Expansion (C) (2)_TENASKA REGULATORY ASSET 2" xfId="8614"/>
    <cellStyle name="_Power Cost Value Copy 11.30.05 gas 1.09.06 AURORA at 1.10.06_04 07E Wild Horse Wind Expansion (C) (2)_TENASKA REGULATORY ASSET 2 2" xfId="8615"/>
    <cellStyle name="_Power Cost Value Copy 11.30.05 gas 1.09.06 AURORA at 1.10.06_04 07E Wild Horse Wind Expansion (C) (2)_TENASKA REGULATORY ASSET 3" xfId="8616"/>
    <cellStyle name="_Power Cost Value Copy 11.30.05 gas 1.09.06 AURORA at 1.10.06_16.37E Wild Horse Expansion DeferralRevwrkingfile SF" xfId="8617"/>
    <cellStyle name="_Power Cost Value Copy 11.30.05 gas 1.09.06 AURORA at 1.10.06_16.37E Wild Horse Expansion DeferralRevwrkingfile SF 2" xfId="8618"/>
    <cellStyle name="_Power Cost Value Copy 11.30.05 gas 1.09.06 AURORA at 1.10.06_16.37E Wild Horse Expansion DeferralRevwrkingfile SF 2 2" xfId="8619"/>
    <cellStyle name="_Power Cost Value Copy 11.30.05 gas 1.09.06 AURORA at 1.10.06_16.37E Wild Horse Expansion DeferralRevwrkingfile SF 3" xfId="8620"/>
    <cellStyle name="_Power Cost Value Copy 11.30.05 gas 1.09.06 AURORA at 1.10.06_16.37E Wild Horse Expansion DeferralRevwrkingfile SF 3 2" xfId="8621"/>
    <cellStyle name="_Power Cost Value Copy 11.30.05 gas 1.09.06 AURORA at 1.10.06_16.37E Wild Horse Expansion DeferralRevwrkingfile SF 4" xfId="8622"/>
    <cellStyle name="_Power Cost Value Copy 11.30.05 gas 1.09.06 AURORA at 1.10.06_16.37E Wild Horse Expansion DeferralRevwrkingfile SF_DEM-WP(C) ENERG10C--ctn Mid-C_042010 2010GRC" xfId="8623"/>
    <cellStyle name="_Power Cost Value Copy 11.30.05 gas 1.09.06 AURORA at 1.10.06_16.37E Wild Horse Expansion DeferralRevwrkingfile SF_DEM-WP(C) ENERG10C--ctn Mid-C_042010 2010GRC 2" xfId="8624"/>
    <cellStyle name="_Power Cost Value Copy 11.30.05 gas 1.09.06 AURORA at 1.10.06_2009 Compliance Filing PCA Exhibits for GRC" xfId="8625"/>
    <cellStyle name="_Power Cost Value Copy 11.30.05 gas 1.09.06 AURORA at 1.10.06_2009 Compliance Filing PCA Exhibits for GRC 2" xfId="8626"/>
    <cellStyle name="_Power Cost Value Copy 11.30.05 gas 1.09.06 AURORA at 1.10.06_2009 Compliance Filing PCA Exhibits for GRC 2 2" xfId="8627"/>
    <cellStyle name="_Power Cost Value Copy 11.30.05 gas 1.09.06 AURORA at 1.10.06_2009 Compliance Filing PCA Exhibits for GRC 3" xfId="8628"/>
    <cellStyle name="_Power Cost Value Copy 11.30.05 gas 1.09.06 AURORA at 1.10.06_2009 GRC Compl Filing - Exhibit D" xfId="8629"/>
    <cellStyle name="_Power Cost Value Copy 11.30.05 gas 1.09.06 AURORA at 1.10.06_2009 GRC Compl Filing - Exhibit D 2" xfId="8630"/>
    <cellStyle name="_Power Cost Value Copy 11.30.05 gas 1.09.06 AURORA at 1.10.06_2009 GRC Compl Filing - Exhibit D 2 2" xfId="8631"/>
    <cellStyle name="_Power Cost Value Copy 11.30.05 gas 1.09.06 AURORA at 1.10.06_2009 GRC Compl Filing - Exhibit D 3" xfId="8632"/>
    <cellStyle name="_Power Cost Value Copy 11.30.05 gas 1.09.06 AURORA at 1.10.06_2009 GRC Compl Filing - Exhibit D 3 2" xfId="8633"/>
    <cellStyle name="_Power Cost Value Copy 11.30.05 gas 1.09.06 AURORA at 1.10.06_2009 GRC Compl Filing - Exhibit D 4" xfId="8634"/>
    <cellStyle name="_Power Cost Value Copy 11.30.05 gas 1.09.06 AURORA at 1.10.06_2009 GRC Compl Filing - Exhibit D_DEM-WP(C) ENERG10C--ctn Mid-C_042010 2010GRC" xfId="8635"/>
    <cellStyle name="_Power Cost Value Copy 11.30.05 gas 1.09.06 AURORA at 1.10.06_2009 GRC Compl Filing - Exhibit D_DEM-WP(C) ENERG10C--ctn Mid-C_042010 2010GRC 2" xfId="8636"/>
    <cellStyle name="_Power Cost Value Copy 11.30.05 gas 1.09.06 AURORA at 1.10.06_3.01 Income Statement" xfId="8637"/>
    <cellStyle name="_Power Cost Value Copy 11.30.05 gas 1.09.06 AURORA at 1.10.06_4 31 Regulatory Assets and Liabilities  7 06- Exhibit D" xfId="8638"/>
    <cellStyle name="_Power Cost Value Copy 11.30.05 gas 1.09.06 AURORA at 1.10.06_4 31 Regulatory Assets and Liabilities  7 06- Exhibit D 2" xfId="8639"/>
    <cellStyle name="_Power Cost Value Copy 11.30.05 gas 1.09.06 AURORA at 1.10.06_4 31 Regulatory Assets and Liabilities  7 06- Exhibit D 2 2" xfId="8640"/>
    <cellStyle name="_Power Cost Value Copy 11.30.05 gas 1.09.06 AURORA at 1.10.06_4 31 Regulatory Assets and Liabilities  7 06- Exhibit D 3" xfId="8641"/>
    <cellStyle name="_Power Cost Value Copy 11.30.05 gas 1.09.06 AURORA at 1.10.06_4 31 Regulatory Assets and Liabilities  7 06- Exhibit D 3 2" xfId="8642"/>
    <cellStyle name="_Power Cost Value Copy 11.30.05 gas 1.09.06 AURORA at 1.10.06_4 31 Regulatory Assets and Liabilities  7 06- Exhibit D 4" xfId="8643"/>
    <cellStyle name="_Power Cost Value Copy 11.30.05 gas 1.09.06 AURORA at 1.10.06_4 31 Regulatory Assets and Liabilities  7 06- Exhibit D_DEM-WP(C) ENERG10C--ctn Mid-C_042010 2010GRC" xfId="8644"/>
    <cellStyle name="_Power Cost Value Copy 11.30.05 gas 1.09.06 AURORA at 1.10.06_4 31 Regulatory Assets and Liabilities  7 06- Exhibit D_DEM-WP(C) ENERG10C--ctn Mid-C_042010 2010GRC 2" xfId="8645"/>
    <cellStyle name="_Power Cost Value Copy 11.30.05 gas 1.09.06 AURORA at 1.10.06_4 31 Regulatory Assets and Liabilities  7 06- Exhibit D_NIM Summary" xfId="8646"/>
    <cellStyle name="_Power Cost Value Copy 11.30.05 gas 1.09.06 AURORA at 1.10.06_4 31 Regulatory Assets and Liabilities  7 06- Exhibit D_NIM Summary 2" xfId="8647"/>
    <cellStyle name="_Power Cost Value Copy 11.30.05 gas 1.09.06 AURORA at 1.10.06_4 31 Regulatory Assets and Liabilities  7 06- Exhibit D_NIM Summary 2 2" xfId="8648"/>
    <cellStyle name="_Power Cost Value Copy 11.30.05 gas 1.09.06 AURORA at 1.10.06_4 31 Regulatory Assets and Liabilities  7 06- Exhibit D_NIM Summary 3" xfId="8649"/>
    <cellStyle name="_Power Cost Value Copy 11.30.05 gas 1.09.06 AURORA at 1.10.06_4 31 Regulatory Assets and Liabilities  7 06- Exhibit D_NIM Summary 3 2" xfId="8650"/>
    <cellStyle name="_Power Cost Value Copy 11.30.05 gas 1.09.06 AURORA at 1.10.06_4 31 Regulatory Assets and Liabilities  7 06- Exhibit D_NIM Summary 4" xfId="8651"/>
    <cellStyle name="_Power Cost Value Copy 11.30.05 gas 1.09.06 AURORA at 1.10.06_4 31 Regulatory Assets and Liabilities  7 06- Exhibit D_NIM Summary_DEM-WP(C) ENERG10C--ctn Mid-C_042010 2010GRC" xfId="8652"/>
    <cellStyle name="_Power Cost Value Copy 11.30.05 gas 1.09.06 AURORA at 1.10.06_4 31 Regulatory Assets and Liabilities  7 06- Exhibit D_NIM Summary_DEM-WP(C) ENERG10C--ctn Mid-C_042010 2010GRC 2" xfId="8653"/>
    <cellStyle name="_Power Cost Value Copy 11.30.05 gas 1.09.06 AURORA at 1.10.06_4 31E Reg Asset  Liab and EXH D" xfId="8654"/>
    <cellStyle name="_Power Cost Value Copy 11.30.05 gas 1.09.06 AURORA at 1.10.06_4 31E Reg Asset  Liab and EXH D _ Aug 10 Filing (2)" xfId="8655"/>
    <cellStyle name="_Power Cost Value Copy 11.30.05 gas 1.09.06 AURORA at 1.10.06_4 31E Reg Asset  Liab and EXH D _ Aug 10 Filing (2) 2" xfId="8656"/>
    <cellStyle name="_Power Cost Value Copy 11.30.05 gas 1.09.06 AURORA at 1.10.06_4 31E Reg Asset  Liab and EXH D 2" xfId="8657"/>
    <cellStyle name="_Power Cost Value Copy 11.30.05 gas 1.09.06 AURORA at 1.10.06_4 31E Reg Asset  Liab and EXH D 3" xfId="8658"/>
    <cellStyle name="_Power Cost Value Copy 11.30.05 gas 1.09.06 AURORA at 1.10.06_4 32 Regulatory Assets and Liabilities  7 06- Exhibit D" xfId="8659"/>
    <cellStyle name="_Power Cost Value Copy 11.30.05 gas 1.09.06 AURORA at 1.10.06_4 32 Regulatory Assets and Liabilities  7 06- Exhibit D 2" xfId="8660"/>
    <cellStyle name="_Power Cost Value Copy 11.30.05 gas 1.09.06 AURORA at 1.10.06_4 32 Regulatory Assets and Liabilities  7 06- Exhibit D 2 2" xfId="8661"/>
    <cellStyle name="_Power Cost Value Copy 11.30.05 gas 1.09.06 AURORA at 1.10.06_4 32 Regulatory Assets and Liabilities  7 06- Exhibit D 3" xfId="8662"/>
    <cellStyle name="_Power Cost Value Copy 11.30.05 gas 1.09.06 AURORA at 1.10.06_4 32 Regulatory Assets and Liabilities  7 06- Exhibit D 3 2" xfId="8663"/>
    <cellStyle name="_Power Cost Value Copy 11.30.05 gas 1.09.06 AURORA at 1.10.06_4 32 Regulatory Assets and Liabilities  7 06- Exhibit D 4" xfId="8664"/>
    <cellStyle name="_Power Cost Value Copy 11.30.05 gas 1.09.06 AURORA at 1.10.06_4 32 Regulatory Assets and Liabilities  7 06- Exhibit D_DEM-WP(C) ENERG10C--ctn Mid-C_042010 2010GRC" xfId="8665"/>
    <cellStyle name="_Power Cost Value Copy 11.30.05 gas 1.09.06 AURORA at 1.10.06_4 32 Regulatory Assets and Liabilities  7 06- Exhibit D_DEM-WP(C) ENERG10C--ctn Mid-C_042010 2010GRC 2" xfId="8666"/>
    <cellStyle name="_Power Cost Value Copy 11.30.05 gas 1.09.06 AURORA at 1.10.06_4 32 Regulatory Assets and Liabilities  7 06- Exhibit D_NIM Summary" xfId="8667"/>
    <cellStyle name="_Power Cost Value Copy 11.30.05 gas 1.09.06 AURORA at 1.10.06_4 32 Regulatory Assets and Liabilities  7 06- Exhibit D_NIM Summary 2" xfId="8668"/>
    <cellStyle name="_Power Cost Value Copy 11.30.05 gas 1.09.06 AURORA at 1.10.06_4 32 Regulatory Assets and Liabilities  7 06- Exhibit D_NIM Summary 2 2" xfId="8669"/>
    <cellStyle name="_Power Cost Value Copy 11.30.05 gas 1.09.06 AURORA at 1.10.06_4 32 Regulatory Assets and Liabilities  7 06- Exhibit D_NIM Summary 3" xfId="8670"/>
    <cellStyle name="_Power Cost Value Copy 11.30.05 gas 1.09.06 AURORA at 1.10.06_4 32 Regulatory Assets and Liabilities  7 06- Exhibit D_NIM Summary 3 2" xfId="8671"/>
    <cellStyle name="_Power Cost Value Copy 11.30.05 gas 1.09.06 AURORA at 1.10.06_4 32 Regulatory Assets and Liabilities  7 06- Exhibit D_NIM Summary 4" xfId="8672"/>
    <cellStyle name="_Power Cost Value Copy 11.30.05 gas 1.09.06 AURORA at 1.10.06_4 32 Regulatory Assets and Liabilities  7 06- Exhibit D_NIM Summary_DEM-WP(C) ENERG10C--ctn Mid-C_042010 2010GRC" xfId="8673"/>
    <cellStyle name="_Power Cost Value Copy 11.30.05 gas 1.09.06 AURORA at 1.10.06_4 32 Regulatory Assets and Liabilities  7 06- Exhibit D_NIM Summary_DEM-WP(C) ENERG10C--ctn Mid-C_042010 2010GRC 2" xfId="8674"/>
    <cellStyle name="_Power Cost Value Copy 11.30.05 gas 1.09.06 AURORA at 1.10.06_AURORA Total New" xfId="8675"/>
    <cellStyle name="_Power Cost Value Copy 11.30.05 gas 1.09.06 AURORA at 1.10.06_AURORA Total New 2" xfId="8676"/>
    <cellStyle name="_Power Cost Value Copy 11.30.05 gas 1.09.06 AURORA at 1.10.06_AURORA Total New 2 2" xfId="8677"/>
    <cellStyle name="_Power Cost Value Copy 11.30.05 gas 1.09.06 AURORA at 1.10.06_AURORA Total New 3" xfId="8678"/>
    <cellStyle name="_Power Cost Value Copy 11.30.05 gas 1.09.06 AURORA at 1.10.06_Book2" xfId="8679"/>
    <cellStyle name="_Power Cost Value Copy 11.30.05 gas 1.09.06 AURORA at 1.10.06_Book2 2" xfId="8680"/>
    <cellStyle name="_Power Cost Value Copy 11.30.05 gas 1.09.06 AURORA at 1.10.06_Book2 2 2" xfId="8681"/>
    <cellStyle name="_Power Cost Value Copy 11.30.05 gas 1.09.06 AURORA at 1.10.06_Book2 3" xfId="8682"/>
    <cellStyle name="_Power Cost Value Copy 11.30.05 gas 1.09.06 AURORA at 1.10.06_Book2 3 2" xfId="8683"/>
    <cellStyle name="_Power Cost Value Copy 11.30.05 gas 1.09.06 AURORA at 1.10.06_Book2 4" xfId="8684"/>
    <cellStyle name="_Power Cost Value Copy 11.30.05 gas 1.09.06 AURORA at 1.10.06_Book2_Adj Bench DR 3 for Initial Briefs (Electric)" xfId="8685"/>
    <cellStyle name="_Power Cost Value Copy 11.30.05 gas 1.09.06 AURORA at 1.10.06_Book2_Adj Bench DR 3 for Initial Briefs (Electric) 2" xfId="8686"/>
    <cellStyle name="_Power Cost Value Copy 11.30.05 gas 1.09.06 AURORA at 1.10.06_Book2_Adj Bench DR 3 for Initial Briefs (Electric) 2 2" xfId="8687"/>
    <cellStyle name="_Power Cost Value Copy 11.30.05 gas 1.09.06 AURORA at 1.10.06_Book2_Adj Bench DR 3 for Initial Briefs (Electric) 3" xfId="8688"/>
    <cellStyle name="_Power Cost Value Copy 11.30.05 gas 1.09.06 AURORA at 1.10.06_Book2_Adj Bench DR 3 for Initial Briefs (Electric) 3 2" xfId="8689"/>
    <cellStyle name="_Power Cost Value Copy 11.30.05 gas 1.09.06 AURORA at 1.10.06_Book2_Adj Bench DR 3 for Initial Briefs (Electric) 4" xfId="8690"/>
    <cellStyle name="_Power Cost Value Copy 11.30.05 gas 1.09.06 AURORA at 1.10.06_Book2_Adj Bench DR 3 for Initial Briefs (Electric)_DEM-WP(C) ENERG10C--ctn Mid-C_042010 2010GRC" xfId="8691"/>
    <cellStyle name="_Power Cost Value Copy 11.30.05 gas 1.09.06 AURORA at 1.10.06_Book2_Adj Bench DR 3 for Initial Briefs (Electric)_DEM-WP(C) ENERG10C--ctn Mid-C_042010 2010GRC 2" xfId="8692"/>
    <cellStyle name="_Power Cost Value Copy 11.30.05 gas 1.09.06 AURORA at 1.10.06_Book2_DEM-WP(C) ENERG10C--ctn Mid-C_042010 2010GRC" xfId="8693"/>
    <cellStyle name="_Power Cost Value Copy 11.30.05 gas 1.09.06 AURORA at 1.10.06_Book2_DEM-WP(C) ENERG10C--ctn Mid-C_042010 2010GRC 2" xfId="8694"/>
    <cellStyle name="_Power Cost Value Copy 11.30.05 gas 1.09.06 AURORA at 1.10.06_Book2_Electric Rev Req Model (2009 GRC) Rebuttal" xfId="8695"/>
    <cellStyle name="_Power Cost Value Copy 11.30.05 gas 1.09.06 AURORA at 1.10.06_Book2_Electric Rev Req Model (2009 GRC) Rebuttal 2" xfId="8696"/>
    <cellStyle name="_Power Cost Value Copy 11.30.05 gas 1.09.06 AURORA at 1.10.06_Book2_Electric Rev Req Model (2009 GRC) Rebuttal 2 2" xfId="8697"/>
    <cellStyle name="_Power Cost Value Copy 11.30.05 gas 1.09.06 AURORA at 1.10.06_Book2_Electric Rev Req Model (2009 GRC) Rebuttal 3" xfId="8698"/>
    <cellStyle name="_Power Cost Value Copy 11.30.05 gas 1.09.06 AURORA at 1.10.06_Book2_Electric Rev Req Model (2009 GRC) Rebuttal REmoval of New  WH Solar AdjustMI" xfId="8699"/>
    <cellStyle name="_Power Cost Value Copy 11.30.05 gas 1.09.06 AURORA at 1.10.06_Book2_Electric Rev Req Model (2009 GRC) Rebuttal REmoval of New  WH Solar AdjustMI 2" xfId="8700"/>
    <cellStyle name="_Power Cost Value Copy 11.30.05 gas 1.09.06 AURORA at 1.10.06_Book2_Electric Rev Req Model (2009 GRC) Rebuttal REmoval of New  WH Solar AdjustMI 2 2" xfId="8701"/>
    <cellStyle name="_Power Cost Value Copy 11.30.05 gas 1.09.06 AURORA at 1.10.06_Book2_Electric Rev Req Model (2009 GRC) Rebuttal REmoval of New  WH Solar AdjustMI 3" xfId="8702"/>
    <cellStyle name="_Power Cost Value Copy 11.30.05 gas 1.09.06 AURORA at 1.10.06_Book2_Electric Rev Req Model (2009 GRC) Rebuttal REmoval of New  WH Solar AdjustMI 3 2" xfId="8703"/>
    <cellStyle name="_Power Cost Value Copy 11.30.05 gas 1.09.06 AURORA at 1.10.06_Book2_Electric Rev Req Model (2009 GRC) Rebuttal REmoval of New  WH Solar AdjustMI 4" xfId="8704"/>
    <cellStyle name="_Power Cost Value Copy 11.30.05 gas 1.09.06 AURORA at 1.10.06_Book2_Electric Rev Req Model (2009 GRC) Rebuttal REmoval of New  WH Solar AdjustMI_DEM-WP(C) ENERG10C--ctn Mid-C_042010 2010GRC" xfId="8705"/>
    <cellStyle name="_Power Cost Value Copy 11.30.05 gas 1.09.06 AURORA at 1.10.06_Book2_Electric Rev Req Model (2009 GRC) Rebuttal REmoval of New  WH Solar AdjustMI_DEM-WP(C) ENERG10C--ctn Mid-C_042010 2010GRC 2" xfId="8706"/>
    <cellStyle name="_Power Cost Value Copy 11.30.05 gas 1.09.06 AURORA at 1.10.06_Book2_Electric Rev Req Model (2009 GRC) Revised 01-18-2010" xfId="8707"/>
    <cellStyle name="_Power Cost Value Copy 11.30.05 gas 1.09.06 AURORA at 1.10.06_Book2_Electric Rev Req Model (2009 GRC) Revised 01-18-2010 2" xfId="8708"/>
    <cellStyle name="_Power Cost Value Copy 11.30.05 gas 1.09.06 AURORA at 1.10.06_Book2_Electric Rev Req Model (2009 GRC) Revised 01-18-2010 2 2" xfId="8709"/>
    <cellStyle name="_Power Cost Value Copy 11.30.05 gas 1.09.06 AURORA at 1.10.06_Book2_Electric Rev Req Model (2009 GRC) Revised 01-18-2010 3" xfId="8710"/>
    <cellStyle name="_Power Cost Value Copy 11.30.05 gas 1.09.06 AURORA at 1.10.06_Book2_Electric Rev Req Model (2009 GRC) Revised 01-18-2010 3 2" xfId="8711"/>
    <cellStyle name="_Power Cost Value Copy 11.30.05 gas 1.09.06 AURORA at 1.10.06_Book2_Electric Rev Req Model (2009 GRC) Revised 01-18-2010 4" xfId="8712"/>
    <cellStyle name="_Power Cost Value Copy 11.30.05 gas 1.09.06 AURORA at 1.10.06_Book2_Electric Rev Req Model (2009 GRC) Revised 01-18-2010_DEM-WP(C) ENERG10C--ctn Mid-C_042010 2010GRC" xfId="8713"/>
    <cellStyle name="_Power Cost Value Copy 11.30.05 gas 1.09.06 AURORA at 1.10.06_Book2_Electric Rev Req Model (2009 GRC) Revised 01-18-2010_DEM-WP(C) ENERG10C--ctn Mid-C_042010 2010GRC 2" xfId="8714"/>
    <cellStyle name="_Power Cost Value Copy 11.30.05 gas 1.09.06 AURORA at 1.10.06_Book2_Final Order Electric EXHIBIT A-1" xfId="8715"/>
    <cellStyle name="_Power Cost Value Copy 11.30.05 gas 1.09.06 AURORA at 1.10.06_Book2_Final Order Electric EXHIBIT A-1 2" xfId="8716"/>
    <cellStyle name="_Power Cost Value Copy 11.30.05 gas 1.09.06 AURORA at 1.10.06_Book2_Final Order Electric EXHIBIT A-1 2 2" xfId="8717"/>
    <cellStyle name="_Power Cost Value Copy 11.30.05 gas 1.09.06 AURORA at 1.10.06_Book2_Final Order Electric EXHIBIT A-1 3" xfId="8718"/>
    <cellStyle name="_Power Cost Value Copy 11.30.05 gas 1.09.06 AURORA at 1.10.06_Book4" xfId="8719"/>
    <cellStyle name="_Power Cost Value Copy 11.30.05 gas 1.09.06 AURORA at 1.10.06_Book4 2" xfId="8720"/>
    <cellStyle name="_Power Cost Value Copy 11.30.05 gas 1.09.06 AURORA at 1.10.06_Book4 2 2" xfId="8721"/>
    <cellStyle name="_Power Cost Value Copy 11.30.05 gas 1.09.06 AURORA at 1.10.06_Book4 3" xfId="8722"/>
    <cellStyle name="_Power Cost Value Copy 11.30.05 gas 1.09.06 AURORA at 1.10.06_Book4 3 2" xfId="8723"/>
    <cellStyle name="_Power Cost Value Copy 11.30.05 gas 1.09.06 AURORA at 1.10.06_Book4 4" xfId="8724"/>
    <cellStyle name="_Power Cost Value Copy 11.30.05 gas 1.09.06 AURORA at 1.10.06_Book4_DEM-WP(C) ENERG10C--ctn Mid-C_042010 2010GRC" xfId="8725"/>
    <cellStyle name="_Power Cost Value Copy 11.30.05 gas 1.09.06 AURORA at 1.10.06_Book4_DEM-WP(C) ENERG10C--ctn Mid-C_042010 2010GRC 2" xfId="8726"/>
    <cellStyle name="_Power Cost Value Copy 11.30.05 gas 1.09.06 AURORA at 1.10.06_Book9" xfId="8727"/>
    <cellStyle name="_Power Cost Value Copy 11.30.05 gas 1.09.06 AURORA at 1.10.06_Book9 2" xfId="8728"/>
    <cellStyle name="_Power Cost Value Copy 11.30.05 gas 1.09.06 AURORA at 1.10.06_Book9 2 2" xfId="8729"/>
    <cellStyle name="_Power Cost Value Copy 11.30.05 gas 1.09.06 AURORA at 1.10.06_Book9 3" xfId="8730"/>
    <cellStyle name="_Power Cost Value Copy 11.30.05 gas 1.09.06 AURORA at 1.10.06_Book9 3 2" xfId="8731"/>
    <cellStyle name="_Power Cost Value Copy 11.30.05 gas 1.09.06 AURORA at 1.10.06_Book9 4" xfId="8732"/>
    <cellStyle name="_Power Cost Value Copy 11.30.05 gas 1.09.06 AURORA at 1.10.06_Book9_DEM-WP(C) ENERG10C--ctn Mid-C_042010 2010GRC" xfId="8733"/>
    <cellStyle name="_Power Cost Value Copy 11.30.05 gas 1.09.06 AURORA at 1.10.06_Book9_DEM-WP(C) ENERG10C--ctn Mid-C_042010 2010GRC 2" xfId="8734"/>
    <cellStyle name="_Power Cost Value Copy 11.30.05 gas 1.09.06 AURORA at 1.10.06_Check the Interest Calculation" xfId="8735"/>
    <cellStyle name="_Power Cost Value Copy 11.30.05 gas 1.09.06 AURORA at 1.10.06_Check the Interest Calculation 2" xfId="8736"/>
    <cellStyle name="_Power Cost Value Copy 11.30.05 gas 1.09.06 AURORA at 1.10.06_Check the Interest Calculation_Scenario 1 REC vs PTC Offset" xfId="8737"/>
    <cellStyle name="_Power Cost Value Copy 11.30.05 gas 1.09.06 AURORA at 1.10.06_Check the Interest Calculation_Scenario 1 REC vs PTC Offset 2" xfId="8738"/>
    <cellStyle name="_Power Cost Value Copy 11.30.05 gas 1.09.06 AURORA at 1.10.06_Check the Interest Calculation_Scenario 3" xfId="8739"/>
    <cellStyle name="_Power Cost Value Copy 11.30.05 gas 1.09.06 AURORA at 1.10.06_Check the Interest Calculation_Scenario 3 2" xfId="8740"/>
    <cellStyle name="_Power Cost Value Copy 11.30.05 gas 1.09.06 AURORA at 1.10.06_Chelan PUD Power Costs (8-10)" xfId="8741"/>
    <cellStyle name="_Power Cost Value Copy 11.30.05 gas 1.09.06 AURORA at 1.10.06_Chelan PUD Power Costs (8-10) 2" xfId="8742"/>
    <cellStyle name="_Power Cost Value Copy 11.30.05 gas 1.09.06 AURORA at 1.10.06_DEM-WP(C) Chelan Power Costs" xfId="8743"/>
    <cellStyle name="_Power Cost Value Copy 11.30.05 gas 1.09.06 AURORA at 1.10.06_DEM-WP(C) Chelan Power Costs 2" xfId="8744"/>
    <cellStyle name="_Power Cost Value Copy 11.30.05 gas 1.09.06 AURORA at 1.10.06_DEM-WP(C) ENERG10C--ctn Mid-C_042010 2010GRC" xfId="8745"/>
    <cellStyle name="_Power Cost Value Copy 11.30.05 gas 1.09.06 AURORA at 1.10.06_DEM-WP(C) ENERG10C--ctn Mid-C_042010 2010GRC 2" xfId="8746"/>
    <cellStyle name="_Power Cost Value Copy 11.30.05 gas 1.09.06 AURORA at 1.10.06_DEM-WP(C) Gas Transport 2010GRC" xfId="8747"/>
    <cellStyle name="_Power Cost Value Copy 11.30.05 gas 1.09.06 AURORA at 1.10.06_DEM-WP(C) Gas Transport 2010GRC 2" xfId="8748"/>
    <cellStyle name="_Power Cost Value Copy 11.30.05 gas 1.09.06 AURORA at 1.10.06_Exh A-1 resulting from UE-112050 effective Jan 1 2012" xfId="8749"/>
    <cellStyle name="_Power Cost Value Copy 11.30.05 gas 1.09.06 AURORA at 1.10.06_Exh A-1 resulting from UE-112050 effective Jan 1 2012 2" xfId="8750"/>
    <cellStyle name="_Power Cost Value Copy 11.30.05 gas 1.09.06 AURORA at 1.10.06_Exh G - Klamath Peaker PPA fr C Locke 2-12" xfId="8751"/>
    <cellStyle name="_Power Cost Value Copy 11.30.05 gas 1.09.06 AURORA at 1.10.06_Exh G - Klamath Peaker PPA fr C Locke 2-12 2" xfId="8752"/>
    <cellStyle name="_Power Cost Value Copy 11.30.05 gas 1.09.06 AURORA at 1.10.06_Exhibit A-1 effective 4-1-11 fr S Free 12-11" xfId="8753"/>
    <cellStyle name="_Power Cost Value Copy 11.30.05 gas 1.09.06 AURORA at 1.10.06_Exhibit A-1 effective 4-1-11 fr S Free 12-11 2" xfId="8754"/>
    <cellStyle name="_Power Cost Value Copy 11.30.05 gas 1.09.06 AURORA at 1.10.06_Exhibit D fr R Gho 12-31-08" xfId="8755"/>
    <cellStyle name="_Power Cost Value Copy 11.30.05 gas 1.09.06 AURORA at 1.10.06_Exhibit D fr R Gho 12-31-08 2" xfId="8756"/>
    <cellStyle name="_Power Cost Value Copy 11.30.05 gas 1.09.06 AURORA at 1.10.06_Exhibit D fr R Gho 12-31-08 2 2" xfId="8757"/>
    <cellStyle name="_Power Cost Value Copy 11.30.05 gas 1.09.06 AURORA at 1.10.06_Exhibit D fr R Gho 12-31-08 3" xfId="8758"/>
    <cellStyle name="_Power Cost Value Copy 11.30.05 gas 1.09.06 AURORA at 1.10.06_Exhibit D fr R Gho 12-31-08 3 2" xfId="8759"/>
    <cellStyle name="_Power Cost Value Copy 11.30.05 gas 1.09.06 AURORA at 1.10.06_Exhibit D fr R Gho 12-31-08 4" xfId="8760"/>
    <cellStyle name="_Power Cost Value Copy 11.30.05 gas 1.09.06 AURORA at 1.10.06_Exhibit D fr R Gho 12-31-08 v2" xfId="8761"/>
    <cellStyle name="_Power Cost Value Copy 11.30.05 gas 1.09.06 AURORA at 1.10.06_Exhibit D fr R Gho 12-31-08 v2 2" xfId="8762"/>
    <cellStyle name="_Power Cost Value Copy 11.30.05 gas 1.09.06 AURORA at 1.10.06_Exhibit D fr R Gho 12-31-08 v2 2 2" xfId="8763"/>
    <cellStyle name="_Power Cost Value Copy 11.30.05 gas 1.09.06 AURORA at 1.10.06_Exhibit D fr R Gho 12-31-08 v2 3" xfId="8764"/>
    <cellStyle name="_Power Cost Value Copy 11.30.05 gas 1.09.06 AURORA at 1.10.06_Exhibit D fr R Gho 12-31-08 v2 3 2" xfId="8765"/>
    <cellStyle name="_Power Cost Value Copy 11.30.05 gas 1.09.06 AURORA at 1.10.06_Exhibit D fr R Gho 12-31-08 v2 4" xfId="8766"/>
    <cellStyle name="_Power Cost Value Copy 11.30.05 gas 1.09.06 AURORA at 1.10.06_Exhibit D fr R Gho 12-31-08 v2_DEM-WP(C) ENERG10C--ctn Mid-C_042010 2010GRC" xfId="8767"/>
    <cellStyle name="_Power Cost Value Copy 11.30.05 gas 1.09.06 AURORA at 1.10.06_Exhibit D fr R Gho 12-31-08 v2_DEM-WP(C) ENERG10C--ctn Mid-C_042010 2010GRC 2" xfId="8768"/>
    <cellStyle name="_Power Cost Value Copy 11.30.05 gas 1.09.06 AURORA at 1.10.06_Exhibit D fr R Gho 12-31-08 v2_NIM Summary" xfId="8769"/>
    <cellStyle name="_Power Cost Value Copy 11.30.05 gas 1.09.06 AURORA at 1.10.06_Exhibit D fr R Gho 12-31-08 v2_NIM Summary 2" xfId="8770"/>
    <cellStyle name="_Power Cost Value Copy 11.30.05 gas 1.09.06 AURORA at 1.10.06_Exhibit D fr R Gho 12-31-08 v2_NIM Summary 2 2" xfId="8771"/>
    <cellStyle name="_Power Cost Value Copy 11.30.05 gas 1.09.06 AURORA at 1.10.06_Exhibit D fr R Gho 12-31-08 v2_NIM Summary 3" xfId="8772"/>
    <cellStyle name="_Power Cost Value Copy 11.30.05 gas 1.09.06 AURORA at 1.10.06_Exhibit D fr R Gho 12-31-08 v2_NIM Summary 3 2" xfId="8773"/>
    <cellStyle name="_Power Cost Value Copy 11.30.05 gas 1.09.06 AURORA at 1.10.06_Exhibit D fr R Gho 12-31-08 v2_NIM Summary 4" xfId="8774"/>
    <cellStyle name="_Power Cost Value Copy 11.30.05 gas 1.09.06 AURORA at 1.10.06_Exhibit D fr R Gho 12-31-08 v2_NIM Summary_DEM-WP(C) ENERG10C--ctn Mid-C_042010 2010GRC" xfId="8775"/>
    <cellStyle name="_Power Cost Value Copy 11.30.05 gas 1.09.06 AURORA at 1.10.06_Exhibit D fr R Gho 12-31-08 v2_NIM Summary_DEM-WP(C) ENERG10C--ctn Mid-C_042010 2010GRC 2" xfId="8776"/>
    <cellStyle name="_Power Cost Value Copy 11.30.05 gas 1.09.06 AURORA at 1.10.06_Exhibit D fr R Gho 12-31-08_DEM-WP(C) ENERG10C--ctn Mid-C_042010 2010GRC" xfId="8777"/>
    <cellStyle name="_Power Cost Value Copy 11.30.05 gas 1.09.06 AURORA at 1.10.06_Exhibit D fr R Gho 12-31-08_DEM-WP(C) ENERG10C--ctn Mid-C_042010 2010GRC 2" xfId="8778"/>
    <cellStyle name="_Power Cost Value Copy 11.30.05 gas 1.09.06 AURORA at 1.10.06_Exhibit D fr R Gho 12-31-08_NIM Summary" xfId="8779"/>
    <cellStyle name="_Power Cost Value Copy 11.30.05 gas 1.09.06 AURORA at 1.10.06_Exhibit D fr R Gho 12-31-08_NIM Summary 2" xfId="8780"/>
    <cellStyle name="_Power Cost Value Copy 11.30.05 gas 1.09.06 AURORA at 1.10.06_Exhibit D fr R Gho 12-31-08_NIM Summary 2 2" xfId="8781"/>
    <cellStyle name="_Power Cost Value Copy 11.30.05 gas 1.09.06 AURORA at 1.10.06_Exhibit D fr R Gho 12-31-08_NIM Summary 3" xfId="8782"/>
    <cellStyle name="_Power Cost Value Copy 11.30.05 gas 1.09.06 AURORA at 1.10.06_Exhibit D fr R Gho 12-31-08_NIM Summary 3 2" xfId="8783"/>
    <cellStyle name="_Power Cost Value Copy 11.30.05 gas 1.09.06 AURORA at 1.10.06_Exhibit D fr R Gho 12-31-08_NIM Summary 4" xfId="8784"/>
    <cellStyle name="_Power Cost Value Copy 11.30.05 gas 1.09.06 AURORA at 1.10.06_Exhibit D fr R Gho 12-31-08_NIM Summary_DEM-WP(C) ENERG10C--ctn Mid-C_042010 2010GRC" xfId="8785"/>
    <cellStyle name="_Power Cost Value Copy 11.30.05 gas 1.09.06 AURORA at 1.10.06_Exhibit D fr R Gho 12-31-08_NIM Summary_DEM-WP(C) ENERG10C--ctn Mid-C_042010 2010GRC 2" xfId="8786"/>
    <cellStyle name="_Power Cost Value Copy 11.30.05 gas 1.09.06 AURORA at 1.10.06_Hopkins Ridge Prepaid Tran - Interest Earned RY 12ME Feb  '11" xfId="8787"/>
    <cellStyle name="_Power Cost Value Copy 11.30.05 gas 1.09.06 AURORA at 1.10.06_Hopkins Ridge Prepaid Tran - Interest Earned RY 12ME Feb  '11 2" xfId="8788"/>
    <cellStyle name="_Power Cost Value Copy 11.30.05 gas 1.09.06 AURORA at 1.10.06_Hopkins Ridge Prepaid Tran - Interest Earned RY 12ME Feb  '11 2 2" xfId="8789"/>
    <cellStyle name="_Power Cost Value Copy 11.30.05 gas 1.09.06 AURORA at 1.10.06_Hopkins Ridge Prepaid Tran - Interest Earned RY 12ME Feb  '11 3" xfId="8790"/>
    <cellStyle name="_Power Cost Value Copy 11.30.05 gas 1.09.06 AURORA at 1.10.06_Hopkins Ridge Prepaid Tran - Interest Earned RY 12ME Feb  '11 3 2" xfId="8791"/>
    <cellStyle name="_Power Cost Value Copy 11.30.05 gas 1.09.06 AURORA at 1.10.06_Hopkins Ridge Prepaid Tran - Interest Earned RY 12ME Feb  '11 4" xfId="8792"/>
    <cellStyle name="_Power Cost Value Copy 11.30.05 gas 1.09.06 AURORA at 1.10.06_Hopkins Ridge Prepaid Tran - Interest Earned RY 12ME Feb  '11_DEM-WP(C) ENERG10C--ctn Mid-C_042010 2010GRC" xfId="8793"/>
    <cellStyle name="_Power Cost Value Copy 11.30.05 gas 1.09.06 AURORA at 1.10.06_Hopkins Ridge Prepaid Tran - Interest Earned RY 12ME Feb  '11_DEM-WP(C) ENERG10C--ctn Mid-C_042010 2010GRC 2" xfId="8794"/>
    <cellStyle name="_Power Cost Value Copy 11.30.05 gas 1.09.06 AURORA at 1.10.06_Hopkins Ridge Prepaid Tran - Interest Earned RY 12ME Feb  '11_NIM Summary" xfId="8795"/>
    <cellStyle name="_Power Cost Value Copy 11.30.05 gas 1.09.06 AURORA at 1.10.06_Hopkins Ridge Prepaid Tran - Interest Earned RY 12ME Feb  '11_NIM Summary 2" xfId="8796"/>
    <cellStyle name="_Power Cost Value Copy 11.30.05 gas 1.09.06 AURORA at 1.10.06_Hopkins Ridge Prepaid Tran - Interest Earned RY 12ME Feb  '11_NIM Summary 2 2" xfId="8797"/>
    <cellStyle name="_Power Cost Value Copy 11.30.05 gas 1.09.06 AURORA at 1.10.06_Hopkins Ridge Prepaid Tran - Interest Earned RY 12ME Feb  '11_NIM Summary 3" xfId="8798"/>
    <cellStyle name="_Power Cost Value Copy 11.30.05 gas 1.09.06 AURORA at 1.10.06_Hopkins Ridge Prepaid Tran - Interest Earned RY 12ME Feb  '11_NIM Summary 3 2" xfId="8799"/>
    <cellStyle name="_Power Cost Value Copy 11.30.05 gas 1.09.06 AURORA at 1.10.06_Hopkins Ridge Prepaid Tran - Interest Earned RY 12ME Feb  '11_NIM Summary 4" xfId="8800"/>
    <cellStyle name="_Power Cost Value Copy 11.30.05 gas 1.09.06 AURORA at 1.10.06_Hopkins Ridge Prepaid Tran - Interest Earned RY 12ME Feb  '11_NIM Summary_DEM-WP(C) ENERG10C--ctn Mid-C_042010 2010GRC" xfId="8801"/>
    <cellStyle name="_Power Cost Value Copy 11.30.05 gas 1.09.06 AURORA at 1.10.06_Hopkins Ridge Prepaid Tran - Interest Earned RY 12ME Feb  '11_NIM Summary_DEM-WP(C) ENERG10C--ctn Mid-C_042010 2010GRC 2" xfId="8802"/>
    <cellStyle name="_Power Cost Value Copy 11.30.05 gas 1.09.06 AURORA at 1.10.06_Hopkins Ridge Prepaid Tran - Interest Earned RY 12ME Feb  '11_Transmission Workbook for May BOD" xfId="8803"/>
    <cellStyle name="_Power Cost Value Copy 11.30.05 gas 1.09.06 AURORA at 1.10.06_Hopkins Ridge Prepaid Tran - Interest Earned RY 12ME Feb  '11_Transmission Workbook for May BOD 2" xfId="8804"/>
    <cellStyle name="_Power Cost Value Copy 11.30.05 gas 1.09.06 AURORA at 1.10.06_Hopkins Ridge Prepaid Tran - Interest Earned RY 12ME Feb  '11_Transmission Workbook for May BOD 2 2" xfId="8805"/>
    <cellStyle name="_Power Cost Value Copy 11.30.05 gas 1.09.06 AURORA at 1.10.06_Hopkins Ridge Prepaid Tran - Interest Earned RY 12ME Feb  '11_Transmission Workbook for May BOD 3" xfId="8806"/>
    <cellStyle name="_Power Cost Value Copy 11.30.05 gas 1.09.06 AURORA at 1.10.06_Hopkins Ridge Prepaid Tran - Interest Earned RY 12ME Feb  '11_Transmission Workbook for May BOD 3 2" xfId="8807"/>
    <cellStyle name="_Power Cost Value Copy 11.30.05 gas 1.09.06 AURORA at 1.10.06_Hopkins Ridge Prepaid Tran - Interest Earned RY 12ME Feb  '11_Transmission Workbook for May BOD 4" xfId="8808"/>
    <cellStyle name="_Power Cost Value Copy 11.30.05 gas 1.09.06 AURORA at 1.10.06_Hopkins Ridge Prepaid Tran - Interest Earned RY 12ME Feb  '11_Transmission Workbook for May BOD_DEM-WP(C) ENERG10C--ctn Mid-C_042010 2010GRC" xfId="8809"/>
    <cellStyle name="_Power Cost Value Copy 11.30.05 gas 1.09.06 AURORA at 1.10.06_Hopkins Ridge Prepaid Tran - Interest Earned RY 12ME Feb  '11_Transmission Workbook for May BOD_DEM-WP(C) ENERG10C--ctn Mid-C_042010 2010GRC 2" xfId="8810"/>
    <cellStyle name="_Power Cost Value Copy 11.30.05 gas 1.09.06 AURORA at 1.10.06_Mint Farm Generation BPA" xfId="8811"/>
    <cellStyle name="_Power Cost Value Copy 11.30.05 gas 1.09.06 AURORA at 1.10.06_NIM Summary" xfId="8812"/>
    <cellStyle name="_Power Cost Value Copy 11.30.05 gas 1.09.06 AURORA at 1.10.06_NIM Summary 09GRC" xfId="8813"/>
    <cellStyle name="_Power Cost Value Copy 11.30.05 gas 1.09.06 AURORA at 1.10.06_NIM Summary 09GRC 2" xfId="8814"/>
    <cellStyle name="_Power Cost Value Copy 11.30.05 gas 1.09.06 AURORA at 1.10.06_NIM Summary 09GRC 2 2" xfId="8815"/>
    <cellStyle name="_Power Cost Value Copy 11.30.05 gas 1.09.06 AURORA at 1.10.06_NIM Summary 09GRC 3" xfId="8816"/>
    <cellStyle name="_Power Cost Value Copy 11.30.05 gas 1.09.06 AURORA at 1.10.06_NIM Summary 09GRC 3 2" xfId="8817"/>
    <cellStyle name="_Power Cost Value Copy 11.30.05 gas 1.09.06 AURORA at 1.10.06_NIM Summary 09GRC 4" xfId="8818"/>
    <cellStyle name="_Power Cost Value Copy 11.30.05 gas 1.09.06 AURORA at 1.10.06_NIM Summary 09GRC_DEM-WP(C) ENERG10C--ctn Mid-C_042010 2010GRC" xfId="8819"/>
    <cellStyle name="_Power Cost Value Copy 11.30.05 gas 1.09.06 AURORA at 1.10.06_NIM Summary 09GRC_DEM-WP(C) ENERG10C--ctn Mid-C_042010 2010GRC 2" xfId="8820"/>
    <cellStyle name="_Power Cost Value Copy 11.30.05 gas 1.09.06 AURORA at 1.10.06_NIM Summary 10" xfId="8821"/>
    <cellStyle name="_Power Cost Value Copy 11.30.05 gas 1.09.06 AURORA at 1.10.06_NIM Summary 10 2" xfId="8822"/>
    <cellStyle name="_Power Cost Value Copy 11.30.05 gas 1.09.06 AURORA at 1.10.06_NIM Summary 11" xfId="8823"/>
    <cellStyle name="_Power Cost Value Copy 11.30.05 gas 1.09.06 AURORA at 1.10.06_NIM Summary 11 2" xfId="8824"/>
    <cellStyle name="_Power Cost Value Copy 11.30.05 gas 1.09.06 AURORA at 1.10.06_NIM Summary 12" xfId="8825"/>
    <cellStyle name="_Power Cost Value Copy 11.30.05 gas 1.09.06 AURORA at 1.10.06_NIM Summary 12 2" xfId="8826"/>
    <cellStyle name="_Power Cost Value Copy 11.30.05 gas 1.09.06 AURORA at 1.10.06_NIM Summary 13" xfId="8827"/>
    <cellStyle name="_Power Cost Value Copy 11.30.05 gas 1.09.06 AURORA at 1.10.06_NIM Summary 13 2" xfId="8828"/>
    <cellStyle name="_Power Cost Value Copy 11.30.05 gas 1.09.06 AURORA at 1.10.06_NIM Summary 14" xfId="8829"/>
    <cellStyle name="_Power Cost Value Copy 11.30.05 gas 1.09.06 AURORA at 1.10.06_NIM Summary 14 2" xfId="8830"/>
    <cellStyle name="_Power Cost Value Copy 11.30.05 gas 1.09.06 AURORA at 1.10.06_NIM Summary 15" xfId="8831"/>
    <cellStyle name="_Power Cost Value Copy 11.30.05 gas 1.09.06 AURORA at 1.10.06_NIM Summary 15 2" xfId="8832"/>
    <cellStyle name="_Power Cost Value Copy 11.30.05 gas 1.09.06 AURORA at 1.10.06_NIM Summary 16" xfId="8833"/>
    <cellStyle name="_Power Cost Value Copy 11.30.05 gas 1.09.06 AURORA at 1.10.06_NIM Summary 16 2" xfId="8834"/>
    <cellStyle name="_Power Cost Value Copy 11.30.05 gas 1.09.06 AURORA at 1.10.06_NIM Summary 17" xfId="8835"/>
    <cellStyle name="_Power Cost Value Copy 11.30.05 gas 1.09.06 AURORA at 1.10.06_NIM Summary 17 2" xfId="8836"/>
    <cellStyle name="_Power Cost Value Copy 11.30.05 gas 1.09.06 AURORA at 1.10.06_NIM Summary 18" xfId="8837"/>
    <cellStyle name="_Power Cost Value Copy 11.30.05 gas 1.09.06 AURORA at 1.10.06_NIM Summary 18 2" xfId="8838"/>
    <cellStyle name="_Power Cost Value Copy 11.30.05 gas 1.09.06 AURORA at 1.10.06_NIM Summary 19" xfId="8839"/>
    <cellStyle name="_Power Cost Value Copy 11.30.05 gas 1.09.06 AURORA at 1.10.06_NIM Summary 19 2" xfId="8840"/>
    <cellStyle name="_Power Cost Value Copy 11.30.05 gas 1.09.06 AURORA at 1.10.06_NIM Summary 2" xfId="8841"/>
    <cellStyle name="_Power Cost Value Copy 11.30.05 gas 1.09.06 AURORA at 1.10.06_NIM Summary 2 2" xfId="8842"/>
    <cellStyle name="_Power Cost Value Copy 11.30.05 gas 1.09.06 AURORA at 1.10.06_NIM Summary 20" xfId="8843"/>
    <cellStyle name="_Power Cost Value Copy 11.30.05 gas 1.09.06 AURORA at 1.10.06_NIM Summary 20 2" xfId="8844"/>
    <cellStyle name="_Power Cost Value Copy 11.30.05 gas 1.09.06 AURORA at 1.10.06_NIM Summary 21" xfId="8845"/>
    <cellStyle name="_Power Cost Value Copy 11.30.05 gas 1.09.06 AURORA at 1.10.06_NIM Summary 21 2" xfId="8846"/>
    <cellStyle name="_Power Cost Value Copy 11.30.05 gas 1.09.06 AURORA at 1.10.06_NIM Summary 22" xfId="8847"/>
    <cellStyle name="_Power Cost Value Copy 11.30.05 gas 1.09.06 AURORA at 1.10.06_NIM Summary 22 2" xfId="8848"/>
    <cellStyle name="_Power Cost Value Copy 11.30.05 gas 1.09.06 AURORA at 1.10.06_NIM Summary 23" xfId="8849"/>
    <cellStyle name="_Power Cost Value Copy 11.30.05 gas 1.09.06 AURORA at 1.10.06_NIM Summary 23 2" xfId="8850"/>
    <cellStyle name="_Power Cost Value Copy 11.30.05 gas 1.09.06 AURORA at 1.10.06_NIM Summary 24" xfId="8851"/>
    <cellStyle name="_Power Cost Value Copy 11.30.05 gas 1.09.06 AURORA at 1.10.06_NIM Summary 24 2" xfId="8852"/>
    <cellStyle name="_Power Cost Value Copy 11.30.05 gas 1.09.06 AURORA at 1.10.06_NIM Summary 25" xfId="8853"/>
    <cellStyle name="_Power Cost Value Copy 11.30.05 gas 1.09.06 AURORA at 1.10.06_NIM Summary 25 2" xfId="8854"/>
    <cellStyle name="_Power Cost Value Copy 11.30.05 gas 1.09.06 AURORA at 1.10.06_NIM Summary 26" xfId="8855"/>
    <cellStyle name="_Power Cost Value Copy 11.30.05 gas 1.09.06 AURORA at 1.10.06_NIM Summary 26 2" xfId="8856"/>
    <cellStyle name="_Power Cost Value Copy 11.30.05 gas 1.09.06 AURORA at 1.10.06_NIM Summary 27" xfId="8857"/>
    <cellStyle name="_Power Cost Value Copy 11.30.05 gas 1.09.06 AURORA at 1.10.06_NIM Summary 27 2" xfId="8858"/>
    <cellStyle name="_Power Cost Value Copy 11.30.05 gas 1.09.06 AURORA at 1.10.06_NIM Summary 28" xfId="8859"/>
    <cellStyle name="_Power Cost Value Copy 11.30.05 gas 1.09.06 AURORA at 1.10.06_NIM Summary 28 2" xfId="8860"/>
    <cellStyle name="_Power Cost Value Copy 11.30.05 gas 1.09.06 AURORA at 1.10.06_NIM Summary 29" xfId="8861"/>
    <cellStyle name="_Power Cost Value Copy 11.30.05 gas 1.09.06 AURORA at 1.10.06_NIM Summary 29 2" xfId="8862"/>
    <cellStyle name="_Power Cost Value Copy 11.30.05 gas 1.09.06 AURORA at 1.10.06_NIM Summary 3" xfId="8863"/>
    <cellStyle name="_Power Cost Value Copy 11.30.05 gas 1.09.06 AURORA at 1.10.06_NIM Summary 3 2" xfId="8864"/>
    <cellStyle name="_Power Cost Value Copy 11.30.05 gas 1.09.06 AURORA at 1.10.06_NIM Summary 30" xfId="8865"/>
    <cellStyle name="_Power Cost Value Copy 11.30.05 gas 1.09.06 AURORA at 1.10.06_NIM Summary 30 2" xfId="8866"/>
    <cellStyle name="_Power Cost Value Copy 11.30.05 gas 1.09.06 AURORA at 1.10.06_NIM Summary 31" xfId="8867"/>
    <cellStyle name="_Power Cost Value Copy 11.30.05 gas 1.09.06 AURORA at 1.10.06_NIM Summary 31 2" xfId="8868"/>
    <cellStyle name="_Power Cost Value Copy 11.30.05 gas 1.09.06 AURORA at 1.10.06_NIM Summary 32" xfId="8869"/>
    <cellStyle name="_Power Cost Value Copy 11.30.05 gas 1.09.06 AURORA at 1.10.06_NIM Summary 32 2" xfId="8870"/>
    <cellStyle name="_Power Cost Value Copy 11.30.05 gas 1.09.06 AURORA at 1.10.06_NIM Summary 33" xfId="8871"/>
    <cellStyle name="_Power Cost Value Copy 11.30.05 gas 1.09.06 AURORA at 1.10.06_NIM Summary 33 2" xfId="8872"/>
    <cellStyle name="_Power Cost Value Copy 11.30.05 gas 1.09.06 AURORA at 1.10.06_NIM Summary 34" xfId="8873"/>
    <cellStyle name="_Power Cost Value Copy 11.30.05 gas 1.09.06 AURORA at 1.10.06_NIM Summary 34 2" xfId="8874"/>
    <cellStyle name="_Power Cost Value Copy 11.30.05 gas 1.09.06 AURORA at 1.10.06_NIM Summary 35" xfId="8875"/>
    <cellStyle name="_Power Cost Value Copy 11.30.05 gas 1.09.06 AURORA at 1.10.06_NIM Summary 35 2" xfId="8876"/>
    <cellStyle name="_Power Cost Value Copy 11.30.05 gas 1.09.06 AURORA at 1.10.06_NIM Summary 36" xfId="8877"/>
    <cellStyle name="_Power Cost Value Copy 11.30.05 gas 1.09.06 AURORA at 1.10.06_NIM Summary 36 2" xfId="8878"/>
    <cellStyle name="_Power Cost Value Copy 11.30.05 gas 1.09.06 AURORA at 1.10.06_NIM Summary 37" xfId="8879"/>
    <cellStyle name="_Power Cost Value Copy 11.30.05 gas 1.09.06 AURORA at 1.10.06_NIM Summary 37 2" xfId="8880"/>
    <cellStyle name="_Power Cost Value Copy 11.30.05 gas 1.09.06 AURORA at 1.10.06_NIM Summary 38" xfId="8881"/>
    <cellStyle name="_Power Cost Value Copy 11.30.05 gas 1.09.06 AURORA at 1.10.06_NIM Summary 38 2" xfId="8882"/>
    <cellStyle name="_Power Cost Value Copy 11.30.05 gas 1.09.06 AURORA at 1.10.06_NIM Summary 39" xfId="8883"/>
    <cellStyle name="_Power Cost Value Copy 11.30.05 gas 1.09.06 AURORA at 1.10.06_NIM Summary 39 2" xfId="8884"/>
    <cellStyle name="_Power Cost Value Copy 11.30.05 gas 1.09.06 AURORA at 1.10.06_NIM Summary 4" xfId="8885"/>
    <cellStyle name="_Power Cost Value Copy 11.30.05 gas 1.09.06 AURORA at 1.10.06_NIM Summary 4 2" xfId="8886"/>
    <cellStyle name="_Power Cost Value Copy 11.30.05 gas 1.09.06 AURORA at 1.10.06_NIM Summary 40" xfId="8887"/>
    <cellStyle name="_Power Cost Value Copy 11.30.05 gas 1.09.06 AURORA at 1.10.06_NIM Summary 40 2" xfId="8888"/>
    <cellStyle name="_Power Cost Value Copy 11.30.05 gas 1.09.06 AURORA at 1.10.06_NIM Summary 41" xfId="8889"/>
    <cellStyle name="_Power Cost Value Copy 11.30.05 gas 1.09.06 AURORA at 1.10.06_NIM Summary 41 2" xfId="8890"/>
    <cellStyle name="_Power Cost Value Copy 11.30.05 gas 1.09.06 AURORA at 1.10.06_NIM Summary 42" xfId="8891"/>
    <cellStyle name="_Power Cost Value Copy 11.30.05 gas 1.09.06 AURORA at 1.10.06_NIM Summary 42 2" xfId="8892"/>
    <cellStyle name="_Power Cost Value Copy 11.30.05 gas 1.09.06 AURORA at 1.10.06_NIM Summary 43" xfId="8893"/>
    <cellStyle name="_Power Cost Value Copy 11.30.05 gas 1.09.06 AURORA at 1.10.06_NIM Summary 43 2" xfId="8894"/>
    <cellStyle name="_Power Cost Value Copy 11.30.05 gas 1.09.06 AURORA at 1.10.06_NIM Summary 44" xfId="8895"/>
    <cellStyle name="_Power Cost Value Copy 11.30.05 gas 1.09.06 AURORA at 1.10.06_NIM Summary 44 2" xfId="8896"/>
    <cellStyle name="_Power Cost Value Copy 11.30.05 gas 1.09.06 AURORA at 1.10.06_NIM Summary 45" xfId="8897"/>
    <cellStyle name="_Power Cost Value Copy 11.30.05 gas 1.09.06 AURORA at 1.10.06_NIM Summary 45 2" xfId="8898"/>
    <cellStyle name="_Power Cost Value Copy 11.30.05 gas 1.09.06 AURORA at 1.10.06_NIM Summary 46" xfId="8899"/>
    <cellStyle name="_Power Cost Value Copy 11.30.05 gas 1.09.06 AURORA at 1.10.06_NIM Summary 46 2" xfId="8900"/>
    <cellStyle name="_Power Cost Value Copy 11.30.05 gas 1.09.06 AURORA at 1.10.06_NIM Summary 47" xfId="8901"/>
    <cellStyle name="_Power Cost Value Copy 11.30.05 gas 1.09.06 AURORA at 1.10.06_NIM Summary 47 2" xfId="8902"/>
    <cellStyle name="_Power Cost Value Copy 11.30.05 gas 1.09.06 AURORA at 1.10.06_NIM Summary 48" xfId="8903"/>
    <cellStyle name="_Power Cost Value Copy 11.30.05 gas 1.09.06 AURORA at 1.10.06_NIM Summary 49" xfId="8904"/>
    <cellStyle name="_Power Cost Value Copy 11.30.05 gas 1.09.06 AURORA at 1.10.06_NIM Summary 5" xfId="8905"/>
    <cellStyle name="_Power Cost Value Copy 11.30.05 gas 1.09.06 AURORA at 1.10.06_NIM Summary 5 2" xfId="8906"/>
    <cellStyle name="_Power Cost Value Copy 11.30.05 gas 1.09.06 AURORA at 1.10.06_NIM Summary 50" xfId="8907"/>
    <cellStyle name="_Power Cost Value Copy 11.30.05 gas 1.09.06 AURORA at 1.10.06_NIM Summary 51" xfId="8908"/>
    <cellStyle name="_Power Cost Value Copy 11.30.05 gas 1.09.06 AURORA at 1.10.06_NIM Summary 52" xfId="8909"/>
    <cellStyle name="_Power Cost Value Copy 11.30.05 gas 1.09.06 AURORA at 1.10.06_NIM Summary 6" xfId="8910"/>
    <cellStyle name="_Power Cost Value Copy 11.30.05 gas 1.09.06 AURORA at 1.10.06_NIM Summary 6 2" xfId="8911"/>
    <cellStyle name="_Power Cost Value Copy 11.30.05 gas 1.09.06 AURORA at 1.10.06_NIM Summary 7" xfId="8912"/>
    <cellStyle name="_Power Cost Value Copy 11.30.05 gas 1.09.06 AURORA at 1.10.06_NIM Summary 7 2" xfId="8913"/>
    <cellStyle name="_Power Cost Value Copy 11.30.05 gas 1.09.06 AURORA at 1.10.06_NIM Summary 8" xfId="8914"/>
    <cellStyle name="_Power Cost Value Copy 11.30.05 gas 1.09.06 AURORA at 1.10.06_NIM Summary 8 2" xfId="8915"/>
    <cellStyle name="_Power Cost Value Copy 11.30.05 gas 1.09.06 AURORA at 1.10.06_NIM Summary 9" xfId="8916"/>
    <cellStyle name="_Power Cost Value Copy 11.30.05 gas 1.09.06 AURORA at 1.10.06_NIM Summary 9 2" xfId="8917"/>
    <cellStyle name="_Power Cost Value Copy 11.30.05 gas 1.09.06 AURORA at 1.10.06_NIM Summary_DEM-WP(C) ENERG10C--ctn Mid-C_042010 2010GRC" xfId="8918"/>
    <cellStyle name="_Power Cost Value Copy 11.30.05 gas 1.09.06 AURORA at 1.10.06_NIM Summary_DEM-WP(C) ENERG10C--ctn Mid-C_042010 2010GRC 2" xfId="8919"/>
    <cellStyle name="_Power Cost Value Copy 11.30.05 gas 1.09.06 AURORA at 1.10.06_PCA 10 -  Exhibit D Dec 2011" xfId="8920"/>
    <cellStyle name="_Power Cost Value Copy 11.30.05 gas 1.09.06 AURORA at 1.10.06_PCA 10 -  Exhibit D Dec 2011 2" xfId="8921"/>
    <cellStyle name="_Power Cost Value Copy 11.30.05 gas 1.09.06 AURORA at 1.10.06_PCA 10 -  Exhibit D from A Kellogg Jan 2011" xfId="8922"/>
    <cellStyle name="_Power Cost Value Copy 11.30.05 gas 1.09.06 AURORA at 1.10.06_PCA 10 -  Exhibit D from A Kellogg Jan 2011 2" xfId="8923"/>
    <cellStyle name="_Power Cost Value Copy 11.30.05 gas 1.09.06 AURORA at 1.10.06_PCA 10 -  Exhibit D from A Kellogg July 2011" xfId="8924"/>
    <cellStyle name="_Power Cost Value Copy 11.30.05 gas 1.09.06 AURORA at 1.10.06_PCA 10 -  Exhibit D from A Kellogg July 2011 2" xfId="8925"/>
    <cellStyle name="_Power Cost Value Copy 11.30.05 gas 1.09.06 AURORA at 1.10.06_PCA 10 -  Exhibit D from S Free Rcv'd 12-11" xfId="8926"/>
    <cellStyle name="_Power Cost Value Copy 11.30.05 gas 1.09.06 AURORA at 1.10.06_PCA 10 -  Exhibit D from S Free Rcv'd 12-11 2" xfId="8927"/>
    <cellStyle name="_Power Cost Value Copy 11.30.05 gas 1.09.06 AURORA at 1.10.06_PCA 11 -  Exhibit D Jan 2012 fr A Kellogg" xfId="8928"/>
    <cellStyle name="_Power Cost Value Copy 11.30.05 gas 1.09.06 AURORA at 1.10.06_PCA 11 -  Exhibit D Jan 2012 fr A Kellogg 2" xfId="8929"/>
    <cellStyle name="_Power Cost Value Copy 11.30.05 gas 1.09.06 AURORA at 1.10.06_PCA 11 -  Exhibit D Jan 2012 WF" xfId="8930"/>
    <cellStyle name="_Power Cost Value Copy 11.30.05 gas 1.09.06 AURORA at 1.10.06_PCA 11 -  Exhibit D Jan 2012 WF 2" xfId="8931"/>
    <cellStyle name="_Power Cost Value Copy 11.30.05 gas 1.09.06 AURORA at 1.10.06_PCA 7 - Exhibit D update 11_30_08 (2)" xfId="8932"/>
    <cellStyle name="_Power Cost Value Copy 11.30.05 gas 1.09.06 AURORA at 1.10.06_PCA 7 - Exhibit D update 11_30_08 (2) 2" xfId="8933"/>
    <cellStyle name="_Power Cost Value Copy 11.30.05 gas 1.09.06 AURORA at 1.10.06_PCA 7 - Exhibit D update 11_30_08 (2) 2 2" xfId="8934"/>
    <cellStyle name="_Power Cost Value Copy 11.30.05 gas 1.09.06 AURORA at 1.10.06_PCA 7 - Exhibit D update 11_30_08 (2) 2 2 2" xfId="8935"/>
    <cellStyle name="_Power Cost Value Copy 11.30.05 gas 1.09.06 AURORA at 1.10.06_PCA 7 - Exhibit D update 11_30_08 (2) 2 3" xfId="8936"/>
    <cellStyle name="_Power Cost Value Copy 11.30.05 gas 1.09.06 AURORA at 1.10.06_PCA 7 - Exhibit D update 11_30_08 (2) 3" xfId="8937"/>
    <cellStyle name="_Power Cost Value Copy 11.30.05 gas 1.09.06 AURORA at 1.10.06_PCA 7 - Exhibit D update 11_30_08 (2) 3 2" xfId="8938"/>
    <cellStyle name="_Power Cost Value Copy 11.30.05 gas 1.09.06 AURORA at 1.10.06_PCA 7 - Exhibit D update 11_30_08 (2) 4" xfId="8939"/>
    <cellStyle name="_Power Cost Value Copy 11.30.05 gas 1.09.06 AURORA at 1.10.06_PCA 7 - Exhibit D update 11_30_08 (2) 4 2" xfId="8940"/>
    <cellStyle name="_Power Cost Value Copy 11.30.05 gas 1.09.06 AURORA at 1.10.06_PCA 7 - Exhibit D update 11_30_08 (2) 5" xfId="8941"/>
    <cellStyle name="_Power Cost Value Copy 11.30.05 gas 1.09.06 AURORA at 1.10.06_PCA 7 - Exhibit D update 11_30_08 (2)_DEM-WP(C) ENERG10C--ctn Mid-C_042010 2010GRC" xfId="8942"/>
    <cellStyle name="_Power Cost Value Copy 11.30.05 gas 1.09.06 AURORA at 1.10.06_PCA 7 - Exhibit D update 11_30_08 (2)_DEM-WP(C) ENERG10C--ctn Mid-C_042010 2010GRC 2" xfId="8943"/>
    <cellStyle name="_Power Cost Value Copy 11.30.05 gas 1.09.06 AURORA at 1.10.06_PCA 7 - Exhibit D update 11_30_08 (2)_NIM Summary" xfId="8944"/>
    <cellStyle name="_Power Cost Value Copy 11.30.05 gas 1.09.06 AURORA at 1.10.06_PCA 7 - Exhibit D update 11_30_08 (2)_NIM Summary 2" xfId="8945"/>
    <cellStyle name="_Power Cost Value Copy 11.30.05 gas 1.09.06 AURORA at 1.10.06_PCA 7 - Exhibit D update 11_30_08 (2)_NIM Summary 2 2" xfId="8946"/>
    <cellStyle name="_Power Cost Value Copy 11.30.05 gas 1.09.06 AURORA at 1.10.06_PCA 7 - Exhibit D update 11_30_08 (2)_NIM Summary 3" xfId="8947"/>
    <cellStyle name="_Power Cost Value Copy 11.30.05 gas 1.09.06 AURORA at 1.10.06_PCA 7 - Exhibit D update 11_30_08 (2)_NIM Summary 3 2" xfId="8948"/>
    <cellStyle name="_Power Cost Value Copy 11.30.05 gas 1.09.06 AURORA at 1.10.06_PCA 7 - Exhibit D update 11_30_08 (2)_NIM Summary 4" xfId="8949"/>
    <cellStyle name="_Power Cost Value Copy 11.30.05 gas 1.09.06 AURORA at 1.10.06_PCA 7 - Exhibit D update 11_30_08 (2)_NIM Summary_DEM-WP(C) ENERG10C--ctn Mid-C_042010 2010GRC" xfId="8950"/>
    <cellStyle name="_Power Cost Value Copy 11.30.05 gas 1.09.06 AURORA at 1.10.06_PCA 7 - Exhibit D update 11_30_08 (2)_NIM Summary_DEM-WP(C) ENERG10C--ctn Mid-C_042010 2010GRC 2" xfId="8951"/>
    <cellStyle name="_Power Cost Value Copy 11.30.05 gas 1.09.06 AURORA at 1.10.06_PCA 8 - Exhibit D update 12_31_09" xfId="8952"/>
    <cellStyle name="_Power Cost Value Copy 11.30.05 gas 1.09.06 AURORA at 1.10.06_PCA 8 - Exhibit D update 12_31_09 2" xfId="8953"/>
    <cellStyle name="_Power Cost Value Copy 11.30.05 gas 1.09.06 AURORA at 1.10.06_PCA 8 - Exhibit D update 12_31_09 2 2" xfId="8954"/>
    <cellStyle name="_Power Cost Value Copy 11.30.05 gas 1.09.06 AURORA at 1.10.06_PCA 8 - Exhibit D update 12_31_09 3" xfId="8955"/>
    <cellStyle name="_Power Cost Value Copy 11.30.05 gas 1.09.06 AURORA at 1.10.06_PCA 9 -  Exhibit D April 2010" xfId="8956"/>
    <cellStyle name="_Power Cost Value Copy 11.30.05 gas 1.09.06 AURORA at 1.10.06_PCA 9 -  Exhibit D April 2010 (3)" xfId="8957"/>
    <cellStyle name="_Power Cost Value Copy 11.30.05 gas 1.09.06 AURORA at 1.10.06_PCA 9 -  Exhibit D April 2010 (3) 2" xfId="8958"/>
    <cellStyle name="_Power Cost Value Copy 11.30.05 gas 1.09.06 AURORA at 1.10.06_PCA 9 -  Exhibit D April 2010 (3) 2 2" xfId="8959"/>
    <cellStyle name="_Power Cost Value Copy 11.30.05 gas 1.09.06 AURORA at 1.10.06_PCA 9 -  Exhibit D April 2010 (3) 3" xfId="8960"/>
    <cellStyle name="_Power Cost Value Copy 11.30.05 gas 1.09.06 AURORA at 1.10.06_PCA 9 -  Exhibit D April 2010 (3) 3 2" xfId="8961"/>
    <cellStyle name="_Power Cost Value Copy 11.30.05 gas 1.09.06 AURORA at 1.10.06_PCA 9 -  Exhibit D April 2010 (3) 4" xfId="8962"/>
    <cellStyle name="_Power Cost Value Copy 11.30.05 gas 1.09.06 AURORA at 1.10.06_PCA 9 -  Exhibit D April 2010 (3)_DEM-WP(C) ENERG10C--ctn Mid-C_042010 2010GRC" xfId="8963"/>
    <cellStyle name="_Power Cost Value Copy 11.30.05 gas 1.09.06 AURORA at 1.10.06_PCA 9 -  Exhibit D April 2010 (3)_DEM-WP(C) ENERG10C--ctn Mid-C_042010 2010GRC 2" xfId="8964"/>
    <cellStyle name="_Power Cost Value Copy 11.30.05 gas 1.09.06 AURORA at 1.10.06_PCA 9 -  Exhibit D April 2010 2" xfId="8965"/>
    <cellStyle name="_Power Cost Value Copy 11.30.05 gas 1.09.06 AURORA at 1.10.06_PCA 9 -  Exhibit D April 2010 2 2" xfId="8966"/>
    <cellStyle name="_Power Cost Value Copy 11.30.05 gas 1.09.06 AURORA at 1.10.06_PCA 9 -  Exhibit D April 2010 3" xfId="8967"/>
    <cellStyle name="_Power Cost Value Copy 11.30.05 gas 1.09.06 AURORA at 1.10.06_PCA 9 -  Exhibit D April 2010 3 2" xfId="8968"/>
    <cellStyle name="_Power Cost Value Copy 11.30.05 gas 1.09.06 AURORA at 1.10.06_PCA 9 -  Exhibit D April 2010 4" xfId="8969"/>
    <cellStyle name="_Power Cost Value Copy 11.30.05 gas 1.09.06 AURORA at 1.10.06_PCA 9 -  Exhibit D April 2010 4 2" xfId="8970"/>
    <cellStyle name="_Power Cost Value Copy 11.30.05 gas 1.09.06 AURORA at 1.10.06_PCA 9 -  Exhibit D April 2010 5" xfId="8971"/>
    <cellStyle name="_Power Cost Value Copy 11.30.05 gas 1.09.06 AURORA at 1.10.06_PCA 9 -  Exhibit D April 2010 5 2" xfId="8972"/>
    <cellStyle name="_Power Cost Value Copy 11.30.05 gas 1.09.06 AURORA at 1.10.06_PCA 9 -  Exhibit D April 2010 6" xfId="8973"/>
    <cellStyle name="_Power Cost Value Copy 11.30.05 gas 1.09.06 AURORA at 1.10.06_PCA 9 -  Exhibit D April 2010 6 2" xfId="8974"/>
    <cellStyle name="_Power Cost Value Copy 11.30.05 gas 1.09.06 AURORA at 1.10.06_PCA 9 -  Exhibit D April 2010 7" xfId="8975"/>
    <cellStyle name="_Power Cost Value Copy 11.30.05 gas 1.09.06 AURORA at 1.10.06_PCA 9 -  Exhibit D Feb 2010" xfId="8976"/>
    <cellStyle name="_Power Cost Value Copy 11.30.05 gas 1.09.06 AURORA at 1.10.06_PCA 9 -  Exhibit D Feb 2010 2" xfId="8977"/>
    <cellStyle name="_Power Cost Value Copy 11.30.05 gas 1.09.06 AURORA at 1.10.06_PCA 9 -  Exhibit D Feb 2010 2 2" xfId="8978"/>
    <cellStyle name="_Power Cost Value Copy 11.30.05 gas 1.09.06 AURORA at 1.10.06_PCA 9 -  Exhibit D Feb 2010 3" xfId="8979"/>
    <cellStyle name="_Power Cost Value Copy 11.30.05 gas 1.09.06 AURORA at 1.10.06_PCA 9 -  Exhibit D Feb 2010 v2" xfId="8980"/>
    <cellStyle name="_Power Cost Value Copy 11.30.05 gas 1.09.06 AURORA at 1.10.06_PCA 9 -  Exhibit D Feb 2010 v2 2" xfId="8981"/>
    <cellStyle name="_Power Cost Value Copy 11.30.05 gas 1.09.06 AURORA at 1.10.06_PCA 9 -  Exhibit D Feb 2010 v2 2 2" xfId="8982"/>
    <cellStyle name="_Power Cost Value Copy 11.30.05 gas 1.09.06 AURORA at 1.10.06_PCA 9 -  Exhibit D Feb 2010 v2 3" xfId="8983"/>
    <cellStyle name="_Power Cost Value Copy 11.30.05 gas 1.09.06 AURORA at 1.10.06_PCA 9 -  Exhibit D Feb 2010 WF" xfId="8984"/>
    <cellStyle name="_Power Cost Value Copy 11.30.05 gas 1.09.06 AURORA at 1.10.06_PCA 9 -  Exhibit D Feb 2010 WF 2" xfId="8985"/>
    <cellStyle name="_Power Cost Value Copy 11.30.05 gas 1.09.06 AURORA at 1.10.06_PCA 9 -  Exhibit D Feb 2010 WF 2 2" xfId="8986"/>
    <cellStyle name="_Power Cost Value Copy 11.30.05 gas 1.09.06 AURORA at 1.10.06_PCA 9 -  Exhibit D Feb 2010 WF 3" xfId="8987"/>
    <cellStyle name="_Power Cost Value Copy 11.30.05 gas 1.09.06 AURORA at 1.10.06_PCA 9 -  Exhibit D Jan 2010" xfId="8988"/>
    <cellStyle name="_Power Cost Value Copy 11.30.05 gas 1.09.06 AURORA at 1.10.06_PCA 9 -  Exhibit D Jan 2010 2" xfId="8989"/>
    <cellStyle name="_Power Cost Value Copy 11.30.05 gas 1.09.06 AURORA at 1.10.06_PCA 9 -  Exhibit D Jan 2010 2 2" xfId="8990"/>
    <cellStyle name="_Power Cost Value Copy 11.30.05 gas 1.09.06 AURORA at 1.10.06_PCA 9 -  Exhibit D Jan 2010 3" xfId="8991"/>
    <cellStyle name="_Power Cost Value Copy 11.30.05 gas 1.09.06 AURORA at 1.10.06_PCA 9 -  Exhibit D March 2010 (2)" xfId="8992"/>
    <cellStyle name="_Power Cost Value Copy 11.30.05 gas 1.09.06 AURORA at 1.10.06_PCA 9 -  Exhibit D March 2010 (2) 2" xfId="8993"/>
    <cellStyle name="_Power Cost Value Copy 11.30.05 gas 1.09.06 AURORA at 1.10.06_PCA 9 -  Exhibit D March 2010 (2) 2 2" xfId="8994"/>
    <cellStyle name="_Power Cost Value Copy 11.30.05 gas 1.09.06 AURORA at 1.10.06_PCA 9 -  Exhibit D March 2010 (2) 3" xfId="8995"/>
    <cellStyle name="_Power Cost Value Copy 11.30.05 gas 1.09.06 AURORA at 1.10.06_PCA 9 -  Exhibit D Nov 2010" xfId="8996"/>
    <cellStyle name="_Power Cost Value Copy 11.30.05 gas 1.09.06 AURORA at 1.10.06_PCA 9 -  Exhibit D Nov 2010 2" xfId="8997"/>
    <cellStyle name="_Power Cost Value Copy 11.30.05 gas 1.09.06 AURORA at 1.10.06_PCA 9 -  Exhibit D Nov 2010 2 2" xfId="8998"/>
    <cellStyle name="_Power Cost Value Copy 11.30.05 gas 1.09.06 AURORA at 1.10.06_PCA 9 -  Exhibit D Nov 2010 3" xfId="8999"/>
    <cellStyle name="_Power Cost Value Copy 11.30.05 gas 1.09.06 AURORA at 1.10.06_PCA 9 - Exhibit D at August 2010" xfId="9000"/>
    <cellStyle name="_Power Cost Value Copy 11.30.05 gas 1.09.06 AURORA at 1.10.06_PCA 9 - Exhibit D at August 2010 2" xfId="9001"/>
    <cellStyle name="_Power Cost Value Copy 11.30.05 gas 1.09.06 AURORA at 1.10.06_PCA 9 - Exhibit D at August 2010 2 2" xfId="9002"/>
    <cellStyle name="_Power Cost Value Copy 11.30.05 gas 1.09.06 AURORA at 1.10.06_PCA 9 - Exhibit D at August 2010 3" xfId="9003"/>
    <cellStyle name="_Power Cost Value Copy 11.30.05 gas 1.09.06 AURORA at 1.10.06_PCA 9 - Exhibit D June 2010 GRC" xfId="9004"/>
    <cellStyle name="_Power Cost Value Copy 11.30.05 gas 1.09.06 AURORA at 1.10.06_PCA 9 - Exhibit D June 2010 GRC 2" xfId="9005"/>
    <cellStyle name="_Power Cost Value Copy 11.30.05 gas 1.09.06 AURORA at 1.10.06_PCA 9 - Exhibit D June 2010 GRC 2 2" xfId="9006"/>
    <cellStyle name="_Power Cost Value Copy 11.30.05 gas 1.09.06 AURORA at 1.10.06_PCA 9 - Exhibit D June 2010 GRC 3" xfId="9007"/>
    <cellStyle name="_Power Cost Value Copy 11.30.05 gas 1.09.06 AURORA at 1.10.06_Power Costs - Comparison bx Rbtl-Staff-Jt-PC" xfId="9008"/>
    <cellStyle name="_Power Cost Value Copy 11.30.05 gas 1.09.06 AURORA at 1.10.06_Power Costs - Comparison bx Rbtl-Staff-Jt-PC 2" xfId="9009"/>
    <cellStyle name="_Power Cost Value Copy 11.30.05 gas 1.09.06 AURORA at 1.10.06_Power Costs - Comparison bx Rbtl-Staff-Jt-PC 2 2" xfId="9010"/>
    <cellStyle name="_Power Cost Value Copy 11.30.05 gas 1.09.06 AURORA at 1.10.06_Power Costs - Comparison bx Rbtl-Staff-Jt-PC 3" xfId="9011"/>
    <cellStyle name="_Power Cost Value Copy 11.30.05 gas 1.09.06 AURORA at 1.10.06_Power Costs - Comparison bx Rbtl-Staff-Jt-PC 3 2" xfId="9012"/>
    <cellStyle name="_Power Cost Value Copy 11.30.05 gas 1.09.06 AURORA at 1.10.06_Power Costs - Comparison bx Rbtl-Staff-Jt-PC 4" xfId="9013"/>
    <cellStyle name="_Power Cost Value Copy 11.30.05 gas 1.09.06 AURORA at 1.10.06_Power Costs - Comparison bx Rbtl-Staff-Jt-PC_Adj Bench DR 3 for Initial Briefs (Electric)" xfId="9014"/>
    <cellStyle name="_Power Cost Value Copy 11.30.05 gas 1.09.06 AURORA at 1.10.06_Power Costs - Comparison bx Rbtl-Staff-Jt-PC_Adj Bench DR 3 for Initial Briefs (Electric) 2" xfId="9015"/>
    <cellStyle name="_Power Cost Value Copy 11.30.05 gas 1.09.06 AURORA at 1.10.06_Power Costs - Comparison bx Rbtl-Staff-Jt-PC_Adj Bench DR 3 for Initial Briefs (Electric) 2 2" xfId="9016"/>
    <cellStyle name="_Power Cost Value Copy 11.30.05 gas 1.09.06 AURORA at 1.10.06_Power Costs - Comparison bx Rbtl-Staff-Jt-PC_Adj Bench DR 3 for Initial Briefs (Electric) 3" xfId="9017"/>
    <cellStyle name="_Power Cost Value Copy 11.30.05 gas 1.09.06 AURORA at 1.10.06_Power Costs - Comparison bx Rbtl-Staff-Jt-PC_Adj Bench DR 3 for Initial Briefs (Electric) 3 2" xfId="9018"/>
    <cellStyle name="_Power Cost Value Copy 11.30.05 gas 1.09.06 AURORA at 1.10.06_Power Costs - Comparison bx Rbtl-Staff-Jt-PC_Adj Bench DR 3 for Initial Briefs (Electric) 4" xfId="9019"/>
    <cellStyle name="_Power Cost Value Copy 11.30.05 gas 1.09.06 AURORA at 1.10.06_Power Costs - Comparison bx Rbtl-Staff-Jt-PC_Adj Bench DR 3 for Initial Briefs (Electric)_DEM-WP(C) ENERG10C--ctn Mid-C_042010 2010GRC" xfId="9020"/>
    <cellStyle name="_Power Cost Value Copy 11.30.05 gas 1.09.06 AURORA at 1.10.06_Power Costs - Comparison bx Rbtl-Staff-Jt-PC_Adj Bench DR 3 for Initial Briefs (Electric)_DEM-WP(C) ENERG10C--ctn Mid-C_042010 2010GRC 2" xfId="9021"/>
    <cellStyle name="_Power Cost Value Copy 11.30.05 gas 1.09.06 AURORA at 1.10.06_Power Costs - Comparison bx Rbtl-Staff-Jt-PC_DEM-WP(C) ENERG10C--ctn Mid-C_042010 2010GRC" xfId="9022"/>
    <cellStyle name="_Power Cost Value Copy 11.30.05 gas 1.09.06 AURORA at 1.10.06_Power Costs - Comparison bx Rbtl-Staff-Jt-PC_DEM-WP(C) ENERG10C--ctn Mid-C_042010 2010GRC 2" xfId="9023"/>
    <cellStyle name="_Power Cost Value Copy 11.30.05 gas 1.09.06 AURORA at 1.10.06_Power Costs - Comparison bx Rbtl-Staff-Jt-PC_Electric Rev Req Model (2009 GRC) Rebuttal" xfId="9024"/>
    <cellStyle name="_Power Cost Value Copy 11.30.05 gas 1.09.06 AURORA at 1.10.06_Power Costs - Comparison bx Rbtl-Staff-Jt-PC_Electric Rev Req Model (2009 GRC) Rebuttal 2" xfId="9025"/>
    <cellStyle name="_Power Cost Value Copy 11.30.05 gas 1.09.06 AURORA at 1.10.06_Power Costs - Comparison bx Rbtl-Staff-Jt-PC_Electric Rev Req Model (2009 GRC) Rebuttal 2 2" xfId="9026"/>
    <cellStyle name="_Power Cost Value Copy 11.30.05 gas 1.09.06 AURORA at 1.10.06_Power Costs - Comparison bx Rbtl-Staff-Jt-PC_Electric Rev Req Model (2009 GRC) Rebuttal 3" xfId="9027"/>
    <cellStyle name="_Power Cost Value Copy 11.30.05 gas 1.09.06 AURORA at 1.10.06_Power Costs - Comparison bx Rbtl-Staff-Jt-PC_Electric Rev Req Model (2009 GRC) Rebuttal REmoval of New  WH Solar AdjustMI" xfId="9028"/>
    <cellStyle name="_Power Cost Value Copy 11.30.05 gas 1.09.06 AURORA at 1.10.06_Power Costs - Comparison bx Rbtl-Staff-Jt-PC_Electric Rev Req Model (2009 GRC) Rebuttal REmoval of New  WH Solar AdjustMI 2" xfId="9029"/>
    <cellStyle name="_Power Cost Value Copy 11.30.05 gas 1.09.06 AURORA at 1.10.06_Power Costs - Comparison bx Rbtl-Staff-Jt-PC_Electric Rev Req Model (2009 GRC) Rebuttal REmoval of New  WH Solar AdjustMI 2 2" xfId="9030"/>
    <cellStyle name="_Power Cost Value Copy 11.30.05 gas 1.09.06 AURORA at 1.10.06_Power Costs - Comparison bx Rbtl-Staff-Jt-PC_Electric Rev Req Model (2009 GRC) Rebuttal REmoval of New  WH Solar AdjustMI 3" xfId="9031"/>
    <cellStyle name="_Power Cost Value Copy 11.30.05 gas 1.09.06 AURORA at 1.10.06_Power Costs - Comparison bx Rbtl-Staff-Jt-PC_Electric Rev Req Model (2009 GRC) Rebuttal REmoval of New  WH Solar AdjustMI 3 2" xfId="9032"/>
    <cellStyle name="_Power Cost Value Copy 11.30.05 gas 1.09.06 AURORA at 1.10.06_Power Costs - Comparison bx Rbtl-Staff-Jt-PC_Electric Rev Req Model (2009 GRC) Rebuttal REmoval of New  WH Solar AdjustMI 4" xfId="9033"/>
    <cellStyle name="_Power Cost Value Copy 11.30.05 gas 1.09.06 AURORA at 1.10.06_Power Costs - Comparison bx Rbtl-Staff-Jt-PC_Electric Rev Req Model (2009 GRC) Rebuttal REmoval of New  WH Solar AdjustMI_DEM-WP(C) ENERG10C--ctn Mid-C_042010 2010GRC" xfId="9034"/>
    <cellStyle name="_Power Cost Value Copy 11.30.05 gas 1.09.06 AURORA at 1.10.06_Power Costs - Comparison bx Rbtl-Staff-Jt-PC_Electric Rev Req Model (2009 GRC) Rebuttal REmoval of New  WH Solar AdjustMI_DEM-WP(C) ENERG10C--ctn Mid-C_042010 2010GRC 2" xfId="9035"/>
    <cellStyle name="_Power Cost Value Copy 11.30.05 gas 1.09.06 AURORA at 1.10.06_Power Costs - Comparison bx Rbtl-Staff-Jt-PC_Electric Rev Req Model (2009 GRC) Revised 01-18-2010" xfId="9036"/>
    <cellStyle name="_Power Cost Value Copy 11.30.05 gas 1.09.06 AURORA at 1.10.06_Power Costs - Comparison bx Rbtl-Staff-Jt-PC_Electric Rev Req Model (2009 GRC) Revised 01-18-2010 2" xfId="9037"/>
    <cellStyle name="_Power Cost Value Copy 11.30.05 gas 1.09.06 AURORA at 1.10.06_Power Costs - Comparison bx Rbtl-Staff-Jt-PC_Electric Rev Req Model (2009 GRC) Revised 01-18-2010 2 2" xfId="9038"/>
    <cellStyle name="_Power Cost Value Copy 11.30.05 gas 1.09.06 AURORA at 1.10.06_Power Costs - Comparison bx Rbtl-Staff-Jt-PC_Electric Rev Req Model (2009 GRC) Revised 01-18-2010 3" xfId="9039"/>
    <cellStyle name="_Power Cost Value Copy 11.30.05 gas 1.09.06 AURORA at 1.10.06_Power Costs - Comparison bx Rbtl-Staff-Jt-PC_Electric Rev Req Model (2009 GRC) Revised 01-18-2010 3 2" xfId="9040"/>
    <cellStyle name="_Power Cost Value Copy 11.30.05 gas 1.09.06 AURORA at 1.10.06_Power Costs - Comparison bx Rbtl-Staff-Jt-PC_Electric Rev Req Model (2009 GRC) Revised 01-18-2010 4" xfId="9041"/>
    <cellStyle name="_Power Cost Value Copy 11.30.05 gas 1.09.06 AURORA at 1.10.06_Power Costs - Comparison bx Rbtl-Staff-Jt-PC_Electric Rev Req Model (2009 GRC) Revised 01-18-2010_DEM-WP(C) ENERG10C--ctn Mid-C_042010 2010GRC" xfId="9042"/>
    <cellStyle name="_Power Cost Value Copy 11.30.05 gas 1.09.06 AURORA at 1.10.06_Power Costs - Comparison bx Rbtl-Staff-Jt-PC_Electric Rev Req Model (2009 GRC) Revised 01-18-2010_DEM-WP(C) ENERG10C--ctn Mid-C_042010 2010GRC 2" xfId="9043"/>
    <cellStyle name="_Power Cost Value Copy 11.30.05 gas 1.09.06 AURORA at 1.10.06_Power Costs - Comparison bx Rbtl-Staff-Jt-PC_Final Order Electric EXHIBIT A-1" xfId="9044"/>
    <cellStyle name="_Power Cost Value Copy 11.30.05 gas 1.09.06 AURORA at 1.10.06_Power Costs - Comparison bx Rbtl-Staff-Jt-PC_Final Order Electric EXHIBIT A-1 2" xfId="9045"/>
    <cellStyle name="_Power Cost Value Copy 11.30.05 gas 1.09.06 AURORA at 1.10.06_Power Costs - Comparison bx Rbtl-Staff-Jt-PC_Final Order Electric EXHIBIT A-1 2 2" xfId="9046"/>
    <cellStyle name="_Power Cost Value Copy 11.30.05 gas 1.09.06 AURORA at 1.10.06_Power Costs - Comparison bx Rbtl-Staff-Jt-PC_Final Order Electric EXHIBIT A-1 3" xfId="9047"/>
    <cellStyle name="_Power Cost Value Copy 11.30.05 gas 1.09.06 AURORA at 1.10.06_Production Adj 4.37" xfId="21273"/>
    <cellStyle name="_Power Cost Value Copy 11.30.05 gas 1.09.06 AURORA at 1.10.06_Purchased Power Adj 4.03" xfId="21274"/>
    <cellStyle name="_Power Cost Value Copy 11.30.05 gas 1.09.06 AURORA at 1.10.06_Rebuttal Power Costs" xfId="9048"/>
    <cellStyle name="_Power Cost Value Copy 11.30.05 gas 1.09.06 AURORA at 1.10.06_Rebuttal Power Costs 2" xfId="9049"/>
    <cellStyle name="_Power Cost Value Copy 11.30.05 gas 1.09.06 AURORA at 1.10.06_Rebuttal Power Costs 2 2" xfId="9050"/>
    <cellStyle name="_Power Cost Value Copy 11.30.05 gas 1.09.06 AURORA at 1.10.06_Rebuttal Power Costs 3" xfId="9051"/>
    <cellStyle name="_Power Cost Value Copy 11.30.05 gas 1.09.06 AURORA at 1.10.06_Rebuttal Power Costs 3 2" xfId="9052"/>
    <cellStyle name="_Power Cost Value Copy 11.30.05 gas 1.09.06 AURORA at 1.10.06_Rebuttal Power Costs 4" xfId="9053"/>
    <cellStyle name="_Power Cost Value Copy 11.30.05 gas 1.09.06 AURORA at 1.10.06_Rebuttal Power Costs_Adj Bench DR 3 for Initial Briefs (Electric)" xfId="9054"/>
    <cellStyle name="_Power Cost Value Copy 11.30.05 gas 1.09.06 AURORA at 1.10.06_Rebuttal Power Costs_Adj Bench DR 3 for Initial Briefs (Electric) 2" xfId="9055"/>
    <cellStyle name="_Power Cost Value Copy 11.30.05 gas 1.09.06 AURORA at 1.10.06_Rebuttal Power Costs_Adj Bench DR 3 for Initial Briefs (Electric) 2 2" xfId="9056"/>
    <cellStyle name="_Power Cost Value Copy 11.30.05 gas 1.09.06 AURORA at 1.10.06_Rebuttal Power Costs_Adj Bench DR 3 for Initial Briefs (Electric) 3" xfId="9057"/>
    <cellStyle name="_Power Cost Value Copy 11.30.05 gas 1.09.06 AURORA at 1.10.06_Rebuttal Power Costs_Adj Bench DR 3 for Initial Briefs (Electric) 3 2" xfId="9058"/>
    <cellStyle name="_Power Cost Value Copy 11.30.05 gas 1.09.06 AURORA at 1.10.06_Rebuttal Power Costs_Adj Bench DR 3 for Initial Briefs (Electric) 4" xfId="9059"/>
    <cellStyle name="_Power Cost Value Copy 11.30.05 gas 1.09.06 AURORA at 1.10.06_Rebuttal Power Costs_Adj Bench DR 3 for Initial Briefs (Electric)_DEM-WP(C) ENERG10C--ctn Mid-C_042010 2010GRC" xfId="9060"/>
    <cellStyle name="_Power Cost Value Copy 11.30.05 gas 1.09.06 AURORA at 1.10.06_Rebuttal Power Costs_Adj Bench DR 3 for Initial Briefs (Electric)_DEM-WP(C) ENERG10C--ctn Mid-C_042010 2010GRC 2" xfId="9061"/>
    <cellStyle name="_Power Cost Value Copy 11.30.05 gas 1.09.06 AURORA at 1.10.06_Rebuttal Power Costs_DEM-WP(C) ENERG10C--ctn Mid-C_042010 2010GRC" xfId="9062"/>
    <cellStyle name="_Power Cost Value Copy 11.30.05 gas 1.09.06 AURORA at 1.10.06_Rebuttal Power Costs_DEM-WP(C) ENERG10C--ctn Mid-C_042010 2010GRC 2" xfId="9063"/>
    <cellStyle name="_Power Cost Value Copy 11.30.05 gas 1.09.06 AURORA at 1.10.06_Rebuttal Power Costs_Electric Rev Req Model (2009 GRC) Rebuttal" xfId="9064"/>
    <cellStyle name="_Power Cost Value Copy 11.30.05 gas 1.09.06 AURORA at 1.10.06_Rebuttal Power Costs_Electric Rev Req Model (2009 GRC) Rebuttal 2" xfId="9065"/>
    <cellStyle name="_Power Cost Value Copy 11.30.05 gas 1.09.06 AURORA at 1.10.06_Rebuttal Power Costs_Electric Rev Req Model (2009 GRC) Rebuttal 2 2" xfId="9066"/>
    <cellStyle name="_Power Cost Value Copy 11.30.05 gas 1.09.06 AURORA at 1.10.06_Rebuttal Power Costs_Electric Rev Req Model (2009 GRC) Rebuttal 3" xfId="9067"/>
    <cellStyle name="_Power Cost Value Copy 11.30.05 gas 1.09.06 AURORA at 1.10.06_Rebuttal Power Costs_Electric Rev Req Model (2009 GRC) Rebuttal REmoval of New  WH Solar AdjustMI" xfId="9068"/>
    <cellStyle name="_Power Cost Value Copy 11.30.05 gas 1.09.06 AURORA at 1.10.06_Rebuttal Power Costs_Electric Rev Req Model (2009 GRC) Rebuttal REmoval of New  WH Solar AdjustMI 2" xfId="9069"/>
    <cellStyle name="_Power Cost Value Copy 11.30.05 gas 1.09.06 AURORA at 1.10.06_Rebuttal Power Costs_Electric Rev Req Model (2009 GRC) Rebuttal REmoval of New  WH Solar AdjustMI 2 2" xfId="9070"/>
    <cellStyle name="_Power Cost Value Copy 11.30.05 gas 1.09.06 AURORA at 1.10.06_Rebuttal Power Costs_Electric Rev Req Model (2009 GRC) Rebuttal REmoval of New  WH Solar AdjustMI 3" xfId="9071"/>
    <cellStyle name="_Power Cost Value Copy 11.30.05 gas 1.09.06 AURORA at 1.10.06_Rebuttal Power Costs_Electric Rev Req Model (2009 GRC) Rebuttal REmoval of New  WH Solar AdjustMI 3 2" xfId="9072"/>
    <cellStyle name="_Power Cost Value Copy 11.30.05 gas 1.09.06 AURORA at 1.10.06_Rebuttal Power Costs_Electric Rev Req Model (2009 GRC) Rebuttal REmoval of New  WH Solar AdjustMI 4" xfId="9073"/>
    <cellStyle name="_Power Cost Value Copy 11.30.05 gas 1.09.06 AURORA at 1.10.06_Rebuttal Power Costs_Electric Rev Req Model (2009 GRC) Rebuttal REmoval of New  WH Solar AdjustMI_DEM-WP(C) ENERG10C--ctn Mid-C_042010 2010GRC" xfId="9074"/>
    <cellStyle name="_Power Cost Value Copy 11.30.05 gas 1.09.06 AURORA at 1.10.06_Rebuttal Power Costs_Electric Rev Req Model (2009 GRC) Rebuttal REmoval of New  WH Solar AdjustMI_DEM-WP(C) ENERG10C--ctn Mid-C_042010 2010GRC 2" xfId="9075"/>
    <cellStyle name="_Power Cost Value Copy 11.30.05 gas 1.09.06 AURORA at 1.10.06_Rebuttal Power Costs_Electric Rev Req Model (2009 GRC) Revised 01-18-2010" xfId="9076"/>
    <cellStyle name="_Power Cost Value Copy 11.30.05 gas 1.09.06 AURORA at 1.10.06_Rebuttal Power Costs_Electric Rev Req Model (2009 GRC) Revised 01-18-2010 2" xfId="9077"/>
    <cellStyle name="_Power Cost Value Copy 11.30.05 gas 1.09.06 AURORA at 1.10.06_Rebuttal Power Costs_Electric Rev Req Model (2009 GRC) Revised 01-18-2010 2 2" xfId="9078"/>
    <cellStyle name="_Power Cost Value Copy 11.30.05 gas 1.09.06 AURORA at 1.10.06_Rebuttal Power Costs_Electric Rev Req Model (2009 GRC) Revised 01-18-2010 3" xfId="9079"/>
    <cellStyle name="_Power Cost Value Copy 11.30.05 gas 1.09.06 AURORA at 1.10.06_Rebuttal Power Costs_Electric Rev Req Model (2009 GRC) Revised 01-18-2010 3 2" xfId="9080"/>
    <cellStyle name="_Power Cost Value Copy 11.30.05 gas 1.09.06 AURORA at 1.10.06_Rebuttal Power Costs_Electric Rev Req Model (2009 GRC) Revised 01-18-2010 4" xfId="9081"/>
    <cellStyle name="_Power Cost Value Copy 11.30.05 gas 1.09.06 AURORA at 1.10.06_Rebuttal Power Costs_Electric Rev Req Model (2009 GRC) Revised 01-18-2010_DEM-WP(C) ENERG10C--ctn Mid-C_042010 2010GRC" xfId="9082"/>
    <cellStyle name="_Power Cost Value Copy 11.30.05 gas 1.09.06 AURORA at 1.10.06_Rebuttal Power Costs_Electric Rev Req Model (2009 GRC) Revised 01-18-2010_DEM-WP(C) ENERG10C--ctn Mid-C_042010 2010GRC 2" xfId="9083"/>
    <cellStyle name="_Power Cost Value Copy 11.30.05 gas 1.09.06 AURORA at 1.10.06_Rebuttal Power Costs_Final Order Electric EXHIBIT A-1" xfId="9084"/>
    <cellStyle name="_Power Cost Value Copy 11.30.05 gas 1.09.06 AURORA at 1.10.06_Rebuttal Power Costs_Final Order Electric EXHIBIT A-1 2" xfId="9085"/>
    <cellStyle name="_Power Cost Value Copy 11.30.05 gas 1.09.06 AURORA at 1.10.06_Rebuttal Power Costs_Final Order Electric EXHIBIT A-1 2 2" xfId="9086"/>
    <cellStyle name="_Power Cost Value Copy 11.30.05 gas 1.09.06 AURORA at 1.10.06_Rebuttal Power Costs_Final Order Electric EXHIBIT A-1 3" xfId="9087"/>
    <cellStyle name="_Power Cost Value Copy 11.30.05 gas 1.09.06 AURORA at 1.10.06_ROR 5.02" xfId="21275"/>
    <cellStyle name="_Power Cost Value Copy 11.30.05 gas 1.09.06 AURORA at 1.10.06_Sch 40 Interim Energy Rates " xfId="18249"/>
    <cellStyle name="_Power Cost Value Copy 11.30.05 gas 1.09.06 AURORA at 1.10.06_Transmission Workbook for May BOD" xfId="9088"/>
    <cellStyle name="_Power Cost Value Copy 11.30.05 gas 1.09.06 AURORA at 1.10.06_Transmission Workbook for May BOD 2" xfId="9089"/>
    <cellStyle name="_Power Cost Value Copy 11.30.05 gas 1.09.06 AURORA at 1.10.06_Transmission Workbook for May BOD 2 2" xfId="9090"/>
    <cellStyle name="_Power Cost Value Copy 11.30.05 gas 1.09.06 AURORA at 1.10.06_Transmission Workbook for May BOD 3" xfId="9091"/>
    <cellStyle name="_Power Cost Value Copy 11.30.05 gas 1.09.06 AURORA at 1.10.06_Transmission Workbook for May BOD 3 2" xfId="9092"/>
    <cellStyle name="_Power Cost Value Copy 11.30.05 gas 1.09.06 AURORA at 1.10.06_Transmission Workbook for May BOD 4" xfId="9093"/>
    <cellStyle name="_Power Cost Value Copy 11.30.05 gas 1.09.06 AURORA at 1.10.06_Transmission Workbook for May BOD_DEM-WP(C) ENERG10C--ctn Mid-C_042010 2010GRC" xfId="9094"/>
    <cellStyle name="_Power Cost Value Copy 11.30.05 gas 1.09.06 AURORA at 1.10.06_Transmission Workbook for May BOD_DEM-WP(C) ENERG10C--ctn Mid-C_042010 2010GRC 2" xfId="9095"/>
    <cellStyle name="_Power Cost Value Copy 11.30.05 gas 1.09.06 AURORA at 1.10.06_Wind Integration 10GRC" xfId="9096"/>
    <cellStyle name="_Power Cost Value Copy 11.30.05 gas 1.09.06 AURORA at 1.10.06_Wind Integration 10GRC 2" xfId="9097"/>
    <cellStyle name="_Power Cost Value Copy 11.30.05 gas 1.09.06 AURORA at 1.10.06_Wind Integration 10GRC 2 2" xfId="9098"/>
    <cellStyle name="_Power Cost Value Copy 11.30.05 gas 1.09.06 AURORA at 1.10.06_Wind Integration 10GRC 3" xfId="9099"/>
    <cellStyle name="_Power Cost Value Copy 11.30.05 gas 1.09.06 AURORA at 1.10.06_Wind Integration 10GRC 3 2" xfId="9100"/>
    <cellStyle name="_Power Cost Value Copy 11.30.05 gas 1.09.06 AURORA at 1.10.06_Wind Integration 10GRC 4" xfId="9101"/>
    <cellStyle name="_Power Cost Value Copy 11.30.05 gas 1.09.06 AURORA at 1.10.06_Wind Integration 10GRC_DEM-WP(C) ENERG10C--ctn Mid-C_042010 2010GRC" xfId="9102"/>
    <cellStyle name="_Power Cost Value Copy 11.30.05 gas 1.09.06 AURORA at 1.10.06_Wind Integration 10GRC_DEM-WP(C) ENERG10C--ctn Mid-C_042010 2010GRC 2" xfId="9103"/>
    <cellStyle name="_Power Costs Rate Year 11-13-07" xfId="9104"/>
    <cellStyle name="_Power Costs Rate Year 11-13-07 2" xfId="9105"/>
    <cellStyle name="_Price Output" xfId="9106"/>
    <cellStyle name="_Price Output 2" xfId="9107"/>
    <cellStyle name="_Price Output 2 2" xfId="9108"/>
    <cellStyle name="_Price Output 2 3" xfId="9109"/>
    <cellStyle name="_Price Output 3" xfId="9110"/>
    <cellStyle name="_Price Output 3 2" xfId="9111"/>
    <cellStyle name="_Price Output 3 2 2" xfId="9112"/>
    <cellStyle name="_Price Output 3 3" xfId="9113"/>
    <cellStyle name="_Price Output 4" xfId="9114"/>
    <cellStyle name="_Price Output 4 2" xfId="9115"/>
    <cellStyle name="_Price Output 5" xfId="9116"/>
    <cellStyle name="_Price Output 5 2" xfId="9117"/>
    <cellStyle name="_Price Output 6" xfId="9118"/>
    <cellStyle name="_Price Output 6 2" xfId="9119"/>
    <cellStyle name="_Price Output_DEM-WP(C) Chelan Power Costs" xfId="9120"/>
    <cellStyle name="_Price Output_DEM-WP(C) Chelan Power Costs 2" xfId="9121"/>
    <cellStyle name="_Price Output_DEM-WP(C) ENERG10C--ctn Mid-C_042010 2010GRC" xfId="9122"/>
    <cellStyle name="_Price Output_DEM-WP(C) ENERG10C--ctn Mid-C_042010 2010GRC 2" xfId="9123"/>
    <cellStyle name="_Price Output_DEM-WP(C) Gas Transport 2010GRC" xfId="9124"/>
    <cellStyle name="_Price Output_DEM-WP(C) Gas Transport 2010GRC 2" xfId="9125"/>
    <cellStyle name="_Price Output_NIM Summary" xfId="9126"/>
    <cellStyle name="_Price Output_NIM Summary 2" xfId="9127"/>
    <cellStyle name="_Price Output_NIM Summary 2 2" xfId="9128"/>
    <cellStyle name="_Price Output_NIM Summary 3" xfId="9129"/>
    <cellStyle name="_Price Output_NIM Summary 3 2" xfId="9130"/>
    <cellStyle name="_Price Output_NIM Summary 4" xfId="9131"/>
    <cellStyle name="_Price Output_NIM Summary_DEM-WP(C) ENERG10C--ctn Mid-C_042010 2010GRC" xfId="9132"/>
    <cellStyle name="_Price Output_NIM Summary_DEM-WP(C) ENERG10C--ctn Mid-C_042010 2010GRC 2" xfId="9133"/>
    <cellStyle name="_Price Output_Wind Integration 10GRC" xfId="9134"/>
    <cellStyle name="_Price Output_Wind Integration 10GRC 2" xfId="9135"/>
    <cellStyle name="_Price Output_Wind Integration 10GRC 2 2" xfId="9136"/>
    <cellStyle name="_Price Output_Wind Integration 10GRC 3" xfId="9137"/>
    <cellStyle name="_Price Output_Wind Integration 10GRC 3 2" xfId="9138"/>
    <cellStyle name="_Price Output_Wind Integration 10GRC 4" xfId="9139"/>
    <cellStyle name="_Price Output_Wind Integration 10GRC_DEM-WP(C) ENERG10C--ctn Mid-C_042010 2010GRC" xfId="9140"/>
    <cellStyle name="_Price Output_Wind Integration 10GRC_DEM-WP(C) ENERG10C--ctn Mid-C_042010 2010GRC 2" xfId="9141"/>
    <cellStyle name="_Prices" xfId="9142"/>
    <cellStyle name="_Prices 2" xfId="9143"/>
    <cellStyle name="_Prices 2 2" xfId="9144"/>
    <cellStyle name="_Prices 2 3" xfId="9145"/>
    <cellStyle name="_Prices 3" xfId="9146"/>
    <cellStyle name="_Prices 3 2" xfId="9147"/>
    <cellStyle name="_Prices 3 2 2" xfId="9148"/>
    <cellStyle name="_Prices 3 3" xfId="9149"/>
    <cellStyle name="_Prices 4" xfId="9150"/>
    <cellStyle name="_Prices 4 2" xfId="9151"/>
    <cellStyle name="_Prices 5" xfId="9152"/>
    <cellStyle name="_Prices 5 2" xfId="9153"/>
    <cellStyle name="_Prices 6" xfId="9154"/>
    <cellStyle name="_Prices 6 2" xfId="9155"/>
    <cellStyle name="_Prices_DEM-WP(C) Chelan Power Costs" xfId="9156"/>
    <cellStyle name="_Prices_DEM-WP(C) Chelan Power Costs 2" xfId="9157"/>
    <cellStyle name="_Prices_DEM-WP(C) ENERG10C--ctn Mid-C_042010 2010GRC" xfId="9158"/>
    <cellStyle name="_Prices_DEM-WP(C) ENERG10C--ctn Mid-C_042010 2010GRC 2" xfId="9159"/>
    <cellStyle name="_Prices_DEM-WP(C) Gas Transport 2010GRC" xfId="9160"/>
    <cellStyle name="_Prices_DEM-WP(C) Gas Transport 2010GRC 2" xfId="9161"/>
    <cellStyle name="_Prices_NIM Summary" xfId="9162"/>
    <cellStyle name="_Prices_NIM Summary 2" xfId="9163"/>
    <cellStyle name="_Prices_NIM Summary 2 2" xfId="9164"/>
    <cellStyle name="_Prices_NIM Summary 3" xfId="9165"/>
    <cellStyle name="_Prices_NIM Summary 3 2" xfId="9166"/>
    <cellStyle name="_Prices_NIM Summary 4" xfId="9167"/>
    <cellStyle name="_Prices_NIM Summary_DEM-WP(C) ENERG10C--ctn Mid-C_042010 2010GRC" xfId="9168"/>
    <cellStyle name="_Prices_NIM Summary_DEM-WP(C) ENERG10C--ctn Mid-C_042010 2010GRC 2" xfId="9169"/>
    <cellStyle name="_Prices_Wind Integration 10GRC" xfId="9170"/>
    <cellStyle name="_Prices_Wind Integration 10GRC 2" xfId="9171"/>
    <cellStyle name="_Prices_Wind Integration 10GRC 2 2" xfId="9172"/>
    <cellStyle name="_Prices_Wind Integration 10GRC 3" xfId="9173"/>
    <cellStyle name="_Prices_Wind Integration 10GRC 3 2" xfId="9174"/>
    <cellStyle name="_Prices_Wind Integration 10GRC 4" xfId="9175"/>
    <cellStyle name="_Prices_Wind Integration 10GRC_DEM-WP(C) ENERG10C--ctn Mid-C_042010 2010GRC" xfId="9176"/>
    <cellStyle name="_Prices_Wind Integration 10GRC_DEM-WP(C) ENERG10C--ctn Mid-C_042010 2010GRC 2" xfId="9177"/>
    <cellStyle name="_Pro Forma Rev 07 GRC" xfId="18196"/>
    <cellStyle name="_x0013__Rebuttal Power Costs" xfId="9178"/>
    <cellStyle name="_x0013__Rebuttal Power Costs 2" xfId="9179"/>
    <cellStyle name="_x0013__Rebuttal Power Costs 2 2" xfId="9180"/>
    <cellStyle name="_x0013__Rebuttal Power Costs 3" xfId="9181"/>
    <cellStyle name="_x0013__Rebuttal Power Costs 3 2" xfId="9182"/>
    <cellStyle name="_x0013__Rebuttal Power Costs 4" xfId="9183"/>
    <cellStyle name="_x0013__Rebuttal Power Costs_Adj Bench DR 3 for Initial Briefs (Electric)" xfId="9184"/>
    <cellStyle name="_x0013__Rebuttal Power Costs_Adj Bench DR 3 for Initial Briefs (Electric) 2" xfId="9185"/>
    <cellStyle name="_x0013__Rebuttal Power Costs_Adj Bench DR 3 for Initial Briefs (Electric) 2 2" xfId="9186"/>
    <cellStyle name="_x0013__Rebuttal Power Costs_Adj Bench DR 3 for Initial Briefs (Electric) 3" xfId="9187"/>
    <cellStyle name="_x0013__Rebuttal Power Costs_Adj Bench DR 3 for Initial Briefs (Electric) 3 2" xfId="9188"/>
    <cellStyle name="_x0013__Rebuttal Power Costs_Adj Bench DR 3 for Initial Briefs (Electric) 4" xfId="9189"/>
    <cellStyle name="_x0013__Rebuttal Power Costs_Adj Bench DR 3 for Initial Briefs (Electric)_DEM-WP(C) ENERG10C--ctn Mid-C_042010 2010GRC" xfId="9190"/>
    <cellStyle name="_x0013__Rebuttal Power Costs_Adj Bench DR 3 for Initial Briefs (Electric)_DEM-WP(C) ENERG10C--ctn Mid-C_042010 2010GRC 2" xfId="9191"/>
    <cellStyle name="_x0013__Rebuttal Power Costs_DEM-WP(C) ENERG10C--ctn Mid-C_042010 2010GRC" xfId="9192"/>
    <cellStyle name="_x0013__Rebuttal Power Costs_DEM-WP(C) ENERG10C--ctn Mid-C_042010 2010GRC 2" xfId="9193"/>
    <cellStyle name="_x0013__Rebuttal Power Costs_Electric Rev Req Model (2009 GRC) Rebuttal" xfId="9194"/>
    <cellStyle name="_x0013__Rebuttal Power Costs_Electric Rev Req Model (2009 GRC) Rebuttal 2" xfId="9195"/>
    <cellStyle name="_x0013__Rebuttal Power Costs_Electric Rev Req Model (2009 GRC) Rebuttal 2 2" xfId="9196"/>
    <cellStyle name="_x0013__Rebuttal Power Costs_Electric Rev Req Model (2009 GRC) Rebuttal 3" xfId="9197"/>
    <cellStyle name="_x0013__Rebuttal Power Costs_Electric Rev Req Model (2009 GRC) Rebuttal REmoval of New  WH Solar AdjustMI" xfId="9198"/>
    <cellStyle name="_x0013__Rebuttal Power Costs_Electric Rev Req Model (2009 GRC) Rebuttal REmoval of New  WH Solar AdjustMI 2" xfId="9199"/>
    <cellStyle name="_x0013__Rebuttal Power Costs_Electric Rev Req Model (2009 GRC) Rebuttal REmoval of New  WH Solar AdjustMI 2 2" xfId="9200"/>
    <cellStyle name="_x0013__Rebuttal Power Costs_Electric Rev Req Model (2009 GRC) Rebuttal REmoval of New  WH Solar AdjustMI 3" xfId="9201"/>
    <cellStyle name="_x0013__Rebuttal Power Costs_Electric Rev Req Model (2009 GRC) Rebuttal REmoval of New  WH Solar AdjustMI 3 2" xfId="9202"/>
    <cellStyle name="_x0013__Rebuttal Power Costs_Electric Rev Req Model (2009 GRC) Rebuttal REmoval of New  WH Solar AdjustMI 4" xfId="9203"/>
    <cellStyle name="_x0013__Rebuttal Power Costs_Electric Rev Req Model (2009 GRC) Rebuttal REmoval of New  WH Solar AdjustMI_DEM-WP(C) ENERG10C--ctn Mid-C_042010 2010GRC" xfId="9204"/>
    <cellStyle name="_x0013__Rebuttal Power Costs_Electric Rev Req Model (2009 GRC) Rebuttal REmoval of New  WH Solar AdjustMI_DEM-WP(C) ENERG10C--ctn Mid-C_042010 2010GRC 2" xfId="9205"/>
    <cellStyle name="_x0013__Rebuttal Power Costs_Electric Rev Req Model (2009 GRC) Revised 01-18-2010" xfId="9206"/>
    <cellStyle name="_x0013__Rebuttal Power Costs_Electric Rev Req Model (2009 GRC) Revised 01-18-2010 2" xfId="9207"/>
    <cellStyle name="_x0013__Rebuttal Power Costs_Electric Rev Req Model (2009 GRC) Revised 01-18-2010 2 2" xfId="9208"/>
    <cellStyle name="_x0013__Rebuttal Power Costs_Electric Rev Req Model (2009 GRC) Revised 01-18-2010 3" xfId="9209"/>
    <cellStyle name="_x0013__Rebuttal Power Costs_Electric Rev Req Model (2009 GRC) Revised 01-18-2010 3 2" xfId="9210"/>
    <cellStyle name="_x0013__Rebuttal Power Costs_Electric Rev Req Model (2009 GRC) Revised 01-18-2010 4" xfId="9211"/>
    <cellStyle name="_x0013__Rebuttal Power Costs_Electric Rev Req Model (2009 GRC) Revised 01-18-2010_DEM-WP(C) ENERG10C--ctn Mid-C_042010 2010GRC" xfId="9212"/>
    <cellStyle name="_x0013__Rebuttal Power Costs_Electric Rev Req Model (2009 GRC) Revised 01-18-2010_DEM-WP(C) ENERG10C--ctn Mid-C_042010 2010GRC 2" xfId="9213"/>
    <cellStyle name="_x0013__Rebuttal Power Costs_Final Order Electric EXHIBIT A-1" xfId="9214"/>
    <cellStyle name="_x0013__Rebuttal Power Costs_Final Order Electric EXHIBIT A-1 2" xfId="9215"/>
    <cellStyle name="_x0013__Rebuttal Power Costs_Final Order Electric EXHIBIT A-1 2 2" xfId="9216"/>
    <cellStyle name="_x0013__Rebuttal Power Costs_Final Order Electric EXHIBIT A-1 3" xfId="9217"/>
    <cellStyle name="_recommendation" xfId="9218"/>
    <cellStyle name="_recommendation 2" xfId="9219"/>
    <cellStyle name="_recommendation 2 2" xfId="9220"/>
    <cellStyle name="_recommendation 2 3" xfId="9221"/>
    <cellStyle name="_recommendation 3" xfId="9222"/>
    <cellStyle name="_recommendation 3 2" xfId="9223"/>
    <cellStyle name="_recommendation 3 2 2" xfId="9224"/>
    <cellStyle name="_recommendation 3 3" xfId="9225"/>
    <cellStyle name="_recommendation 4" xfId="9226"/>
    <cellStyle name="_recommendation 4 2" xfId="9227"/>
    <cellStyle name="_recommendation 5" xfId="9228"/>
    <cellStyle name="_recommendation 5 2" xfId="9229"/>
    <cellStyle name="_recommendation 6" xfId="9230"/>
    <cellStyle name="_recommendation 6 2" xfId="9231"/>
    <cellStyle name="_recommendation_DEM-WP(C) Chelan Power Costs" xfId="9232"/>
    <cellStyle name="_recommendation_DEM-WP(C) Chelan Power Costs 2" xfId="9233"/>
    <cellStyle name="_recommendation_DEM-WP(C) ENERG10C--ctn Mid-C_042010 2010GRC" xfId="9234"/>
    <cellStyle name="_recommendation_DEM-WP(C) ENERG10C--ctn Mid-C_042010 2010GRC 2" xfId="9235"/>
    <cellStyle name="_recommendation_DEM-WP(C) Gas Transport 2010GRC" xfId="9236"/>
    <cellStyle name="_recommendation_DEM-WP(C) Gas Transport 2010GRC 2" xfId="9237"/>
    <cellStyle name="_recommendation_DEM-WP(C) Wind Integration Summary 2010GRC" xfId="9238"/>
    <cellStyle name="_recommendation_DEM-WP(C) Wind Integration Summary 2010GRC 2" xfId="9239"/>
    <cellStyle name="_recommendation_DEM-WP(C) Wind Integration Summary 2010GRC 2 2" xfId="9240"/>
    <cellStyle name="_recommendation_DEM-WP(C) Wind Integration Summary 2010GRC 3" xfId="9241"/>
    <cellStyle name="_recommendation_DEM-WP(C) Wind Integration Summary 2010GRC 3 2" xfId="9242"/>
    <cellStyle name="_recommendation_DEM-WP(C) Wind Integration Summary 2010GRC 4" xfId="9243"/>
    <cellStyle name="_recommendation_DEM-WP(C) Wind Integration Summary 2010GRC_DEM-WP(C) ENERG10C--ctn Mid-C_042010 2010GRC" xfId="9244"/>
    <cellStyle name="_recommendation_DEM-WP(C) Wind Integration Summary 2010GRC_DEM-WP(C) ENERG10C--ctn Mid-C_042010 2010GRC 2" xfId="9245"/>
    <cellStyle name="_recommendation_NIM Summary" xfId="9246"/>
    <cellStyle name="_recommendation_NIM Summary 2" xfId="9247"/>
    <cellStyle name="_recommendation_NIM Summary 2 2" xfId="9248"/>
    <cellStyle name="_recommendation_NIM Summary 3" xfId="9249"/>
    <cellStyle name="_recommendation_NIM Summary 3 2" xfId="9250"/>
    <cellStyle name="_recommendation_NIM Summary 4" xfId="9251"/>
    <cellStyle name="_recommendation_NIM Summary_DEM-WP(C) ENERG10C--ctn Mid-C_042010 2010GRC" xfId="9252"/>
    <cellStyle name="_recommendation_NIM Summary_DEM-WP(C) ENERG10C--ctn Mid-C_042010 2010GRC 2" xfId="9253"/>
    <cellStyle name="_Recon to Darrin's 5.11.05 proforma" xfId="9254"/>
    <cellStyle name="_Recon to Darrin's 5.11.05 proforma 2" xfId="9255"/>
    <cellStyle name="_Recon to Darrin's 5.11.05 proforma 2 2" xfId="9256"/>
    <cellStyle name="_Recon to Darrin's 5.11.05 proforma 2 2 2" xfId="9257"/>
    <cellStyle name="_Recon to Darrin's 5.11.05 proforma 2 3" xfId="9258"/>
    <cellStyle name="_Recon to Darrin's 5.11.05 proforma 2 3 2" xfId="9259"/>
    <cellStyle name="_Recon to Darrin's 5.11.05 proforma 2 4" xfId="9260"/>
    <cellStyle name="_Recon to Darrin's 5.11.05 proforma 3" xfId="9261"/>
    <cellStyle name="_Recon to Darrin's 5.11.05 proforma 3 2" xfId="9262"/>
    <cellStyle name="_Recon to Darrin's 5.11.05 proforma 4" xfId="9263"/>
    <cellStyle name="_Recon to Darrin's 5.11.05 proforma 4 2" xfId="9264"/>
    <cellStyle name="_Recon to Darrin's 5.11.05 proforma 4 2 2" xfId="9265"/>
    <cellStyle name="_Recon to Darrin's 5.11.05 proforma 4 3" xfId="9266"/>
    <cellStyle name="_Recon to Darrin's 5.11.05 proforma 5" xfId="9267"/>
    <cellStyle name="_Recon to Darrin's 5.11.05 proforma 5 2" xfId="9268"/>
    <cellStyle name="_Recon to Darrin's 5.11.05 proforma 5 2 2" xfId="9269"/>
    <cellStyle name="_Recon to Darrin's 5.11.05 proforma 5 3" xfId="9270"/>
    <cellStyle name="_Recon to Darrin's 5.11.05 proforma 5 3 2" xfId="9271"/>
    <cellStyle name="_Recon to Darrin's 5.11.05 proforma 5 4" xfId="9272"/>
    <cellStyle name="_Recon to Darrin's 5.11.05 proforma 6" xfId="9273"/>
    <cellStyle name="_Recon to Darrin's 5.11.05 proforma 6 2" xfId="9274"/>
    <cellStyle name="_Recon to Darrin's 5.11.05 proforma 7" xfId="9275"/>
    <cellStyle name="_Recon to Darrin's 5.11.05 proforma 7 2" xfId="9276"/>
    <cellStyle name="_Recon to Darrin's 5.11.05 proforma 7 2 2" xfId="9277"/>
    <cellStyle name="_Recon to Darrin's 5.11.05 proforma 7 3" xfId="9278"/>
    <cellStyle name="_Recon to Darrin's 5.11.05 proforma 8" xfId="9279"/>
    <cellStyle name="_Recon to Darrin's 5.11.05 proforma 8 2" xfId="9280"/>
    <cellStyle name="_Recon to Darrin's 5.11.05 proforma 8 2 2" xfId="9281"/>
    <cellStyle name="_Recon to Darrin's 5.11.05 proforma 8 3" xfId="9282"/>
    <cellStyle name="_Recon to Darrin's 5.11.05 proforma 9" xfId="9283"/>
    <cellStyle name="_Recon to Darrin's 5.11.05 proforma_(C) WHE Proforma with ITC cash grant 10 Yr Amort_for deferral_102809" xfId="9284"/>
    <cellStyle name="_Recon to Darrin's 5.11.05 proforma_(C) WHE Proforma with ITC cash grant 10 Yr Amort_for deferral_102809 2" xfId="9285"/>
    <cellStyle name="_Recon to Darrin's 5.11.05 proforma_(C) WHE Proforma with ITC cash grant 10 Yr Amort_for deferral_102809 2 2" xfId="9286"/>
    <cellStyle name="_Recon to Darrin's 5.11.05 proforma_(C) WHE Proforma with ITC cash grant 10 Yr Amort_for deferral_102809 3" xfId="9287"/>
    <cellStyle name="_Recon to Darrin's 5.11.05 proforma_(C) WHE Proforma with ITC cash grant 10 Yr Amort_for deferral_102809 3 2" xfId="9288"/>
    <cellStyle name="_Recon to Darrin's 5.11.05 proforma_(C) WHE Proforma with ITC cash grant 10 Yr Amort_for deferral_102809 4" xfId="9289"/>
    <cellStyle name="_Recon to Darrin's 5.11.05 proforma_(C) WHE Proforma with ITC cash grant 10 Yr Amort_for deferral_102809_16.07E Wild Horse Wind Expansionwrkingfile" xfId="9290"/>
    <cellStyle name="_Recon to Darrin's 5.11.05 proforma_(C) WHE Proforma with ITC cash grant 10 Yr Amort_for deferral_102809_16.07E Wild Horse Wind Expansionwrkingfile 2" xfId="9291"/>
    <cellStyle name="_Recon to Darrin's 5.11.05 proforma_(C) WHE Proforma with ITC cash grant 10 Yr Amort_for deferral_102809_16.07E Wild Horse Wind Expansionwrkingfile 2 2" xfId="9292"/>
    <cellStyle name="_Recon to Darrin's 5.11.05 proforma_(C) WHE Proforma with ITC cash grant 10 Yr Amort_for deferral_102809_16.07E Wild Horse Wind Expansionwrkingfile 3" xfId="9293"/>
    <cellStyle name="_Recon to Darrin's 5.11.05 proforma_(C) WHE Proforma with ITC cash grant 10 Yr Amort_for deferral_102809_16.07E Wild Horse Wind Expansionwrkingfile 3 2" xfId="9294"/>
    <cellStyle name="_Recon to Darrin's 5.11.05 proforma_(C) WHE Proforma with ITC cash grant 10 Yr Amort_for deferral_102809_16.07E Wild Horse Wind Expansionwrkingfile 4" xfId="9295"/>
    <cellStyle name="_Recon to Darrin's 5.11.05 proforma_(C) WHE Proforma with ITC cash grant 10 Yr Amort_for deferral_102809_16.07E Wild Horse Wind Expansionwrkingfile SF" xfId="9296"/>
    <cellStyle name="_Recon to Darrin's 5.11.05 proforma_(C) WHE Proforma with ITC cash grant 10 Yr Amort_for deferral_102809_16.07E Wild Horse Wind Expansionwrkingfile SF 2" xfId="9297"/>
    <cellStyle name="_Recon to Darrin's 5.11.05 proforma_(C) WHE Proforma with ITC cash grant 10 Yr Amort_for deferral_102809_16.07E Wild Horse Wind Expansionwrkingfile SF 2 2" xfId="9298"/>
    <cellStyle name="_Recon to Darrin's 5.11.05 proforma_(C) WHE Proforma with ITC cash grant 10 Yr Amort_for deferral_102809_16.07E Wild Horse Wind Expansionwrkingfile SF 3" xfId="9299"/>
    <cellStyle name="_Recon to Darrin's 5.11.05 proforma_(C) WHE Proforma with ITC cash grant 10 Yr Amort_for deferral_102809_16.07E Wild Horse Wind Expansionwrkingfile SF 3 2" xfId="9300"/>
    <cellStyle name="_Recon to Darrin's 5.11.05 proforma_(C) WHE Proforma with ITC cash grant 10 Yr Amort_for deferral_102809_16.07E Wild Horse Wind Expansionwrkingfile SF 4" xfId="9301"/>
    <cellStyle name="_Recon to Darrin's 5.11.05 proforma_(C) WHE Proforma with ITC cash grant 10 Yr Amort_for deferral_102809_16.07E Wild Horse Wind Expansionwrkingfile SF_DEM-WP(C) ENERG10C--ctn Mid-C_042010 2010GRC" xfId="9302"/>
    <cellStyle name="_Recon to Darrin's 5.11.05 proforma_(C) WHE Proforma with ITC cash grant 10 Yr Amort_for deferral_102809_16.07E Wild Horse Wind Expansionwrkingfile SF_DEM-WP(C) ENERG10C--ctn Mid-C_042010 2010GRC 2" xfId="9303"/>
    <cellStyle name="_Recon to Darrin's 5.11.05 proforma_(C) WHE Proforma with ITC cash grant 10 Yr Amort_for deferral_102809_16.07E Wild Horse Wind Expansionwrkingfile_DEM-WP(C) ENERG10C--ctn Mid-C_042010 2010GRC" xfId="9304"/>
    <cellStyle name="_Recon to Darrin's 5.11.05 proforma_(C) WHE Proforma with ITC cash grant 10 Yr Amort_for deferral_102809_16.07E Wild Horse Wind Expansionwrkingfile_DEM-WP(C) ENERG10C--ctn Mid-C_042010 2010GRC 2" xfId="9305"/>
    <cellStyle name="_Recon to Darrin's 5.11.05 proforma_(C) WHE Proforma with ITC cash grant 10 Yr Amort_for deferral_102809_16.37E Wild Horse Expansion DeferralRevwrkingfile SF" xfId="9306"/>
    <cellStyle name="_Recon to Darrin's 5.11.05 proforma_(C) WHE Proforma with ITC cash grant 10 Yr Amort_for deferral_102809_16.37E Wild Horse Expansion DeferralRevwrkingfile SF 2" xfId="9307"/>
    <cellStyle name="_Recon to Darrin's 5.11.05 proforma_(C) WHE Proforma with ITC cash grant 10 Yr Amort_for deferral_102809_16.37E Wild Horse Expansion DeferralRevwrkingfile SF 2 2" xfId="9308"/>
    <cellStyle name="_Recon to Darrin's 5.11.05 proforma_(C) WHE Proforma with ITC cash grant 10 Yr Amort_for deferral_102809_16.37E Wild Horse Expansion DeferralRevwrkingfile SF 3" xfId="9309"/>
    <cellStyle name="_Recon to Darrin's 5.11.05 proforma_(C) WHE Proforma with ITC cash grant 10 Yr Amort_for deferral_102809_16.37E Wild Horse Expansion DeferralRevwrkingfile SF 3 2" xfId="9310"/>
    <cellStyle name="_Recon to Darrin's 5.11.05 proforma_(C) WHE Proforma with ITC cash grant 10 Yr Amort_for deferral_102809_16.37E Wild Horse Expansion DeferralRevwrkingfile SF 4" xfId="9311"/>
    <cellStyle name="_Recon to Darrin's 5.11.05 proforma_(C) WHE Proforma with ITC cash grant 10 Yr Amort_for deferral_102809_16.37E Wild Horse Expansion DeferralRevwrkingfile SF_DEM-WP(C) ENERG10C--ctn Mid-C_042010 2010GRC" xfId="9312"/>
    <cellStyle name="_Recon to Darrin's 5.11.05 proforma_(C) WHE Proforma with ITC cash grant 10 Yr Amort_for deferral_102809_16.37E Wild Horse Expansion DeferralRevwrkingfile SF_DEM-WP(C) ENERG10C--ctn Mid-C_042010 2010GRC 2" xfId="9313"/>
    <cellStyle name="_Recon to Darrin's 5.11.05 proforma_(C) WHE Proforma with ITC cash grant 10 Yr Amort_for deferral_102809_DEM-WP(C) ENERG10C--ctn Mid-C_042010 2010GRC" xfId="9314"/>
    <cellStyle name="_Recon to Darrin's 5.11.05 proforma_(C) WHE Proforma with ITC cash grant 10 Yr Amort_for deferral_102809_DEM-WP(C) ENERG10C--ctn Mid-C_042010 2010GRC 2" xfId="9315"/>
    <cellStyle name="_Recon to Darrin's 5.11.05 proforma_(C) WHE Proforma with ITC cash grant 10 Yr Amort_for rebuttal_120709" xfId="9316"/>
    <cellStyle name="_Recon to Darrin's 5.11.05 proforma_(C) WHE Proforma with ITC cash grant 10 Yr Amort_for rebuttal_120709 2" xfId="9317"/>
    <cellStyle name="_Recon to Darrin's 5.11.05 proforma_(C) WHE Proforma with ITC cash grant 10 Yr Amort_for rebuttal_120709 2 2" xfId="9318"/>
    <cellStyle name="_Recon to Darrin's 5.11.05 proforma_(C) WHE Proforma with ITC cash grant 10 Yr Amort_for rebuttal_120709 3" xfId="9319"/>
    <cellStyle name="_Recon to Darrin's 5.11.05 proforma_(C) WHE Proforma with ITC cash grant 10 Yr Amort_for rebuttal_120709 3 2" xfId="9320"/>
    <cellStyle name="_Recon to Darrin's 5.11.05 proforma_(C) WHE Proforma with ITC cash grant 10 Yr Amort_for rebuttal_120709 4" xfId="9321"/>
    <cellStyle name="_Recon to Darrin's 5.11.05 proforma_(C) WHE Proforma with ITC cash grant 10 Yr Amort_for rebuttal_120709_DEM-WP(C) ENERG10C--ctn Mid-C_042010 2010GRC" xfId="9322"/>
    <cellStyle name="_Recon to Darrin's 5.11.05 proforma_(C) WHE Proforma with ITC cash grant 10 Yr Amort_for rebuttal_120709_DEM-WP(C) ENERG10C--ctn Mid-C_042010 2010GRC 2" xfId="9323"/>
    <cellStyle name="_Recon to Darrin's 5.11.05 proforma_04.07E Wild Horse Wind Expansion" xfId="9324"/>
    <cellStyle name="_Recon to Darrin's 5.11.05 proforma_04.07E Wild Horse Wind Expansion 2" xfId="9325"/>
    <cellStyle name="_Recon to Darrin's 5.11.05 proforma_04.07E Wild Horse Wind Expansion 2 2" xfId="9326"/>
    <cellStyle name="_Recon to Darrin's 5.11.05 proforma_04.07E Wild Horse Wind Expansion 3" xfId="9327"/>
    <cellStyle name="_Recon to Darrin's 5.11.05 proforma_04.07E Wild Horse Wind Expansion 3 2" xfId="9328"/>
    <cellStyle name="_Recon to Darrin's 5.11.05 proforma_04.07E Wild Horse Wind Expansion 4" xfId="9329"/>
    <cellStyle name="_Recon to Darrin's 5.11.05 proforma_04.07E Wild Horse Wind Expansion_16.07E Wild Horse Wind Expansionwrkingfile" xfId="9330"/>
    <cellStyle name="_Recon to Darrin's 5.11.05 proforma_04.07E Wild Horse Wind Expansion_16.07E Wild Horse Wind Expansionwrkingfile 2" xfId="9331"/>
    <cellStyle name="_Recon to Darrin's 5.11.05 proforma_04.07E Wild Horse Wind Expansion_16.07E Wild Horse Wind Expansionwrkingfile 2 2" xfId="9332"/>
    <cellStyle name="_Recon to Darrin's 5.11.05 proforma_04.07E Wild Horse Wind Expansion_16.07E Wild Horse Wind Expansionwrkingfile 3" xfId="9333"/>
    <cellStyle name="_Recon to Darrin's 5.11.05 proforma_04.07E Wild Horse Wind Expansion_16.07E Wild Horse Wind Expansionwrkingfile 3 2" xfId="9334"/>
    <cellStyle name="_Recon to Darrin's 5.11.05 proforma_04.07E Wild Horse Wind Expansion_16.07E Wild Horse Wind Expansionwrkingfile 4" xfId="9335"/>
    <cellStyle name="_Recon to Darrin's 5.11.05 proforma_04.07E Wild Horse Wind Expansion_16.07E Wild Horse Wind Expansionwrkingfile SF" xfId="9336"/>
    <cellStyle name="_Recon to Darrin's 5.11.05 proforma_04.07E Wild Horse Wind Expansion_16.07E Wild Horse Wind Expansionwrkingfile SF 2" xfId="9337"/>
    <cellStyle name="_Recon to Darrin's 5.11.05 proforma_04.07E Wild Horse Wind Expansion_16.07E Wild Horse Wind Expansionwrkingfile SF 2 2" xfId="9338"/>
    <cellStyle name="_Recon to Darrin's 5.11.05 proforma_04.07E Wild Horse Wind Expansion_16.07E Wild Horse Wind Expansionwrkingfile SF 3" xfId="9339"/>
    <cellStyle name="_Recon to Darrin's 5.11.05 proforma_04.07E Wild Horse Wind Expansion_16.07E Wild Horse Wind Expansionwrkingfile SF 3 2" xfId="9340"/>
    <cellStyle name="_Recon to Darrin's 5.11.05 proforma_04.07E Wild Horse Wind Expansion_16.07E Wild Horse Wind Expansionwrkingfile SF 4" xfId="9341"/>
    <cellStyle name="_Recon to Darrin's 5.11.05 proforma_04.07E Wild Horse Wind Expansion_16.07E Wild Horse Wind Expansionwrkingfile SF_DEM-WP(C) ENERG10C--ctn Mid-C_042010 2010GRC" xfId="9342"/>
    <cellStyle name="_Recon to Darrin's 5.11.05 proforma_04.07E Wild Horse Wind Expansion_16.07E Wild Horse Wind Expansionwrkingfile SF_DEM-WP(C) ENERG10C--ctn Mid-C_042010 2010GRC 2" xfId="9343"/>
    <cellStyle name="_Recon to Darrin's 5.11.05 proforma_04.07E Wild Horse Wind Expansion_16.07E Wild Horse Wind Expansionwrkingfile_DEM-WP(C) ENERG10C--ctn Mid-C_042010 2010GRC" xfId="9344"/>
    <cellStyle name="_Recon to Darrin's 5.11.05 proforma_04.07E Wild Horse Wind Expansion_16.07E Wild Horse Wind Expansionwrkingfile_DEM-WP(C) ENERG10C--ctn Mid-C_042010 2010GRC 2" xfId="9345"/>
    <cellStyle name="_Recon to Darrin's 5.11.05 proforma_04.07E Wild Horse Wind Expansion_16.37E Wild Horse Expansion DeferralRevwrkingfile SF" xfId="9346"/>
    <cellStyle name="_Recon to Darrin's 5.11.05 proforma_04.07E Wild Horse Wind Expansion_16.37E Wild Horse Expansion DeferralRevwrkingfile SF 2" xfId="9347"/>
    <cellStyle name="_Recon to Darrin's 5.11.05 proforma_04.07E Wild Horse Wind Expansion_16.37E Wild Horse Expansion DeferralRevwrkingfile SF 2 2" xfId="9348"/>
    <cellStyle name="_Recon to Darrin's 5.11.05 proforma_04.07E Wild Horse Wind Expansion_16.37E Wild Horse Expansion DeferralRevwrkingfile SF 3" xfId="9349"/>
    <cellStyle name="_Recon to Darrin's 5.11.05 proforma_04.07E Wild Horse Wind Expansion_16.37E Wild Horse Expansion DeferralRevwrkingfile SF 3 2" xfId="9350"/>
    <cellStyle name="_Recon to Darrin's 5.11.05 proforma_04.07E Wild Horse Wind Expansion_16.37E Wild Horse Expansion DeferralRevwrkingfile SF 4" xfId="9351"/>
    <cellStyle name="_Recon to Darrin's 5.11.05 proforma_04.07E Wild Horse Wind Expansion_16.37E Wild Horse Expansion DeferralRevwrkingfile SF_DEM-WP(C) ENERG10C--ctn Mid-C_042010 2010GRC" xfId="9352"/>
    <cellStyle name="_Recon to Darrin's 5.11.05 proforma_04.07E Wild Horse Wind Expansion_16.37E Wild Horse Expansion DeferralRevwrkingfile SF_DEM-WP(C) ENERG10C--ctn Mid-C_042010 2010GRC 2" xfId="9353"/>
    <cellStyle name="_Recon to Darrin's 5.11.05 proforma_04.07E Wild Horse Wind Expansion_DEM-WP(C) ENERG10C--ctn Mid-C_042010 2010GRC" xfId="9354"/>
    <cellStyle name="_Recon to Darrin's 5.11.05 proforma_04.07E Wild Horse Wind Expansion_DEM-WP(C) ENERG10C--ctn Mid-C_042010 2010GRC 2" xfId="9355"/>
    <cellStyle name="_Recon to Darrin's 5.11.05 proforma_16.07E Wild Horse Wind Expansionwrkingfile" xfId="9356"/>
    <cellStyle name="_Recon to Darrin's 5.11.05 proforma_16.07E Wild Horse Wind Expansionwrkingfile 2" xfId="9357"/>
    <cellStyle name="_Recon to Darrin's 5.11.05 proforma_16.07E Wild Horse Wind Expansionwrkingfile 2 2" xfId="9358"/>
    <cellStyle name="_Recon to Darrin's 5.11.05 proforma_16.07E Wild Horse Wind Expansionwrkingfile 3" xfId="9359"/>
    <cellStyle name="_Recon to Darrin's 5.11.05 proforma_16.07E Wild Horse Wind Expansionwrkingfile 3 2" xfId="9360"/>
    <cellStyle name="_Recon to Darrin's 5.11.05 proforma_16.07E Wild Horse Wind Expansionwrkingfile 4" xfId="9361"/>
    <cellStyle name="_Recon to Darrin's 5.11.05 proforma_16.07E Wild Horse Wind Expansionwrkingfile SF" xfId="9362"/>
    <cellStyle name="_Recon to Darrin's 5.11.05 proforma_16.07E Wild Horse Wind Expansionwrkingfile SF 2" xfId="9363"/>
    <cellStyle name="_Recon to Darrin's 5.11.05 proforma_16.07E Wild Horse Wind Expansionwrkingfile SF 2 2" xfId="9364"/>
    <cellStyle name="_Recon to Darrin's 5.11.05 proforma_16.07E Wild Horse Wind Expansionwrkingfile SF 3" xfId="9365"/>
    <cellStyle name="_Recon to Darrin's 5.11.05 proforma_16.07E Wild Horse Wind Expansionwrkingfile SF 3 2" xfId="9366"/>
    <cellStyle name="_Recon to Darrin's 5.11.05 proforma_16.07E Wild Horse Wind Expansionwrkingfile SF 4" xfId="9367"/>
    <cellStyle name="_Recon to Darrin's 5.11.05 proforma_16.07E Wild Horse Wind Expansionwrkingfile SF_DEM-WP(C) ENERG10C--ctn Mid-C_042010 2010GRC" xfId="9368"/>
    <cellStyle name="_Recon to Darrin's 5.11.05 proforma_16.07E Wild Horse Wind Expansionwrkingfile SF_DEM-WP(C) ENERG10C--ctn Mid-C_042010 2010GRC 2" xfId="9369"/>
    <cellStyle name="_Recon to Darrin's 5.11.05 proforma_16.07E Wild Horse Wind Expansionwrkingfile_DEM-WP(C) ENERG10C--ctn Mid-C_042010 2010GRC" xfId="9370"/>
    <cellStyle name="_Recon to Darrin's 5.11.05 proforma_16.07E Wild Horse Wind Expansionwrkingfile_DEM-WP(C) ENERG10C--ctn Mid-C_042010 2010GRC 2" xfId="9371"/>
    <cellStyle name="_Recon to Darrin's 5.11.05 proforma_16.37E Wild Horse Expansion DeferralRevwrkingfile SF" xfId="9372"/>
    <cellStyle name="_Recon to Darrin's 5.11.05 proforma_16.37E Wild Horse Expansion DeferralRevwrkingfile SF 2" xfId="9373"/>
    <cellStyle name="_Recon to Darrin's 5.11.05 proforma_16.37E Wild Horse Expansion DeferralRevwrkingfile SF 2 2" xfId="9374"/>
    <cellStyle name="_Recon to Darrin's 5.11.05 proforma_16.37E Wild Horse Expansion DeferralRevwrkingfile SF 3" xfId="9375"/>
    <cellStyle name="_Recon to Darrin's 5.11.05 proforma_16.37E Wild Horse Expansion DeferralRevwrkingfile SF 3 2" xfId="9376"/>
    <cellStyle name="_Recon to Darrin's 5.11.05 proforma_16.37E Wild Horse Expansion DeferralRevwrkingfile SF 4" xfId="9377"/>
    <cellStyle name="_Recon to Darrin's 5.11.05 proforma_16.37E Wild Horse Expansion DeferralRevwrkingfile SF_DEM-WP(C) ENERG10C--ctn Mid-C_042010 2010GRC" xfId="9378"/>
    <cellStyle name="_Recon to Darrin's 5.11.05 proforma_16.37E Wild Horse Expansion DeferralRevwrkingfile SF_DEM-WP(C) ENERG10C--ctn Mid-C_042010 2010GRC 2" xfId="9379"/>
    <cellStyle name="_Recon to Darrin's 5.11.05 proforma_2009 Compliance Filing PCA Exhibits for GRC" xfId="9380"/>
    <cellStyle name="_Recon to Darrin's 5.11.05 proforma_2009 Compliance Filing PCA Exhibits for GRC 2" xfId="9381"/>
    <cellStyle name="_Recon to Darrin's 5.11.05 proforma_2009 Compliance Filing PCA Exhibits for GRC 2 2" xfId="9382"/>
    <cellStyle name="_Recon to Darrin's 5.11.05 proforma_2009 Compliance Filing PCA Exhibits for GRC 3" xfId="9383"/>
    <cellStyle name="_Recon to Darrin's 5.11.05 proforma_2009 GRC Compl Filing - Exhibit D" xfId="9384"/>
    <cellStyle name="_Recon to Darrin's 5.11.05 proforma_2009 GRC Compl Filing - Exhibit D 2" xfId="9385"/>
    <cellStyle name="_Recon to Darrin's 5.11.05 proforma_2009 GRC Compl Filing - Exhibit D 2 2" xfId="9386"/>
    <cellStyle name="_Recon to Darrin's 5.11.05 proforma_2009 GRC Compl Filing - Exhibit D 3" xfId="9387"/>
    <cellStyle name="_Recon to Darrin's 5.11.05 proforma_2009 GRC Compl Filing - Exhibit D 3 2" xfId="9388"/>
    <cellStyle name="_Recon to Darrin's 5.11.05 proforma_2009 GRC Compl Filing - Exhibit D 4" xfId="9389"/>
    <cellStyle name="_Recon to Darrin's 5.11.05 proforma_2009 GRC Compl Filing - Exhibit D_DEM-WP(C) ENERG10C--ctn Mid-C_042010 2010GRC" xfId="9390"/>
    <cellStyle name="_Recon to Darrin's 5.11.05 proforma_2009 GRC Compl Filing - Exhibit D_DEM-WP(C) ENERG10C--ctn Mid-C_042010 2010GRC 2" xfId="9391"/>
    <cellStyle name="_Recon to Darrin's 5.11.05 proforma_3.01 Income Statement" xfId="9392"/>
    <cellStyle name="_Recon to Darrin's 5.11.05 proforma_4 31 Regulatory Assets and Liabilities  7 06- Exhibit D" xfId="9393"/>
    <cellStyle name="_Recon to Darrin's 5.11.05 proforma_4 31 Regulatory Assets and Liabilities  7 06- Exhibit D 2" xfId="9394"/>
    <cellStyle name="_Recon to Darrin's 5.11.05 proforma_4 31 Regulatory Assets and Liabilities  7 06- Exhibit D 2 2" xfId="9395"/>
    <cellStyle name="_Recon to Darrin's 5.11.05 proforma_4 31 Regulatory Assets and Liabilities  7 06- Exhibit D 2 2 2" xfId="9396"/>
    <cellStyle name="_Recon to Darrin's 5.11.05 proforma_4 31 Regulatory Assets and Liabilities  7 06- Exhibit D 2 3" xfId="9397"/>
    <cellStyle name="_Recon to Darrin's 5.11.05 proforma_4 31 Regulatory Assets and Liabilities  7 06- Exhibit D 3" xfId="9398"/>
    <cellStyle name="_Recon to Darrin's 5.11.05 proforma_4 31 Regulatory Assets and Liabilities  7 06- Exhibit D 3 2" xfId="9399"/>
    <cellStyle name="_Recon to Darrin's 5.11.05 proforma_4 31 Regulatory Assets and Liabilities  7 06- Exhibit D 4" xfId="9400"/>
    <cellStyle name="_Recon to Darrin's 5.11.05 proforma_4 31 Regulatory Assets and Liabilities  7 06- Exhibit D_DEM-WP(C) ENERG10C--ctn Mid-C_042010 2010GRC" xfId="9401"/>
    <cellStyle name="_Recon to Darrin's 5.11.05 proforma_4 31 Regulatory Assets and Liabilities  7 06- Exhibit D_DEM-WP(C) ENERG10C--ctn Mid-C_042010 2010GRC 2" xfId="9402"/>
    <cellStyle name="_Recon to Darrin's 5.11.05 proforma_4 31 Regulatory Assets and Liabilities  7 06- Exhibit D_NIM Summary" xfId="9403"/>
    <cellStyle name="_Recon to Darrin's 5.11.05 proforma_4 31 Regulatory Assets and Liabilities  7 06- Exhibit D_NIM Summary 2" xfId="9404"/>
    <cellStyle name="_Recon to Darrin's 5.11.05 proforma_4 31 Regulatory Assets and Liabilities  7 06- Exhibit D_NIM Summary 2 2" xfId="9405"/>
    <cellStyle name="_Recon to Darrin's 5.11.05 proforma_4 31 Regulatory Assets and Liabilities  7 06- Exhibit D_NIM Summary 3" xfId="9406"/>
    <cellStyle name="_Recon to Darrin's 5.11.05 proforma_4 31 Regulatory Assets and Liabilities  7 06- Exhibit D_NIM Summary 3 2" xfId="9407"/>
    <cellStyle name="_Recon to Darrin's 5.11.05 proforma_4 31 Regulatory Assets and Liabilities  7 06- Exhibit D_NIM Summary 4" xfId="9408"/>
    <cellStyle name="_Recon to Darrin's 5.11.05 proforma_4 31 Regulatory Assets and Liabilities  7 06- Exhibit D_NIM Summary_DEM-WP(C) ENERG10C--ctn Mid-C_042010 2010GRC" xfId="9409"/>
    <cellStyle name="_Recon to Darrin's 5.11.05 proforma_4 31 Regulatory Assets and Liabilities  7 06- Exhibit D_NIM Summary_DEM-WP(C) ENERG10C--ctn Mid-C_042010 2010GRC 2" xfId="9410"/>
    <cellStyle name="_Recon to Darrin's 5.11.05 proforma_4 31 Regulatory Assets and Liabilities  7 06- Exhibit D_NIM+O&amp;M" xfId="9411"/>
    <cellStyle name="_Recon to Darrin's 5.11.05 proforma_4 31 Regulatory Assets and Liabilities  7 06- Exhibit D_NIM+O&amp;M 2" xfId="9412"/>
    <cellStyle name="_Recon to Darrin's 5.11.05 proforma_4 31 Regulatory Assets and Liabilities  7 06- Exhibit D_NIM+O&amp;M Monthly" xfId="9413"/>
    <cellStyle name="_Recon to Darrin's 5.11.05 proforma_4 31 Regulatory Assets and Liabilities  7 06- Exhibit D_NIM+O&amp;M Monthly 2" xfId="9414"/>
    <cellStyle name="_Recon to Darrin's 5.11.05 proforma_4 31E Reg Asset  Liab and EXH D" xfId="9415"/>
    <cellStyle name="_Recon to Darrin's 5.11.05 proforma_4 31E Reg Asset  Liab and EXH D _ Aug 10 Filing (2)" xfId="9416"/>
    <cellStyle name="_Recon to Darrin's 5.11.05 proforma_4 31E Reg Asset  Liab and EXH D _ Aug 10 Filing (2) 2" xfId="9417"/>
    <cellStyle name="_Recon to Darrin's 5.11.05 proforma_4 31E Reg Asset  Liab and EXH D 2" xfId="9418"/>
    <cellStyle name="_Recon to Darrin's 5.11.05 proforma_4 31E Reg Asset  Liab and EXH D 3" xfId="9419"/>
    <cellStyle name="_Recon to Darrin's 5.11.05 proforma_4 32 Regulatory Assets and Liabilities  7 06- Exhibit D" xfId="9420"/>
    <cellStyle name="_Recon to Darrin's 5.11.05 proforma_4 32 Regulatory Assets and Liabilities  7 06- Exhibit D 2" xfId="9421"/>
    <cellStyle name="_Recon to Darrin's 5.11.05 proforma_4 32 Regulatory Assets and Liabilities  7 06- Exhibit D 2 2" xfId="9422"/>
    <cellStyle name="_Recon to Darrin's 5.11.05 proforma_4 32 Regulatory Assets and Liabilities  7 06- Exhibit D 2 2 2" xfId="9423"/>
    <cellStyle name="_Recon to Darrin's 5.11.05 proforma_4 32 Regulatory Assets and Liabilities  7 06- Exhibit D 2 3" xfId="9424"/>
    <cellStyle name="_Recon to Darrin's 5.11.05 proforma_4 32 Regulatory Assets and Liabilities  7 06- Exhibit D 3" xfId="9425"/>
    <cellStyle name="_Recon to Darrin's 5.11.05 proforma_4 32 Regulatory Assets and Liabilities  7 06- Exhibit D 3 2" xfId="9426"/>
    <cellStyle name="_Recon to Darrin's 5.11.05 proforma_4 32 Regulatory Assets and Liabilities  7 06- Exhibit D 4" xfId="9427"/>
    <cellStyle name="_Recon to Darrin's 5.11.05 proforma_4 32 Regulatory Assets and Liabilities  7 06- Exhibit D_DEM-WP(C) ENERG10C--ctn Mid-C_042010 2010GRC" xfId="9428"/>
    <cellStyle name="_Recon to Darrin's 5.11.05 proforma_4 32 Regulatory Assets and Liabilities  7 06- Exhibit D_DEM-WP(C) ENERG10C--ctn Mid-C_042010 2010GRC 2" xfId="9429"/>
    <cellStyle name="_Recon to Darrin's 5.11.05 proforma_4 32 Regulatory Assets and Liabilities  7 06- Exhibit D_NIM Summary" xfId="9430"/>
    <cellStyle name="_Recon to Darrin's 5.11.05 proforma_4 32 Regulatory Assets and Liabilities  7 06- Exhibit D_NIM Summary 2" xfId="9431"/>
    <cellStyle name="_Recon to Darrin's 5.11.05 proforma_4 32 Regulatory Assets and Liabilities  7 06- Exhibit D_NIM Summary 2 2" xfId="9432"/>
    <cellStyle name="_Recon to Darrin's 5.11.05 proforma_4 32 Regulatory Assets and Liabilities  7 06- Exhibit D_NIM Summary 3" xfId="9433"/>
    <cellStyle name="_Recon to Darrin's 5.11.05 proforma_4 32 Regulatory Assets and Liabilities  7 06- Exhibit D_NIM Summary 3 2" xfId="9434"/>
    <cellStyle name="_Recon to Darrin's 5.11.05 proforma_4 32 Regulatory Assets and Liabilities  7 06- Exhibit D_NIM Summary 4" xfId="9435"/>
    <cellStyle name="_Recon to Darrin's 5.11.05 proforma_4 32 Regulatory Assets and Liabilities  7 06- Exhibit D_NIM Summary_DEM-WP(C) ENERG10C--ctn Mid-C_042010 2010GRC" xfId="9436"/>
    <cellStyle name="_Recon to Darrin's 5.11.05 proforma_4 32 Regulatory Assets and Liabilities  7 06- Exhibit D_NIM Summary_DEM-WP(C) ENERG10C--ctn Mid-C_042010 2010GRC 2" xfId="9437"/>
    <cellStyle name="_Recon to Darrin's 5.11.05 proforma_4 32 Regulatory Assets and Liabilities  7 06- Exhibit D_NIM+O&amp;M" xfId="9438"/>
    <cellStyle name="_Recon to Darrin's 5.11.05 proforma_4 32 Regulatory Assets and Liabilities  7 06- Exhibit D_NIM+O&amp;M 2" xfId="9439"/>
    <cellStyle name="_Recon to Darrin's 5.11.05 proforma_4 32 Regulatory Assets and Liabilities  7 06- Exhibit D_NIM+O&amp;M Monthly" xfId="9440"/>
    <cellStyle name="_Recon to Darrin's 5.11.05 proforma_4 32 Regulatory Assets and Liabilities  7 06- Exhibit D_NIM+O&amp;M Monthly 2" xfId="9441"/>
    <cellStyle name="_Recon to Darrin's 5.11.05 proforma_AURORA Total New" xfId="9442"/>
    <cellStyle name="_Recon to Darrin's 5.11.05 proforma_AURORA Total New 2" xfId="9443"/>
    <cellStyle name="_Recon to Darrin's 5.11.05 proforma_AURORA Total New 2 2" xfId="9444"/>
    <cellStyle name="_Recon to Darrin's 5.11.05 proforma_AURORA Total New 3" xfId="9445"/>
    <cellStyle name="_Recon to Darrin's 5.11.05 proforma_Book2" xfId="9446"/>
    <cellStyle name="_Recon to Darrin's 5.11.05 proforma_Book2 2" xfId="9447"/>
    <cellStyle name="_Recon to Darrin's 5.11.05 proforma_Book2 2 2" xfId="9448"/>
    <cellStyle name="_Recon to Darrin's 5.11.05 proforma_Book2 3" xfId="9449"/>
    <cellStyle name="_Recon to Darrin's 5.11.05 proforma_Book2 3 2" xfId="9450"/>
    <cellStyle name="_Recon to Darrin's 5.11.05 proforma_Book2 4" xfId="9451"/>
    <cellStyle name="_Recon to Darrin's 5.11.05 proforma_Book2_Adj Bench DR 3 for Initial Briefs (Electric)" xfId="9452"/>
    <cellStyle name="_Recon to Darrin's 5.11.05 proforma_Book2_Adj Bench DR 3 for Initial Briefs (Electric) 2" xfId="9453"/>
    <cellStyle name="_Recon to Darrin's 5.11.05 proforma_Book2_Adj Bench DR 3 for Initial Briefs (Electric) 2 2" xfId="9454"/>
    <cellStyle name="_Recon to Darrin's 5.11.05 proforma_Book2_Adj Bench DR 3 for Initial Briefs (Electric) 3" xfId="9455"/>
    <cellStyle name="_Recon to Darrin's 5.11.05 proforma_Book2_Adj Bench DR 3 for Initial Briefs (Electric) 3 2" xfId="9456"/>
    <cellStyle name="_Recon to Darrin's 5.11.05 proforma_Book2_Adj Bench DR 3 for Initial Briefs (Electric) 4" xfId="9457"/>
    <cellStyle name="_Recon to Darrin's 5.11.05 proforma_Book2_Adj Bench DR 3 for Initial Briefs (Electric)_DEM-WP(C) ENERG10C--ctn Mid-C_042010 2010GRC" xfId="9458"/>
    <cellStyle name="_Recon to Darrin's 5.11.05 proforma_Book2_Adj Bench DR 3 for Initial Briefs (Electric)_DEM-WP(C) ENERG10C--ctn Mid-C_042010 2010GRC 2" xfId="9459"/>
    <cellStyle name="_Recon to Darrin's 5.11.05 proforma_Book2_DEM-WP(C) ENERG10C--ctn Mid-C_042010 2010GRC" xfId="9460"/>
    <cellStyle name="_Recon to Darrin's 5.11.05 proforma_Book2_DEM-WP(C) ENERG10C--ctn Mid-C_042010 2010GRC 2" xfId="9461"/>
    <cellStyle name="_Recon to Darrin's 5.11.05 proforma_Book2_Electric Rev Req Model (2009 GRC) Rebuttal" xfId="9462"/>
    <cellStyle name="_Recon to Darrin's 5.11.05 proforma_Book2_Electric Rev Req Model (2009 GRC) Rebuttal 2" xfId="9463"/>
    <cellStyle name="_Recon to Darrin's 5.11.05 proforma_Book2_Electric Rev Req Model (2009 GRC) Rebuttal 2 2" xfId="9464"/>
    <cellStyle name="_Recon to Darrin's 5.11.05 proforma_Book2_Electric Rev Req Model (2009 GRC) Rebuttal 3" xfId="9465"/>
    <cellStyle name="_Recon to Darrin's 5.11.05 proforma_Book2_Electric Rev Req Model (2009 GRC) Rebuttal REmoval of New  WH Solar AdjustMI" xfId="9466"/>
    <cellStyle name="_Recon to Darrin's 5.11.05 proforma_Book2_Electric Rev Req Model (2009 GRC) Rebuttal REmoval of New  WH Solar AdjustMI 2" xfId="9467"/>
    <cellStyle name="_Recon to Darrin's 5.11.05 proforma_Book2_Electric Rev Req Model (2009 GRC) Rebuttal REmoval of New  WH Solar AdjustMI 2 2" xfId="9468"/>
    <cellStyle name="_Recon to Darrin's 5.11.05 proforma_Book2_Electric Rev Req Model (2009 GRC) Rebuttal REmoval of New  WH Solar AdjustMI 3" xfId="9469"/>
    <cellStyle name="_Recon to Darrin's 5.11.05 proforma_Book2_Electric Rev Req Model (2009 GRC) Rebuttal REmoval of New  WH Solar AdjustMI 3 2" xfId="9470"/>
    <cellStyle name="_Recon to Darrin's 5.11.05 proforma_Book2_Electric Rev Req Model (2009 GRC) Rebuttal REmoval of New  WH Solar AdjustMI 4" xfId="9471"/>
    <cellStyle name="_Recon to Darrin's 5.11.05 proforma_Book2_Electric Rev Req Model (2009 GRC) Rebuttal REmoval of New  WH Solar AdjustMI_DEM-WP(C) ENERG10C--ctn Mid-C_042010 2010GRC" xfId="9472"/>
    <cellStyle name="_Recon to Darrin's 5.11.05 proforma_Book2_Electric Rev Req Model (2009 GRC) Rebuttal REmoval of New  WH Solar AdjustMI_DEM-WP(C) ENERG10C--ctn Mid-C_042010 2010GRC 2" xfId="9473"/>
    <cellStyle name="_Recon to Darrin's 5.11.05 proforma_Book2_Electric Rev Req Model (2009 GRC) Revised 01-18-2010" xfId="9474"/>
    <cellStyle name="_Recon to Darrin's 5.11.05 proforma_Book2_Electric Rev Req Model (2009 GRC) Revised 01-18-2010 2" xfId="9475"/>
    <cellStyle name="_Recon to Darrin's 5.11.05 proforma_Book2_Electric Rev Req Model (2009 GRC) Revised 01-18-2010 2 2" xfId="9476"/>
    <cellStyle name="_Recon to Darrin's 5.11.05 proforma_Book2_Electric Rev Req Model (2009 GRC) Revised 01-18-2010 3" xfId="9477"/>
    <cellStyle name="_Recon to Darrin's 5.11.05 proforma_Book2_Electric Rev Req Model (2009 GRC) Revised 01-18-2010 3 2" xfId="9478"/>
    <cellStyle name="_Recon to Darrin's 5.11.05 proforma_Book2_Electric Rev Req Model (2009 GRC) Revised 01-18-2010 4" xfId="9479"/>
    <cellStyle name="_Recon to Darrin's 5.11.05 proforma_Book2_Electric Rev Req Model (2009 GRC) Revised 01-18-2010_DEM-WP(C) ENERG10C--ctn Mid-C_042010 2010GRC" xfId="9480"/>
    <cellStyle name="_Recon to Darrin's 5.11.05 proforma_Book2_Electric Rev Req Model (2009 GRC) Revised 01-18-2010_DEM-WP(C) ENERG10C--ctn Mid-C_042010 2010GRC 2" xfId="9481"/>
    <cellStyle name="_Recon to Darrin's 5.11.05 proforma_Book2_Final Order Electric EXHIBIT A-1" xfId="9482"/>
    <cellStyle name="_Recon to Darrin's 5.11.05 proforma_Book2_Final Order Electric EXHIBIT A-1 2" xfId="9483"/>
    <cellStyle name="_Recon to Darrin's 5.11.05 proforma_Book2_Final Order Electric EXHIBIT A-1 2 2" xfId="9484"/>
    <cellStyle name="_Recon to Darrin's 5.11.05 proforma_Book2_Final Order Electric EXHIBIT A-1 3" xfId="9485"/>
    <cellStyle name="_Recon to Darrin's 5.11.05 proforma_Book4" xfId="9486"/>
    <cellStyle name="_Recon to Darrin's 5.11.05 proforma_Book4 2" xfId="9487"/>
    <cellStyle name="_Recon to Darrin's 5.11.05 proforma_Book4 2 2" xfId="9488"/>
    <cellStyle name="_Recon to Darrin's 5.11.05 proforma_Book4 3" xfId="9489"/>
    <cellStyle name="_Recon to Darrin's 5.11.05 proforma_Book4 3 2" xfId="9490"/>
    <cellStyle name="_Recon to Darrin's 5.11.05 proforma_Book4 4" xfId="9491"/>
    <cellStyle name="_Recon to Darrin's 5.11.05 proforma_Book4_DEM-WP(C) ENERG10C--ctn Mid-C_042010 2010GRC" xfId="9492"/>
    <cellStyle name="_Recon to Darrin's 5.11.05 proforma_Book4_DEM-WP(C) ENERG10C--ctn Mid-C_042010 2010GRC 2" xfId="9493"/>
    <cellStyle name="_Recon to Darrin's 5.11.05 proforma_Book9" xfId="9494"/>
    <cellStyle name="_Recon to Darrin's 5.11.05 proforma_Book9 2" xfId="9495"/>
    <cellStyle name="_Recon to Darrin's 5.11.05 proforma_Book9 2 2" xfId="9496"/>
    <cellStyle name="_Recon to Darrin's 5.11.05 proforma_Book9 3" xfId="9497"/>
    <cellStyle name="_Recon to Darrin's 5.11.05 proforma_Book9 3 2" xfId="9498"/>
    <cellStyle name="_Recon to Darrin's 5.11.05 proforma_Book9 4" xfId="9499"/>
    <cellStyle name="_Recon to Darrin's 5.11.05 proforma_Book9_DEM-WP(C) ENERG10C--ctn Mid-C_042010 2010GRC" xfId="9500"/>
    <cellStyle name="_Recon to Darrin's 5.11.05 proforma_Book9_DEM-WP(C) ENERG10C--ctn Mid-C_042010 2010GRC 2" xfId="9501"/>
    <cellStyle name="_Recon to Darrin's 5.11.05 proforma_Check the Interest Calculation" xfId="9502"/>
    <cellStyle name="_Recon to Darrin's 5.11.05 proforma_Check the Interest Calculation 2" xfId="9503"/>
    <cellStyle name="_Recon to Darrin's 5.11.05 proforma_Check the Interest Calculation_Scenario 1 REC vs PTC Offset" xfId="9504"/>
    <cellStyle name="_Recon to Darrin's 5.11.05 proforma_Check the Interest Calculation_Scenario 1 REC vs PTC Offset 2" xfId="9505"/>
    <cellStyle name="_Recon to Darrin's 5.11.05 proforma_Check the Interest Calculation_Scenario 3" xfId="9506"/>
    <cellStyle name="_Recon to Darrin's 5.11.05 proforma_Check the Interest Calculation_Scenario 3 2" xfId="9507"/>
    <cellStyle name="_Recon to Darrin's 5.11.05 proforma_Chelan PUD Power Costs (8-10)" xfId="9508"/>
    <cellStyle name="_Recon to Darrin's 5.11.05 proforma_Chelan PUD Power Costs (8-10) 2" xfId="9509"/>
    <cellStyle name="_Recon to Darrin's 5.11.05 proforma_DEM-WP(C) Chelan Power Costs" xfId="9510"/>
    <cellStyle name="_Recon to Darrin's 5.11.05 proforma_DEM-WP(C) Chelan Power Costs 2" xfId="9511"/>
    <cellStyle name="_Recon to Darrin's 5.11.05 proforma_DEM-WP(C) ENERG10C--ctn Mid-C_042010 2010GRC" xfId="9512"/>
    <cellStyle name="_Recon to Darrin's 5.11.05 proforma_DEM-WP(C) ENERG10C--ctn Mid-C_042010 2010GRC 2" xfId="9513"/>
    <cellStyle name="_Recon to Darrin's 5.11.05 proforma_DEM-WP(C) Gas Transport 2010GRC" xfId="9514"/>
    <cellStyle name="_Recon to Darrin's 5.11.05 proforma_DEM-WP(C) Gas Transport 2010GRC 2" xfId="9515"/>
    <cellStyle name="_Recon to Darrin's 5.11.05 proforma_Exh A-1 resulting from UE-112050 effective Jan 1 2012" xfId="9516"/>
    <cellStyle name="_Recon to Darrin's 5.11.05 proforma_Exh A-1 resulting from UE-112050 effective Jan 1 2012 2" xfId="9517"/>
    <cellStyle name="_Recon to Darrin's 5.11.05 proforma_Exhibit A-1 effective 4-1-11 fr S Free 12-11" xfId="9518"/>
    <cellStyle name="_Recon to Darrin's 5.11.05 proforma_Exhibit A-1 effective 4-1-11 fr S Free 12-11 2" xfId="9519"/>
    <cellStyle name="_Recon to Darrin's 5.11.05 proforma_Exhibit D fr R Gho 12-31-08" xfId="9520"/>
    <cellStyle name="_Recon to Darrin's 5.11.05 proforma_Exhibit D fr R Gho 12-31-08 2" xfId="9521"/>
    <cellStyle name="_Recon to Darrin's 5.11.05 proforma_Exhibit D fr R Gho 12-31-08 2 2" xfId="9522"/>
    <cellStyle name="_Recon to Darrin's 5.11.05 proforma_Exhibit D fr R Gho 12-31-08 3" xfId="9523"/>
    <cellStyle name="_Recon to Darrin's 5.11.05 proforma_Exhibit D fr R Gho 12-31-08 3 2" xfId="9524"/>
    <cellStyle name="_Recon to Darrin's 5.11.05 proforma_Exhibit D fr R Gho 12-31-08 4" xfId="9525"/>
    <cellStyle name="_Recon to Darrin's 5.11.05 proforma_Exhibit D fr R Gho 12-31-08 v2" xfId="9526"/>
    <cellStyle name="_Recon to Darrin's 5.11.05 proforma_Exhibit D fr R Gho 12-31-08 v2 2" xfId="9527"/>
    <cellStyle name="_Recon to Darrin's 5.11.05 proforma_Exhibit D fr R Gho 12-31-08 v2 2 2" xfId="9528"/>
    <cellStyle name="_Recon to Darrin's 5.11.05 proforma_Exhibit D fr R Gho 12-31-08 v2 3" xfId="9529"/>
    <cellStyle name="_Recon to Darrin's 5.11.05 proforma_Exhibit D fr R Gho 12-31-08 v2 3 2" xfId="9530"/>
    <cellStyle name="_Recon to Darrin's 5.11.05 proforma_Exhibit D fr R Gho 12-31-08 v2 4" xfId="9531"/>
    <cellStyle name="_Recon to Darrin's 5.11.05 proforma_Exhibit D fr R Gho 12-31-08 v2_DEM-WP(C) ENERG10C--ctn Mid-C_042010 2010GRC" xfId="9532"/>
    <cellStyle name="_Recon to Darrin's 5.11.05 proforma_Exhibit D fr R Gho 12-31-08 v2_DEM-WP(C) ENERG10C--ctn Mid-C_042010 2010GRC 2" xfId="9533"/>
    <cellStyle name="_Recon to Darrin's 5.11.05 proforma_Exhibit D fr R Gho 12-31-08 v2_NIM Summary" xfId="9534"/>
    <cellStyle name="_Recon to Darrin's 5.11.05 proforma_Exhibit D fr R Gho 12-31-08 v2_NIM Summary 2" xfId="9535"/>
    <cellStyle name="_Recon to Darrin's 5.11.05 proforma_Exhibit D fr R Gho 12-31-08 v2_NIM Summary 2 2" xfId="9536"/>
    <cellStyle name="_Recon to Darrin's 5.11.05 proforma_Exhibit D fr R Gho 12-31-08 v2_NIM Summary 3" xfId="9537"/>
    <cellStyle name="_Recon to Darrin's 5.11.05 proforma_Exhibit D fr R Gho 12-31-08 v2_NIM Summary 3 2" xfId="9538"/>
    <cellStyle name="_Recon to Darrin's 5.11.05 proforma_Exhibit D fr R Gho 12-31-08 v2_NIM Summary 4" xfId="9539"/>
    <cellStyle name="_Recon to Darrin's 5.11.05 proforma_Exhibit D fr R Gho 12-31-08 v2_NIM Summary_DEM-WP(C) ENERG10C--ctn Mid-C_042010 2010GRC" xfId="9540"/>
    <cellStyle name="_Recon to Darrin's 5.11.05 proforma_Exhibit D fr R Gho 12-31-08 v2_NIM Summary_DEM-WP(C) ENERG10C--ctn Mid-C_042010 2010GRC 2" xfId="9541"/>
    <cellStyle name="_Recon to Darrin's 5.11.05 proforma_Exhibit D fr R Gho 12-31-08_DEM-WP(C) ENERG10C--ctn Mid-C_042010 2010GRC" xfId="9542"/>
    <cellStyle name="_Recon to Darrin's 5.11.05 proforma_Exhibit D fr R Gho 12-31-08_DEM-WP(C) ENERG10C--ctn Mid-C_042010 2010GRC 2" xfId="9543"/>
    <cellStyle name="_Recon to Darrin's 5.11.05 proforma_Exhibit D fr R Gho 12-31-08_NIM Summary" xfId="9544"/>
    <cellStyle name="_Recon to Darrin's 5.11.05 proforma_Exhibit D fr R Gho 12-31-08_NIM Summary 2" xfId="9545"/>
    <cellStyle name="_Recon to Darrin's 5.11.05 proforma_Exhibit D fr R Gho 12-31-08_NIM Summary 2 2" xfId="9546"/>
    <cellStyle name="_Recon to Darrin's 5.11.05 proforma_Exhibit D fr R Gho 12-31-08_NIM Summary 3" xfId="9547"/>
    <cellStyle name="_Recon to Darrin's 5.11.05 proforma_Exhibit D fr R Gho 12-31-08_NIM Summary 3 2" xfId="9548"/>
    <cellStyle name="_Recon to Darrin's 5.11.05 proforma_Exhibit D fr R Gho 12-31-08_NIM Summary 4" xfId="9549"/>
    <cellStyle name="_Recon to Darrin's 5.11.05 proforma_Exhibit D fr R Gho 12-31-08_NIM Summary_DEM-WP(C) ENERG10C--ctn Mid-C_042010 2010GRC" xfId="9550"/>
    <cellStyle name="_Recon to Darrin's 5.11.05 proforma_Exhibit D fr R Gho 12-31-08_NIM Summary_DEM-WP(C) ENERG10C--ctn Mid-C_042010 2010GRC 2" xfId="9551"/>
    <cellStyle name="_Recon to Darrin's 5.11.05 proforma_Hopkins Ridge Prepaid Tran - Interest Earned RY 12ME Feb  '11" xfId="9552"/>
    <cellStyle name="_Recon to Darrin's 5.11.05 proforma_Hopkins Ridge Prepaid Tran - Interest Earned RY 12ME Feb  '11 2" xfId="9553"/>
    <cellStyle name="_Recon to Darrin's 5.11.05 proforma_Hopkins Ridge Prepaid Tran - Interest Earned RY 12ME Feb  '11 2 2" xfId="9554"/>
    <cellStyle name="_Recon to Darrin's 5.11.05 proforma_Hopkins Ridge Prepaid Tran - Interest Earned RY 12ME Feb  '11 3" xfId="9555"/>
    <cellStyle name="_Recon to Darrin's 5.11.05 proforma_Hopkins Ridge Prepaid Tran - Interest Earned RY 12ME Feb  '11 3 2" xfId="9556"/>
    <cellStyle name="_Recon to Darrin's 5.11.05 proforma_Hopkins Ridge Prepaid Tran - Interest Earned RY 12ME Feb  '11 4" xfId="9557"/>
    <cellStyle name="_Recon to Darrin's 5.11.05 proforma_Hopkins Ridge Prepaid Tran - Interest Earned RY 12ME Feb  '11_DEM-WP(C) ENERG10C--ctn Mid-C_042010 2010GRC" xfId="9558"/>
    <cellStyle name="_Recon to Darrin's 5.11.05 proforma_Hopkins Ridge Prepaid Tran - Interest Earned RY 12ME Feb  '11_DEM-WP(C) ENERG10C--ctn Mid-C_042010 2010GRC 2" xfId="9559"/>
    <cellStyle name="_Recon to Darrin's 5.11.05 proforma_Hopkins Ridge Prepaid Tran - Interest Earned RY 12ME Feb  '11_NIM Summary" xfId="9560"/>
    <cellStyle name="_Recon to Darrin's 5.11.05 proforma_Hopkins Ridge Prepaid Tran - Interest Earned RY 12ME Feb  '11_NIM Summary 2" xfId="9561"/>
    <cellStyle name="_Recon to Darrin's 5.11.05 proforma_Hopkins Ridge Prepaid Tran - Interest Earned RY 12ME Feb  '11_NIM Summary 2 2" xfId="9562"/>
    <cellStyle name="_Recon to Darrin's 5.11.05 proforma_Hopkins Ridge Prepaid Tran - Interest Earned RY 12ME Feb  '11_NIM Summary 3" xfId="9563"/>
    <cellStyle name="_Recon to Darrin's 5.11.05 proforma_Hopkins Ridge Prepaid Tran - Interest Earned RY 12ME Feb  '11_NIM Summary 3 2" xfId="9564"/>
    <cellStyle name="_Recon to Darrin's 5.11.05 proforma_Hopkins Ridge Prepaid Tran - Interest Earned RY 12ME Feb  '11_NIM Summary 4" xfId="9565"/>
    <cellStyle name="_Recon to Darrin's 5.11.05 proforma_Hopkins Ridge Prepaid Tran - Interest Earned RY 12ME Feb  '11_NIM Summary_DEM-WP(C) ENERG10C--ctn Mid-C_042010 2010GRC" xfId="9566"/>
    <cellStyle name="_Recon to Darrin's 5.11.05 proforma_Hopkins Ridge Prepaid Tran - Interest Earned RY 12ME Feb  '11_NIM Summary_DEM-WP(C) ENERG10C--ctn Mid-C_042010 2010GRC 2" xfId="9567"/>
    <cellStyle name="_Recon to Darrin's 5.11.05 proforma_Hopkins Ridge Prepaid Tran - Interest Earned RY 12ME Feb  '11_Transmission Workbook for May BOD" xfId="9568"/>
    <cellStyle name="_Recon to Darrin's 5.11.05 proforma_Hopkins Ridge Prepaid Tran - Interest Earned RY 12ME Feb  '11_Transmission Workbook for May BOD 2" xfId="9569"/>
    <cellStyle name="_Recon to Darrin's 5.11.05 proforma_Hopkins Ridge Prepaid Tran - Interest Earned RY 12ME Feb  '11_Transmission Workbook for May BOD 2 2" xfId="9570"/>
    <cellStyle name="_Recon to Darrin's 5.11.05 proforma_Hopkins Ridge Prepaid Tran - Interest Earned RY 12ME Feb  '11_Transmission Workbook for May BOD 3" xfId="9571"/>
    <cellStyle name="_Recon to Darrin's 5.11.05 proforma_Hopkins Ridge Prepaid Tran - Interest Earned RY 12ME Feb  '11_Transmission Workbook for May BOD 3 2" xfId="9572"/>
    <cellStyle name="_Recon to Darrin's 5.11.05 proforma_Hopkins Ridge Prepaid Tran - Interest Earned RY 12ME Feb  '11_Transmission Workbook for May BOD 4" xfId="9573"/>
    <cellStyle name="_Recon to Darrin's 5.11.05 proforma_Hopkins Ridge Prepaid Tran - Interest Earned RY 12ME Feb  '11_Transmission Workbook for May BOD_DEM-WP(C) ENERG10C--ctn Mid-C_042010 2010GRC" xfId="9574"/>
    <cellStyle name="_Recon to Darrin's 5.11.05 proforma_Hopkins Ridge Prepaid Tran - Interest Earned RY 12ME Feb  '11_Transmission Workbook for May BOD_DEM-WP(C) ENERG10C--ctn Mid-C_042010 2010GRC 2" xfId="9575"/>
    <cellStyle name="_Recon to Darrin's 5.11.05 proforma_LSRWEP LGIA like Acctg Petition Aug 2010" xfId="9576"/>
    <cellStyle name="_Recon to Darrin's 5.11.05 proforma_LSRWEP LGIA like Acctg Petition Aug 2010 2" xfId="9577"/>
    <cellStyle name="_Recon to Darrin's 5.11.05 proforma_Mint Farm Generation BPA" xfId="9578"/>
    <cellStyle name="_Recon to Darrin's 5.11.05 proforma_NIM Summary" xfId="9579"/>
    <cellStyle name="_Recon to Darrin's 5.11.05 proforma_NIM Summary 09GRC" xfId="9580"/>
    <cellStyle name="_Recon to Darrin's 5.11.05 proforma_NIM Summary 09GRC 2" xfId="9581"/>
    <cellStyle name="_Recon to Darrin's 5.11.05 proforma_NIM Summary 09GRC 2 2" xfId="9582"/>
    <cellStyle name="_Recon to Darrin's 5.11.05 proforma_NIM Summary 09GRC 3" xfId="9583"/>
    <cellStyle name="_Recon to Darrin's 5.11.05 proforma_NIM Summary 09GRC 3 2" xfId="9584"/>
    <cellStyle name="_Recon to Darrin's 5.11.05 proforma_NIM Summary 09GRC 4" xfId="9585"/>
    <cellStyle name="_Recon to Darrin's 5.11.05 proforma_NIM Summary 09GRC_DEM-WP(C) ENERG10C--ctn Mid-C_042010 2010GRC" xfId="9586"/>
    <cellStyle name="_Recon to Darrin's 5.11.05 proforma_NIM Summary 09GRC_DEM-WP(C) ENERG10C--ctn Mid-C_042010 2010GRC 2" xfId="9587"/>
    <cellStyle name="_Recon to Darrin's 5.11.05 proforma_NIM Summary 10" xfId="9588"/>
    <cellStyle name="_Recon to Darrin's 5.11.05 proforma_NIM Summary 10 2" xfId="9589"/>
    <cellStyle name="_Recon to Darrin's 5.11.05 proforma_NIM Summary 11" xfId="9590"/>
    <cellStyle name="_Recon to Darrin's 5.11.05 proforma_NIM Summary 11 2" xfId="9591"/>
    <cellStyle name="_Recon to Darrin's 5.11.05 proforma_NIM Summary 12" xfId="9592"/>
    <cellStyle name="_Recon to Darrin's 5.11.05 proforma_NIM Summary 12 2" xfId="9593"/>
    <cellStyle name="_Recon to Darrin's 5.11.05 proforma_NIM Summary 13" xfId="9594"/>
    <cellStyle name="_Recon to Darrin's 5.11.05 proforma_NIM Summary 13 2" xfId="9595"/>
    <cellStyle name="_Recon to Darrin's 5.11.05 proforma_NIM Summary 14" xfId="9596"/>
    <cellStyle name="_Recon to Darrin's 5.11.05 proforma_NIM Summary 14 2" xfId="9597"/>
    <cellStyle name="_Recon to Darrin's 5.11.05 proforma_NIM Summary 15" xfId="9598"/>
    <cellStyle name="_Recon to Darrin's 5.11.05 proforma_NIM Summary 15 2" xfId="9599"/>
    <cellStyle name="_Recon to Darrin's 5.11.05 proforma_NIM Summary 16" xfId="9600"/>
    <cellStyle name="_Recon to Darrin's 5.11.05 proforma_NIM Summary 16 2" xfId="9601"/>
    <cellStyle name="_Recon to Darrin's 5.11.05 proforma_NIM Summary 17" xfId="9602"/>
    <cellStyle name="_Recon to Darrin's 5.11.05 proforma_NIM Summary 17 2" xfId="9603"/>
    <cellStyle name="_Recon to Darrin's 5.11.05 proforma_NIM Summary 18" xfId="9604"/>
    <cellStyle name="_Recon to Darrin's 5.11.05 proforma_NIM Summary 18 2" xfId="9605"/>
    <cellStyle name="_Recon to Darrin's 5.11.05 proforma_NIM Summary 19" xfId="9606"/>
    <cellStyle name="_Recon to Darrin's 5.11.05 proforma_NIM Summary 19 2" xfId="9607"/>
    <cellStyle name="_Recon to Darrin's 5.11.05 proforma_NIM Summary 2" xfId="9608"/>
    <cellStyle name="_Recon to Darrin's 5.11.05 proforma_NIM Summary 2 2" xfId="9609"/>
    <cellStyle name="_Recon to Darrin's 5.11.05 proforma_NIM Summary 20" xfId="9610"/>
    <cellStyle name="_Recon to Darrin's 5.11.05 proforma_NIM Summary 20 2" xfId="9611"/>
    <cellStyle name="_Recon to Darrin's 5.11.05 proforma_NIM Summary 21" xfId="9612"/>
    <cellStyle name="_Recon to Darrin's 5.11.05 proforma_NIM Summary 21 2" xfId="9613"/>
    <cellStyle name="_Recon to Darrin's 5.11.05 proforma_NIM Summary 22" xfId="9614"/>
    <cellStyle name="_Recon to Darrin's 5.11.05 proforma_NIM Summary 22 2" xfId="9615"/>
    <cellStyle name="_Recon to Darrin's 5.11.05 proforma_NIM Summary 23" xfId="9616"/>
    <cellStyle name="_Recon to Darrin's 5.11.05 proforma_NIM Summary 23 2" xfId="9617"/>
    <cellStyle name="_Recon to Darrin's 5.11.05 proforma_NIM Summary 24" xfId="9618"/>
    <cellStyle name="_Recon to Darrin's 5.11.05 proforma_NIM Summary 24 2" xfId="9619"/>
    <cellStyle name="_Recon to Darrin's 5.11.05 proforma_NIM Summary 25" xfId="9620"/>
    <cellStyle name="_Recon to Darrin's 5.11.05 proforma_NIM Summary 25 2" xfId="9621"/>
    <cellStyle name="_Recon to Darrin's 5.11.05 proforma_NIM Summary 26" xfId="9622"/>
    <cellStyle name="_Recon to Darrin's 5.11.05 proforma_NIM Summary 26 2" xfId="9623"/>
    <cellStyle name="_Recon to Darrin's 5.11.05 proforma_NIM Summary 27" xfId="9624"/>
    <cellStyle name="_Recon to Darrin's 5.11.05 proforma_NIM Summary 27 2" xfId="9625"/>
    <cellStyle name="_Recon to Darrin's 5.11.05 proforma_NIM Summary 28" xfId="9626"/>
    <cellStyle name="_Recon to Darrin's 5.11.05 proforma_NIM Summary 28 2" xfId="9627"/>
    <cellStyle name="_Recon to Darrin's 5.11.05 proforma_NIM Summary 29" xfId="9628"/>
    <cellStyle name="_Recon to Darrin's 5.11.05 proforma_NIM Summary 29 2" xfId="9629"/>
    <cellStyle name="_Recon to Darrin's 5.11.05 proforma_NIM Summary 3" xfId="9630"/>
    <cellStyle name="_Recon to Darrin's 5.11.05 proforma_NIM Summary 3 2" xfId="9631"/>
    <cellStyle name="_Recon to Darrin's 5.11.05 proforma_NIM Summary 30" xfId="9632"/>
    <cellStyle name="_Recon to Darrin's 5.11.05 proforma_NIM Summary 30 2" xfId="9633"/>
    <cellStyle name="_Recon to Darrin's 5.11.05 proforma_NIM Summary 31" xfId="9634"/>
    <cellStyle name="_Recon to Darrin's 5.11.05 proforma_NIM Summary 31 2" xfId="9635"/>
    <cellStyle name="_Recon to Darrin's 5.11.05 proforma_NIM Summary 32" xfId="9636"/>
    <cellStyle name="_Recon to Darrin's 5.11.05 proforma_NIM Summary 32 2" xfId="9637"/>
    <cellStyle name="_Recon to Darrin's 5.11.05 proforma_NIM Summary 33" xfId="9638"/>
    <cellStyle name="_Recon to Darrin's 5.11.05 proforma_NIM Summary 33 2" xfId="9639"/>
    <cellStyle name="_Recon to Darrin's 5.11.05 proforma_NIM Summary 34" xfId="9640"/>
    <cellStyle name="_Recon to Darrin's 5.11.05 proforma_NIM Summary 34 2" xfId="9641"/>
    <cellStyle name="_Recon to Darrin's 5.11.05 proforma_NIM Summary 35" xfId="9642"/>
    <cellStyle name="_Recon to Darrin's 5.11.05 proforma_NIM Summary 35 2" xfId="9643"/>
    <cellStyle name="_Recon to Darrin's 5.11.05 proforma_NIM Summary 36" xfId="9644"/>
    <cellStyle name="_Recon to Darrin's 5.11.05 proforma_NIM Summary 36 2" xfId="9645"/>
    <cellStyle name="_Recon to Darrin's 5.11.05 proforma_NIM Summary 37" xfId="9646"/>
    <cellStyle name="_Recon to Darrin's 5.11.05 proforma_NIM Summary 37 2" xfId="9647"/>
    <cellStyle name="_Recon to Darrin's 5.11.05 proforma_NIM Summary 38" xfId="9648"/>
    <cellStyle name="_Recon to Darrin's 5.11.05 proforma_NIM Summary 38 2" xfId="9649"/>
    <cellStyle name="_Recon to Darrin's 5.11.05 proforma_NIM Summary 39" xfId="9650"/>
    <cellStyle name="_Recon to Darrin's 5.11.05 proforma_NIM Summary 39 2" xfId="9651"/>
    <cellStyle name="_Recon to Darrin's 5.11.05 proforma_NIM Summary 4" xfId="9652"/>
    <cellStyle name="_Recon to Darrin's 5.11.05 proforma_NIM Summary 4 2" xfId="9653"/>
    <cellStyle name="_Recon to Darrin's 5.11.05 proforma_NIM Summary 40" xfId="9654"/>
    <cellStyle name="_Recon to Darrin's 5.11.05 proforma_NIM Summary 40 2" xfId="9655"/>
    <cellStyle name="_Recon to Darrin's 5.11.05 proforma_NIM Summary 41" xfId="9656"/>
    <cellStyle name="_Recon to Darrin's 5.11.05 proforma_NIM Summary 41 2" xfId="9657"/>
    <cellStyle name="_Recon to Darrin's 5.11.05 proforma_NIM Summary 42" xfId="9658"/>
    <cellStyle name="_Recon to Darrin's 5.11.05 proforma_NIM Summary 42 2" xfId="9659"/>
    <cellStyle name="_Recon to Darrin's 5.11.05 proforma_NIM Summary 43" xfId="9660"/>
    <cellStyle name="_Recon to Darrin's 5.11.05 proforma_NIM Summary 43 2" xfId="9661"/>
    <cellStyle name="_Recon to Darrin's 5.11.05 proforma_NIM Summary 44" xfId="9662"/>
    <cellStyle name="_Recon to Darrin's 5.11.05 proforma_NIM Summary 44 2" xfId="9663"/>
    <cellStyle name="_Recon to Darrin's 5.11.05 proforma_NIM Summary 45" xfId="9664"/>
    <cellStyle name="_Recon to Darrin's 5.11.05 proforma_NIM Summary 45 2" xfId="9665"/>
    <cellStyle name="_Recon to Darrin's 5.11.05 proforma_NIM Summary 46" xfId="9666"/>
    <cellStyle name="_Recon to Darrin's 5.11.05 proforma_NIM Summary 46 2" xfId="9667"/>
    <cellStyle name="_Recon to Darrin's 5.11.05 proforma_NIM Summary 47" xfId="9668"/>
    <cellStyle name="_Recon to Darrin's 5.11.05 proforma_NIM Summary 47 2" xfId="9669"/>
    <cellStyle name="_Recon to Darrin's 5.11.05 proforma_NIM Summary 48" xfId="9670"/>
    <cellStyle name="_Recon to Darrin's 5.11.05 proforma_NIM Summary 49" xfId="9671"/>
    <cellStyle name="_Recon to Darrin's 5.11.05 proforma_NIM Summary 5" xfId="9672"/>
    <cellStyle name="_Recon to Darrin's 5.11.05 proforma_NIM Summary 5 2" xfId="9673"/>
    <cellStyle name="_Recon to Darrin's 5.11.05 proforma_NIM Summary 50" xfId="9674"/>
    <cellStyle name="_Recon to Darrin's 5.11.05 proforma_NIM Summary 51" xfId="9675"/>
    <cellStyle name="_Recon to Darrin's 5.11.05 proforma_NIM Summary 52" xfId="9676"/>
    <cellStyle name="_Recon to Darrin's 5.11.05 proforma_NIM Summary 6" xfId="9677"/>
    <cellStyle name="_Recon to Darrin's 5.11.05 proforma_NIM Summary 6 2" xfId="9678"/>
    <cellStyle name="_Recon to Darrin's 5.11.05 proforma_NIM Summary 7" xfId="9679"/>
    <cellStyle name="_Recon to Darrin's 5.11.05 proforma_NIM Summary 7 2" xfId="9680"/>
    <cellStyle name="_Recon to Darrin's 5.11.05 proforma_NIM Summary 8" xfId="9681"/>
    <cellStyle name="_Recon to Darrin's 5.11.05 proforma_NIM Summary 8 2" xfId="9682"/>
    <cellStyle name="_Recon to Darrin's 5.11.05 proforma_NIM Summary 9" xfId="9683"/>
    <cellStyle name="_Recon to Darrin's 5.11.05 proforma_NIM Summary 9 2" xfId="9684"/>
    <cellStyle name="_Recon to Darrin's 5.11.05 proforma_NIM Summary_DEM-WP(C) ENERG10C--ctn Mid-C_042010 2010GRC" xfId="9685"/>
    <cellStyle name="_Recon to Darrin's 5.11.05 proforma_NIM Summary_DEM-WP(C) ENERG10C--ctn Mid-C_042010 2010GRC 2" xfId="9686"/>
    <cellStyle name="_Recon to Darrin's 5.11.05 proforma_NIM+O&amp;M" xfId="9687"/>
    <cellStyle name="_Recon to Darrin's 5.11.05 proforma_NIM+O&amp;M 2" xfId="9688"/>
    <cellStyle name="_Recon to Darrin's 5.11.05 proforma_NIM+O&amp;M 2 2" xfId="9689"/>
    <cellStyle name="_Recon to Darrin's 5.11.05 proforma_NIM+O&amp;M 3" xfId="9690"/>
    <cellStyle name="_Recon to Darrin's 5.11.05 proforma_NIM+O&amp;M Monthly" xfId="9691"/>
    <cellStyle name="_Recon to Darrin's 5.11.05 proforma_NIM+O&amp;M Monthly 2" xfId="9692"/>
    <cellStyle name="_Recon to Darrin's 5.11.05 proforma_NIM+O&amp;M Monthly 2 2" xfId="9693"/>
    <cellStyle name="_Recon to Darrin's 5.11.05 proforma_NIM+O&amp;M Monthly 3" xfId="9694"/>
    <cellStyle name="_Recon to Darrin's 5.11.05 proforma_PCA 10 -  Exhibit D Dec 2011" xfId="9695"/>
    <cellStyle name="_Recon to Darrin's 5.11.05 proforma_PCA 10 -  Exhibit D Dec 2011 2" xfId="9696"/>
    <cellStyle name="_Recon to Darrin's 5.11.05 proforma_PCA 10 -  Exhibit D from A Kellogg Jan 2011" xfId="9697"/>
    <cellStyle name="_Recon to Darrin's 5.11.05 proforma_PCA 10 -  Exhibit D from A Kellogg Jan 2011 2" xfId="9698"/>
    <cellStyle name="_Recon to Darrin's 5.11.05 proforma_PCA 10 -  Exhibit D from A Kellogg July 2011" xfId="9699"/>
    <cellStyle name="_Recon to Darrin's 5.11.05 proforma_PCA 10 -  Exhibit D from A Kellogg July 2011 2" xfId="9700"/>
    <cellStyle name="_Recon to Darrin's 5.11.05 proforma_PCA 10 -  Exhibit D from S Free Rcv'd 12-11" xfId="9701"/>
    <cellStyle name="_Recon to Darrin's 5.11.05 proforma_PCA 10 -  Exhibit D from S Free Rcv'd 12-11 2" xfId="9702"/>
    <cellStyle name="_Recon to Darrin's 5.11.05 proforma_PCA 11 -  Exhibit D Jan 2012 fr A Kellogg" xfId="9703"/>
    <cellStyle name="_Recon to Darrin's 5.11.05 proforma_PCA 11 -  Exhibit D Jan 2012 fr A Kellogg 2" xfId="9704"/>
    <cellStyle name="_Recon to Darrin's 5.11.05 proforma_PCA 11 -  Exhibit D Jan 2012 WF" xfId="9705"/>
    <cellStyle name="_Recon to Darrin's 5.11.05 proforma_PCA 11 -  Exhibit D Jan 2012 WF 2" xfId="9706"/>
    <cellStyle name="_Recon to Darrin's 5.11.05 proforma_PCA 7 - Exhibit D update 11_30_08 (2)" xfId="9707"/>
    <cellStyle name="_Recon to Darrin's 5.11.05 proforma_PCA 7 - Exhibit D update 11_30_08 (2) 2" xfId="9708"/>
    <cellStyle name="_Recon to Darrin's 5.11.05 proforma_PCA 7 - Exhibit D update 11_30_08 (2) 2 2" xfId="9709"/>
    <cellStyle name="_Recon to Darrin's 5.11.05 proforma_PCA 7 - Exhibit D update 11_30_08 (2) 2 2 2" xfId="9710"/>
    <cellStyle name="_Recon to Darrin's 5.11.05 proforma_PCA 7 - Exhibit D update 11_30_08 (2) 2 3" xfId="9711"/>
    <cellStyle name="_Recon to Darrin's 5.11.05 proforma_PCA 7 - Exhibit D update 11_30_08 (2) 3" xfId="9712"/>
    <cellStyle name="_Recon to Darrin's 5.11.05 proforma_PCA 7 - Exhibit D update 11_30_08 (2) 3 2" xfId="9713"/>
    <cellStyle name="_Recon to Darrin's 5.11.05 proforma_PCA 7 - Exhibit D update 11_30_08 (2) 4" xfId="9714"/>
    <cellStyle name="_Recon to Darrin's 5.11.05 proforma_PCA 7 - Exhibit D update 11_30_08 (2) 4 2" xfId="9715"/>
    <cellStyle name="_Recon to Darrin's 5.11.05 proforma_PCA 7 - Exhibit D update 11_30_08 (2) 5" xfId="9716"/>
    <cellStyle name="_Recon to Darrin's 5.11.05 proforma_PCA 7 - Exhibit D update 11_30_08 (2)_DEM-WP(C) ENERG10C--ctn Mid-C_042010 2010GRC" xfId="9717"/>
    <cellStyle name="_Recon to Darrin's 5.11.05 proforma_PCA 7 - Exhibit D update 11_30_08 (2)_DEM-WP(C) ENERG10C--ctn Mid-C_042010 2010GRC 2" xfId="9718"/>
    <cellStyle name="_Recon to Darrin's 5.11.05 proforma_PCA 7 - Exhibit D update 11_30_08 (2)_NIM Summary" xfId="9719"/>
    <cellStyle name="_Recon to Darrin's 5.11.05 proforma_PCA 7 - Exhibit D update 11_30_08 (2)_NIM Summary 2" xfId="9720"/>
    <cellStyle name="_Recon to Darrin's 5.11.05 proforma_PCA 7 - Exhibit D update 11_30_08 (2)_NIM Summary 2 2" xfId="9721"/>
    <cellStyle name="_Recon to Darrin's 5.11.05 proforma_PCA 7 - Exhibit D update 11_30_08 (2)_NIM Summary 3" xfId="9722"/>
    <cellStyle name="_Recon to Darrin's 5.11.05 proforma_PCA 7 - Exhibit D update 11_30_08 (2)_NIM Summary 3 2" xfId="9723"/>
    <cellStyle name="_Recon to Darrin's 5.11.05 proforma_PCA 7 - Exhibit D update 11_30_08 (2)_NIM Summary 4" xfId="9724"/>
    <cellStyle name="_Recon to Darrin's 5.11.05 proforma_PCA 7 - Exhibit D update 11_30_08 (2)_NIM Summary_DEM-WP(C) ENERG10C--ctn Mid-C_042010 2010GRC" xfId="9725"/>
    <cellStyle name="_Recon to Darrin's 5.11.05 proforma_PCA 7 - Exhibit D update 11_30_08 (2)_NIM Summary_DEM-WP(C) ENERG10C--ctn Mid-C_042010 2010GRC 2" xfId="9726"/>
    <cellStyle name="_Recon to Darrin's 5.11.05 proforma_PCA 8 - Exhibit D update 12_31_09" xfId="9727"/>
    <cellStyle name="_Recon to Darrin's 5.11.05 proforma_PCA 8 - Exhibit D update 12_31_09 2" xfId="9728"/>
    <cellStyle name="_Recon to Darrin's 5.11.05 proforma_PCA 8 - Exhibit D update 12_31_09 2 2" xfId="9729"/>
    <cellStyle name="_Recon to Darrin's 5.11.05 proforma_PCA 8 - Exhibit D update 12_31_09 3" xfId="9730"/>
    <cellStyle name="_Recon to Darrin's 5.11.05 proforma_PCA 9 -  Exhibit D April 2010" xfId="9731"/>
    <cellStyle name="_Recon to Darrin's 5.11.05 proforma_PCA 9 -  Exhibit D April 2010 (3)" xfId="9732"/>
    <cellStyle name="_Recon to Darrin's 5.11.05 proforma_PCA 9 -  Exhibit D April 2010 (3) 2" xfId="9733"/>
    <cellStyle name="_Recon to Darrin's 5.11.05 proforma_PCA 9 -  Exhibit D April 2010 (3) 2 2" xfId="9734"/>
    <cellStyle name="_Recon to Darrin's 5.11.05 proforma_PCA 9 -  Exhibit D April 2010 (3) 3" xfId="9735"/>
    <cellStyle name="_Recon to Darrin's 5.11.05 proforma_PCA 9 -  Exhibit D April 2010 (3) 3 2" xfId="9736"/>
    <cellStyle name="_Recon to Darrin's 5.11.05 proforma_PCA 9 -  Exhibit D April 2010 (3) 4" xfId="9737"/>
    <cellStyle name="_Recon to Darrin's 5.11.05 proforma_PCA 9 -  Exhibit D April 2010 (3)_DEM-WP(C) ENERG10C--ctn Mid-C_042010 2010GRC" xfId="9738"/>
    <cellStyle name="_Recon to Darrin's 5.11.05 proforma_PCA 9 -  Exhibit D April 2010 (3)_DEM-WP(C) ENERG10C--ctn Mid-C_042010 2010GRC 2" xfId="9739"/>
    <cellStyle name="_Recon to Darrin's 5.11.05 proforma_PCA 9 -  Exhibit D April 2010 2" xfId="9740"/>
    <cellStyle name="_Recon to Darrin's 5.11.05 proforma_PCA 9 -  Exhibit D April 2010 2 2" xfId="9741"/>
    <cellStyle name="_Recon to Darrin's 5.11.05 proforma_PCA 9 -  Exhibit D April 2010 3" xfId="9742"/>
    <cellStyle name="_Recon to Darrin's 5.11.05 proforma_PCA 9 -  Exhibit D April 2010 3 2" xfId="9743"/>
    <cellStyle name="_Recon to Darrin's 5.11.05 proforma_PCA 9 -  Exhibit D April 2010 4" xfId="9744"/>
    <cellStyle name="_Recon to Darrin's 5.11.05 proforma_PCA 9 -  Exhibit D April 2010 4 2" xfId="9745"/>
    <cellStyle name="_Recon to Darrin's 5.11.05 proforma_PCA 9 -  Exhibit D April 2010 5" xfId="9746"/>
    <cellStyle name="_Recon to Darrin's 5.11.05 proforma_PCA 9 -  Exhibit D April 2010 5 2" xfId="9747"/>
    <cellStyle name="_Recon to Darrin's 5.11.05 proforma_PCA 9 -  Exhibit D April 2010 6" xfId="9748"/>
    <cellStyle name="_Recon to Darrin's 5.11.05 proforma_PCA 9 -  Exhibit D April 2010 6 2" xfId="9749"/>
    <cellStyle name="_Recon to Darrin's 5.11.05 proforma_PCA 9 -  Exhibit D April 2010 7" xfId="9750"/>
    <cellStyle name="_Recon to Darrin's 5.11.05 proforma_PCA 9 -  Exhibit D Feb 2010" xfId="9751"/>
    <cellStyle name="_Recon to Darrin's 5.11.05 proforma_PCA 9 -  Exhibit D Feb 2010 2" xfId="9752"/>
    <cellStyle name="_Recon to Darrin's 5.11.05 proforma_PCA 9 -  Exhibit D Feb 2010 2 2" xfId="9753"/>
    <cellStyle name="_Recon to Darrin's 5.11.05 proforma_PCA 9 -  Exhibit D Feb 2010 3" xfId="9754"/>
    <cellStyle name="_Recon to Darrin's 5.11.05 proforma_PCA 9 -  Exhibit D Feb 2010 v2" xfId="9755"/>
    <cellStyle name="_Recon to Darrin's 5.11.05 proforma_PCA 9 -  Exhibit D Feb 2010 v2 2" xfId="9756"/>
    <cellStyle name="_Recon to Darrin's 5.11.05 proforma_PCA 9 -  Exhibit D Feb 2010 v2 2 2" xfId="9757"/>
    <cellStyle name="_Recon to Darrin's 5.11.05 proforma_PCA 9 -  Exhibit D Feb 2010 v2 3" xfId="9758"/>
    <cellStyle name="_Recon to Darrin's 5.11.05 proforma_PCA 9 -  Exhibit D Feb 2010 WF" xfId="9759"/>
    <cellStyle name="_Recon to Darrin's 5.11.05 proforma_PCA 9 -  Exhibit D Feb 2010 WF 2" xfId="9760"/>
    <cellStyle name="_Recon to Darrin's 5.11.05 proforma_PCA 9 -  Exhibit D Feb 2010 WF 2 2" xfId="9761"/>
    <cellStyle name="_Recon to Darrin's 5.11.05 proforma_PCA 9 -  Exhibit D Feb 2010 WF 3" xfId="9762"/>
    <cellStyle name="_Recon to Darrin's 5.11.05 proforma_PCA 9 -  Exhibit D Jan 2010" xfId="9763"/>
    <cellStyle name="_Recon to Darrin's 5.11.05 proforma_PCA 9 -  Exhibit D Jan 2010 2" xfId="9764"/>
    <cellStyle name="_Recon to Darrin's 5.11.05 proforma_PCA 9 -  Exhibit D Jan 2010 2 2" xfId="9765"/>
    <cellStyle name="_Recon to Darrin's 5.11.05 proforma_PCA 9 -  Exhibit D Jan 2010 3" xfId="9766"/>
    <cellStyle name="_Recon to Darrin's 5.11.05 proforma_PCA 9 -  Exhibit D March 2010 (2)" xfId="9767"/>
    <cellStyle name="_Recon to Darrin's 5.11.05 proforma_PCA 9 -  Exhibit D March 2010 (2) 2" xfId="9768"/>
    <cellStyle name="_Recon to Darrin's 5.11.05 proforma_PCA 9 -  Exhibit D March 2010 (2) 2 2" xfId="9769"/>
    <cellStyle name="_Recon to Darrin's 5.11.05 proforma_PCA 9 -  Exhibit D March 2010 (2) 3" xfId="9770"/>
    <cellStyle name="_Recon to Darrin's 5.11.05 proforma_PCA 9 -  Exhibit D Nov 2010" xfId="9771"/>
    <cellStyle name="_Recon to Darrin's 5.11.05 proforma_PCA 9 -  Exhibit D Nov 2010 2" xfId="9772"/>
    <cellStyle name="_Recon to Darrin's 5.11.05 proforma_PCA 9 -  Exhibit D Nov 2010 2 2" xfId="9773"/>
    <cellStyle name="_Recon to Darrin's 5.11.05 proforma_PCA 9 -  Exhibit D Nov 2010 3" xfId="9774"/>
    <cellStyle name="_Recon to Darrin's 5.11.05 proforma_PCA 9 - Exhibit D at August 2010" xfId="9775"/>
    <cellStyle name="_Recon to Darrin's 5.11.05 proforma_PCA 9 - Exhibit D at August 2010 2" xfId="9776"/>
    <cellStyle name="_Recon to Darrin's 5.11.05 proforma_PCA 9 - Exhibit D at August 2010 2 2" xfId="9777"/>
    <cellStyle name="_Recon to Darrin's 5.11.05 proforma_PCA 9 - Exhibit D at August 2010 3" xfId="9778"/>
    <cellStyle name="_Recon to Darrin's 5.11.05 proforma_PCA 9 - Exhibit D June 2010 GRC" xfId="9779"/>
    <cellStyle name="_Recon to Darrin's 5.11.05 proforma_PCA 9 - Exhibit D June 2010 GRC 2" xfId="9780"/>
    <cellStyle name="_Recon to Darrin's 5.11.05 proforma_PCA 9 - Exhibit D June 2010 GRC 2 2" xfId="9781"/>
    <cellStyle name="_Recon to Darrin's 5.11.05 proforma_PCA 9 - Exhibit D June 2010 GRC 3" xfId="9782"/>
    <cellStyle name="_Recon to Darrin's 5.11.05 proforma_Power Costs - Comparison bx Rbtl-Staff-Jt-PC" xfId="9783"/>
    <cellStyle name="_Recon to Darrin's 5.11.05 proforma_Power Costs - Comparison bx Rbtl-Staff-Jt-PC 2" xfId="9784"/>
    <cellStyle name="_Recon to Darrin's 5.11.05 proforma_Power Costs - Comparison bx Rbtl-Staff-Jt-PC 2 2" xfId="9785"/>
    <cellStyle name="_Recon to Darrin's 5.11.05 proforma_Power Costs - Comparison bx Rbtl-Staff-Jt-PC 3" xfId="9786"/>
    <cellStyle name="_Recon to Darrin's 5.11.05 proforma_Power Costs - Comparison bx Rbtl-Staff-Jt-PC 3 2" xfId="9787"/>
    <cellStyle name="_Recon to Darrin's 5.11.05 proforma_Power Costs - Comparison bx Rbtl-Staff-Jt-PC 4" xfId="9788"/>
    <cellStyle name="_Recon to Darrin's 5.11.05 proforma_Power Costs - Comparison bx Rbtl-Staff-Jt-PC_Adj Bench DR 3 for Initial Briefs (Electric)" xfId="9789"/>
    <cellStyle name="_Recon to Darrin's 5.11.05 proforma_Power Costs - Comparison bx Rbtl-Staff-Jt-PC_Adj Bench DR 3 for Initial Briefs (Electric) 2" xfId="9790"/>
    <cellStyle name="_Recon to Darrin's 5.11.05 proforma_Power Costs - Comparison bx Rbtl-Staff-Jt-PC_Adj Bench DR 3 for Initial Briefs (Electric) 2 2" xfId="9791"/>
    <cellStyle name="_Recon to Darrin's 5.11.05 proforma_Power Costs - Comparison bx Rbtl-Staff-Jt-PC_Adj Bench DR 3 for Initial Briefs (Electric) 3" xfId="9792"/>
    <cellStyle name="_Recon to Darrin's 5.11.05 proforma_Power Costs - Comparison bx Rbtl-Staff-Jt-PC_Adj Bench DR 3 for Initial Briefs (Electric) 3 2" xfId="9793"/>
    <cellStyle name="_Recon to Darrin's 5.11.05 proforma_Power Costs - Comparison bx Rbtl-Staff-Jt-PC_Adj Bench DR 3 for Initial Briefs (Electric) 4" xfId="9794"/>
    <cellStyle name="_Recon to Darrin's 5.11.05 proforma_Power Costs - Comparison bx Rbtl-Staff-Jt-PC_Adj Bench DR 3 for Initial Briefs (Electric)_DEM-WP(C) ENERG10C--ctn Mid-C_042010 2010GRC" xfId="9795"/>
    <cellStyle name="_Recon to Darrin's 5.11.05 proforma_Power Costs - Comparison bx Rbtl-Staff-Jt-PC_Adj Bench DR 3 for Initial Briefs (Electric)_DEM-WP(C) ENERG10C--ctn Mid-C_042010 2010GRC 2" xfId="9796"/>
    <cellStyle name="_Recon to Darrin's 5.11.05 proforma_Power Costs - Comparison bx Rbtl-Staff-Jt-PC_DEM-WP(C) ENERG10C--ctn Mid-C_042010 2010GRC" xfId="9797"/>
    <cellStyle name="_Recon to Darrin's 5.11.05 proforma_Power Costs - Comparison bx Rbtl-Staff-Jt-PC_DEM-WP(C) ENERG10C--ctn Mid-C_042010 2010GRC 2" xfId="9798"/>
    <cellStyle name="_Recon to Darrin's 5.11.05 proforma_Power Costs - Comparison bx Rbtl-Staff-Jt-PC_Electric Rev Req Model (2009 GRC) Rebuttal" xfId="9799"/>
    <cellStyle name="_Recon to Darrin's 5.11.05 proforma_Power Costs - Comparison bx Rbtl-Staff-Jt-PC_Electric Rev Req Model (2009 GRC) Rebuttal 2" xfId="9800"/>
    <cellStyle name="_Recon to Darrin's 5.11.05 proforma_Power Costs - Comparison bx Rbtl-Staff-Jt-PC_Electric Rev Req Model (2009 GRC) Rebuttal 2 2" xfId="9801"/>
    <cellStyle name="_Recon to Darrin's 5.11.05 proforma_Power Costs - Comparison bx Rbtl-Staff-Jt-PC_Electric Rev Req Model (2009 GRC) Rebuttal 3" xfId="9802"/>
    <cellStyle name="_Recon to Darrin's 5.11.05 proforma_Power Costs - Comparison bx Rbtl-Staff-Jt-PC_Electric Rev Req Model (2009 GRC) Rebuttal REmoval of New  WH Solar AdjustMI" xfId="9803"/>
    <cellStyle name="_Recon to Darrin's 5.11.05 proforma_Power Costs - Comparison bx Rbtl-Staff-Jt-PC_Electric Rev Req Model (2009 GRC) Rebuttal REmoval of New  WH Solar AdjustMI 2" xfId="9804"/>
    <cellStyle name="_Recon to Darrin's 5.11.05 proforma_Power Costs - Comparison bx Rbtl-Staff-Jt-PC_Electric Rev Req Model (2009 GRC) Rebuttal REmoval of New  WH Solar AdjustMI 2 2" xfId="9805"/>
    <cellStyle name="_Recon to Darrin's 5.11.05 proforma_Power Costs - Comparison bx Rbtl-Staff-Jt-PC_Electric Rev Req Model (2009 GRC) Rebuttal REmoval of New  WH Solar AdjustMI 3" xfId="9806"/>
    <cellStyle name="_Recon to Darrin's 5.11.05 proforma_Power Costs - Comparison bx Rbtl-Staff-Jt-PC_Electric Rev Req Model (2009 GRC) Rebuttal REmoval of New  WH Solar AdjustMI 3 2" xfId="9807"/>
    <cellStyle name="_Recon to Darrin's 5.11.05 proforma_Power Costs - Comparison bx Rbtl-Staff-Jt-PC_Electric Rev Req Model (2009 GRC) Rebuttal REmoval of New  WH Solar AdjustMI 4" xfId="9808"/>
    <cellStyle name="_Recon to Darrin's 5.11.05 proforma_Power Costs - Comparison bx Rbtl-Staff-Jt-PC_Electric Rev Req Model (2009 GRC) Rebuttal REmoval of New  WH Solar AdjustMI_DEM-WP(C) ENERG10C--ctn Mid-C_042010 2010GRC" xfId="9809"/>
    <cellStyle name="_Recon to Darrin's 5.11.05 proforma_Power Costs - Comparison bx Rbtl-Staff-Jt-PC_Electric Rev Req Model (2009 GRC) Rebuttal REmoval of New  WH Solar AdjustMI_DEM-WP(C) ENERG10C--ctn Mid-C_042010 2010GRC 2" xfId="9810"/>
    <cellStyle name="_Recon to Darrin's 5.11.05 proforma_Power Costs - Comparison bx Rbtl-Staff-Jt-PC_Electric Rev Req Model (2009 GRC) Revised 01-18-2010" xfId="9811"/>
    <cellStyle name="_Recon to Darrin's 5.11.05 proforma_Power Costs - Comparison bx Rbtl-Staff-Jt-PC_Electric Rev Req Model (2009 GRC) Revised 01-18-2010 2" xfId="9812"/>
    <cellStyle name="_Recon to Darrin's 5.11.05 proforma_Power Costs - Comparison bx Rbtl-Staff-Jt-PC_Electric Rev Req Model (2009 GRC) Revised 01-18-2010 2 2" xfId="9813"/>
    <cellStyle name="_Recon to Darrin's 5.11.05 proforma_Power Costs - Comparison bx Rbtl-Staff-Jt-PC_Electric Rev Req Model (2009 GRC) Revised 01-18-2010 3" xfId="9814"/>
    <cellStyle name="_Recon to Darrin's 5.11.05 proforma_Power Costs - Comparison bx Rbtl-Staff-Jt-PC_Electric Rev Req Model (2009 GRC) Revised 01-18-2010 3 2" xfId="9815"/>
    <cellStyle name="_Recon to Darrin's 5.11.05 proforma_Power Costs - Comparison bx Rbtl-Staff-Jt-PC_Electric Rev Req Model (2009 GRC) Revised 01-18-2010 4" xfId="9816"/>
    <cellStyle name="_Recon to Darrin's 5.11.05 proforma_Power Costs - Comparison bx Rbtl-Staff-Jt-PC_Electric Rev Req Model (2009 GRC) Revised 01-18-2010_DEM-WP(C) ENERG10C--ctn Mid-C_042010 2010GRC" xfId="9817"/>
    <cellStyle name="_Recon to Darrin's 5.11.05 proforma_Power Costs - Comparison bx Rbtl-Staff-Jt-PC_Electric Rev Req Model (2009 GRC) Revised 01-18-2010_DEM-WP(C) ENERG10C--ctn Mid-C_042010 2010GRC 2" xfId="9818"/>
    <cellStyle name="_Recon to Darrin's 5.11.05 proforma_Power Costs - Comparison bx Rbtl-Staff-Jt-PC_Final Order Electric EXHIBIT A-1" xfId="9819"/>
    <cellStyle name="_Recon to Darrin's 5.11.05 proforma_Power Costs - Comparison bx Rbtl-Staff-Jt-PC_Final Order Electric EXHIBIT A-1 2" xfId="9820"/>
    <cellStyle name="_Recon to Darrin's 5.11.05 proforma_Power Costs - Comparison bx Rbtl-Staff-Jt-PC_Final Order Electric EXHIBIT A-1 2 2" xfId="9821"/>
    <cellStyle name="_Recon to Darrin's 5.11.05 proforma_Power Costs - Comparison bx Rbtl-Staff-Jt-PC_Final Order Electric EXHIBIT A-1 3" xfId="9822"/>
    <cellStyle name="_Recon to Darrin's 5.11.05 proforma_Production Adj 4.37" xfId="21276"/>
    <cellStyle name="_Recon to Darrin's 5.11.05 proforma_Purchased Power Adj 4.03" xfId="21277"/>
    <cellStyle name="_Recon to Darrin's 5.11.05 proforma_Rebuttal Power Costs" xfId="9823"/>
    <cellStyle name="_Recon to Darrin's 5.11.05 proforma_Rebuttal Power Costs 2" xfId="9824"/>
    <cellStyle name="_Recon to Darrin's 5.11.05 proforma_Rebuttal Power Costs 2 2" xfId="9825"/>
    <cellStyle name="_Recon to Darrin's 5.11.05 proforma_Rebuttal Power Costs 3" xfId="9826"/>
    <cellStyle name="_Recon to Darrin's 5.11.05 proforma_Rebuttal Power Costs 3 2" xfId="9827"/>
    <cellStyle name="_Recon to Darrin's 5.11.05 proforma_Rebuttal Power Costs 4" xfId="9828"/>
    <cellStyle name="_Recon to Darrin's 5.11.05 proforma_Rebuttal Power Costs_Adj Bench DR 3 for Initial Briefs (Electric)" xfId="9829"/>
    <cellStyle name="_Recon to Darrin's 5.11.05 proforma_Rebuttal Power Costs_Adj Bench DR 3 for Initial Briefs (Electric) 2" xfId="9830"/>
    <cellStyle name="_Recon to Darrin's 5.11.05 proforma_Rebuttal Power Costs_Adj Bench DR 3 for Initial Briefs (Electric) 2 2" xfId="9831"/>
    <cellStyle name="_Recon to Darrin's 5.11.05 proforma_Rebuttal Power Costs_Adj Bench DR 3 for Initial Briefs (Electric) 3" xfId="9832"/>
    <cellStyle name="_Recon to Darrin's 5.11.05 proforma_Rebuttal Power Costs_Adj Bench DR 3 for Initial Briefs (Electric) 3 2" xfId="9833"/>
    <cellStyle name="_Recon to Darrin's 5.11.05 proforma_Rebuttal Power Costs_Adj Bench DR 3 for Initial Briefs (Electric) 4" xfId="9834"/>
    <cellStyle name="_Recon to Darrin's 5.11.05 proforma_Rebuttal Power Costs_Adj Bench DR 3 for Initial Briefs (Electric)_DEM-WP(C) ENERG10C--ctn Mid-C_042010 2010GRC" xfId="9835"/>
    <cellStyle name="_Recon to Darrin's 5.11.05 proforma_Rebuttal Power Costs_Adj Bench DR 3 for Initial Briefs (Electric)_DEM-WP(C) ENERG10C--ctn Mid-C_042010 2010GRC 2" xfId="9836"/>
    <cellStyle name="_Recon to Darrin's 5.11.05 proforma_Rebuttal Power Costs_DEM-WP(C) ENERG10C--ctn Mid-C_042010 2010GRC" xfId="9837"/>
    <cellStyle name="_Recon to Darrin's 5.11.05 proforma_Rebuttal Power Costs_DEM-WP(C) ENERG10C--ctn Mid-C_042010 2010GRC 2" xfId="9838"/>
    <cellStyle name="_Recon to Darrin's 5.11.05 proforma_Rebuttal Power Costs_Electric Rev Req Model (2009 GRC) Rebuttal" xfId="9839"/>
    <cellStyle name="_Recon to Darrin's 5.11.05 proforma_Rebuttal Power Costs_Electric Rev Req Model (2009 GRC) Rebuttal 2" xfId="9840"/>
    <cellStyle name="_Recon to Darrin's 5.11.05 proforma_Rebuttal Power Costs_Electric Rev Req Model (2009 GRC) Rebuttal 2 2" xfId="9841"/>
    <cellStyle name="_Recon to Darrin's 5.11.05 proforma_Rebuttal Power Costs_Electric Rev Req Model (2009 GRC) Rebuttal 3" xfId="9842"/>
    <cellStyle name="_Recon to Darrin's 5.11.05 proforma_Rebuttal Power Costs_Electric Rev Req Model (2009 GRC) Rebuttal REmoval of New  WH Solar AdjustMI" xfId="9843"/>
    <cellStyle name="_Recon to Darrin's 5.11.05 proforma_Rebuttal Power Costs_Electric Rev Req Model (2009 GRC) Rebuttal REmoval of New  WH Solar AdjustMI 2" xfId="9844"/>
    <cellStyle name="_Recon to Darrin's 5.11.05 proforma_Rebuttal Power Costs_Electric Rev Req Model (2009 GRC) Rebuttal REmoval of New  WH Solar AdjustMI 2 2" xfId="9845"/>
    <cellStyle name="_Recon to Darrin's 5.11.05 proforma_Rebuttal Power Costs_Electric Rev Req Model (2009 GRC) Rebuttal REmoval of New  WH Solar AdjustMI 3" xfId="9846"/>
    <cellStyle name="_Recon to Darrin's 5.11.05 proforma_Rebuttal Power Costs_Electric Rev Req Model (2009 GRC) Rebuttal REmoval of New  WH Solar AdjustMI 3 2" xfId="9847"/>
    <cellStyle name="_Recon to Darrin's 5.11.05 proforma_Rebuttal Power Costs_Electric Rev Req Model (2009 GRC) Rebuttal REmoval of New  WH Solar AdjustMI 4" xfId="9848"/>
    <cellStyle name="_Recon to Darrin's 5.11.05 proforma_Rebuttal Power Costs_Electric Rev Req Model (2009 GRC) Rebuttal REmoval of New  WH Solar AdjustMI_DEM-WP(C) ENERG10C--ctn Mid-C_042010 2010GRC" xfId="9849"/>
    <cellStyle name="_Recon to Darrin's 5.11.05 proforma_Rebuttal Power Costs_Electric Rev Req Model (2009 GRC) Rebuttal REmoval of New  WH Solar AdjustMI_DEM-WP(C) ENERG10C--ctn Mid-C_042010 2010GRC 2" xfId="9850"/>
    <cellStyle name="_Recon to Darrin's 5.11.05 proforma_Rebuttal Power Costs_Electric Rev Req Model (2009 GRC) Revised 01-18-2010" xfId="9851"/>
    <cellStyle name="_Recon to Darrin's 5.11.05 proforma_Rebuttal Power Costs_Electric Rev Req Model (2009 GRC) Revised 01-18-2010 2" xfId="9852"/>
    <cellStyle name="_Recon to Darrin's 5.11.05 proforma_Rebuttal Power Costs_Electric Rev Req Model (2009 GRC) Revised 01-18-2010 2 2" xfId="9853"/>
    <cellStyle name="_Recon to Darrin's 5.11.05 proforma_Rebuttal Power Costs_Electric Rev Req Model (2009 GRC) Revised 01-18-2010 3" xfId="9854"/>
    <cellStyle name="_Recon to Darrin's 5.11.05 proforma_Rebuttal Power Costs_Electric Rev Req Model (2009 GRC) Revised 01-18-2010 3 2" xfId="9855"/>
    <cellStyle name="_Recon to Darrin's 5.11.05 proforma_Rebuttal Power Costs_Electric Rev Req Model (2009 GRC) Revised 01-18-2010 4" xfId="9856"/>
    <cellStyle name="_Recon to Darrin's 5.11.05 proforma_Rebuttal Power Costs_Electric Rev Req Model (2009 GRC) Revised 01-18-2010_DEM-WP(C) ENERG10C--ctn Mid-C_042010 2010GRC" xfId="9857"/>
    <cellStyle name="_Recon to Darrin's 5.11.05 proforma_Rebuttal Power Costs_Electric Rev Req Model (2009 GRC) Revised 01-18-2010_DEM-WP(C) ENERG10C--ctn Mid-C_042010 2010GRC 2" xfId="9858"/>
    <cellStyle name="_Recon to Darrin's 5.11.05 proforma_Rebuttal Power Costs_Final Order Electric EXHIBIT A-1" xfId="9859"/>
    <cellStyle name="_Recon to Darrin's 5.11.05 proforma_Rebuttal Power Costs_Final Order Electric EXHIBIT A-1 2" xfId="9860"/>
    <cellStyle name="_Recon to Darrin's 5.11.05 proforma_Rebuttal Power Costs_Final Order Electric EXHIBIT A-1 2 2" xfId="9861"/>
    <cellStyle name="_Recon to Darrin's 5.11.05 proforma_Rebuttal Power Costs_Final Order Electric EXHIBIT A-1 3" xfId="9862"/>
    <cellStyle name="_Recon to Darrin's 5.11.05 proforma_ROR 5.02" xfId="21278"/>
    <cellStyle name="_Recon to Darrin's 5.11.05 proforma_Transmission Workbook for May BOD" xfId="9863"/>
    <cellStyle name="_Recon to Darrin's 5.11.05 proforma_Transmission Workbook for May BOD 2" xfId="9864"/>
    <cellStyle name="_Recon to Darrin's 5.11.05 proforma_Transmission Workbook for May BOD 2 2" xfId="9865"/>
    <cellStyle name="_Recon to Darrin's 5.11.05 proforma_Transmission Workbook for May BOD 3" xfId="9866"/>
    <cellStyle name="_Recon to Darrin's 5.11.05 proforma_Transmission Workbook for May BOD 3 2" xfId="9867"/>
    <cellStyle name="_Recon to Darrin's 5.11.05 proforma_Transmission Workbook for May BOD 4" xfId="9868"/>
    <cellStyle name="_Recon to Darrin's 5.11.05 proforma_Transmission Workbook for May BOD_DEM-WP(C) ENERG10C--ctn Mid-C_042010 2010GRC" xfId="9869"/>
    <cellStyle name="_Recon to Darrin's 5.11.05 proforma_Transmission Workbook for May BOD_DEM-WP(C) ENERG10C--ctn Mid-C_042010 2010GRC 2" xfId="9870"/>
    <cellStyle name="_Recon to Darrin's 5.11.05 proforma_Wind Integration 10GRC" xfId="9871"/>
    <cellStyle name="_Recon to Darrin's 5.11.05 proforma_Wind Integration 10GRC 2" xfId="9872"/>
    <cellStyle name="_Recon to Darrin's 5.11.05 proforma_Wind Integration 10GRC 2 2" xfId="9873"/>
    <cellStyle name="_Recon to Darrin's 5.11.05 proforma_Wind Integration 10GRC 3" xfId="9874"/>
    <cellStyle name="_Recon to Darrin's 5.11.05 proforma_Wind Integration 10GRC 3 2" xfId="9875"/>
    <cellStyle name="_Recon to Darrin's 5.11.05 proforma_Wind Integration 10GRC 4" xfId="9876"/>
    <cellStyle name="_Recon to Darrin's 5.11.05 proforma_Wind Integration 10GRC_DEM-WP(C) ENERG10C--ctn Mid-C_042010 2010GRC" xfId="9877"/>
    <cellStyle name="_Recon to Darrin's 5.11.05 proforma_Wind Integration 10GRC_DEM-WP(C) ENERG10C--ctn Mid-C_042010 2010GRC 2" xfId="9878"/>
    <cellStyle name="_Revenue" xfId="18197"/>
    <cellStyle name="_Revenue_Data" xfId="18198"/>
    <cellStyle name="_Revenue_Data_1" xfId="18199"/>
    <cellStyle name="_Revenue_Data_Pro Forma Rev 09 GRC" xfId="18200"/>
    <cellStyle name="_Revenue_Data_Pro Forma Rev 2010 GRC" xfId="18201"/>
    <cellStyle name="_Revenue_Data_Pro Forma Rev 2010 GRC_Preliminary" xfId="18202"/>
    <cellStyle name="_Revenue_Data_Revenue (Feb 09 - Jan 10)" xfId="18203"/>
    <cellStyle name="_Revenue_Data_Revenue (Jan 09 - Dec 09)" xfId="18204"/>
    <cellStyle name="_Revenue_Data_Revenue (Mar 09 - Feb 10)" xfId="18205"/>
    <cellStyle name="_Revenue_Data_Volume Exhibit (Jan09 - Dec09)" xfId="18206"/>
    <cellStyle name="_Revenue_Mins" xfId="18207"/>
    <cellStyle name="_Revenue_Pro Forma Rev 07 GRC" xfId="18208"/>
    <cellStyle name="_Revenue_Pro Forma Rev 08 GRC" xfId="18209"/>
    <cellStyle name="_Revenue_Pro Forma Rev 09 GRC" xfId="18210"/>
    <cellStyle name="_Revenue_Pro Forma Rev 2010 GRC" xfId="18211"/>
    <cellStyle name="_Revenue_Pro Forma Rev 2010 GRC_Preliminary" xfId="18212"/>
    <cellStyle name="_Revenue_Revenue (Feb 09 - Jan 10)" xfId="18213"/>
    <cellStyle name="_Revenue_Revenue (Jan 09 - Dec 09)" xfId="18214"/>
    <cellStyle name="_Revenue_Revenue (Mar 09 - Feb 10)" xfId="18215"/>
    <cellStyle name="_Revenue_Sheet2" xfId="18216"/>
    <cellStyle name="_Revenue_Therms Data" xfId="18217"/>
    <cellStyle name="_Revenue_Therms Data Rerun" xfId="18218"/>
    <cellStyle name="_Revenue_Volume Exhibit (Jan09 - Dec09)" xfId="18219"/>
    <cellStyle name="_x0013__Scenario 1 REC vs PTC Offset" xfId="9879"/>
    <cellStyle name="_x0013__Scenario 1 REC vs PTC Offset 2" xfId="9880"/>
    <cellStyle name="_x0013__Scenario 3" xfId="9881"/>
    <cellStyle name="_x0013__Scenario 3 2" xfId="9882"/>
    <cellStyle name="_Sumas Proforma - 11-09-07" xfId="9883"/>
    <cellStyle name="_Sumas Proforma - 11-09-07 2" xfId="9884"/>
    <cellStyle name="_Sumas Property Taxes v1" xfId="9885"/>
    <cellStyle name="_Sumas Property Taxes v1 2" xfId="9886"/>
    <cellStyle name="_Tenaska Comparison" xfId="9887"/>
    <cellStyle name="_Tenaska Comparison 2" xfId="9888"/>
    <cellStyle name="_Tenaska Comparison 2 2" xfId="9889"/>
    <cellStyle name="_Tenaska Comparison 2 2 2" xfId="9890"/>
    <cellStyle name="_Tenaska Comparison 2 3" xfId="9891"/>
    <cellStyle name="_Tenaska Comparison 2 3 2" xfId="9892"/>
    <cellStyle name="_Tenaska Comparison 2 4" xfId="9893"/>
    <cellStyle name="_Tenaska Comparison 3" xfId="9894"/>
    <cellStyle name="_Tenaska Comparison 3 2" xfId="9895"/>
    <cellStyle name="_Tenaska Comparison 4" xfId="9896"/>
    <cellStyle name="_Tenaska Comparison 4 2" xfId="9897"/>
    <cellStyle name="_Tenaska Comparison 4 2 2" xfId="9898"/>
    <cellStyle name="_Tenaska Comparison 4 3" xfId="9899"/>
    <cellStyle name="_Tenaska Comparison 5" xfId="9900"/>
    <cellStyle name="_Tenaska Comparison 5 2" xfId="9901"/>
    <cellStyle name="_Tenaska Comparison 5 2 2" xfId="9902"/>
    <cellStyle name="_Tenaska Comparison 5 3" xfId="9903"/>
    <cellStyle name="_Tenaska Comparison 5 3 2" xfId="9904"/>
    <cellStyle name="_Tenaska Comparison 5 4" xfId="9905"/>
    <cellStyle name="_Tenaska Comparison 6" xfId="9906"/>
    <cellStyle name="_Tenaska Comparison 6 2" xfId="9907"/>
    <cellStyle name="_Tenaska Comparison 7" xfId="9908"/>
    <cellStyle name="_Tenaska Comparison 7 2" xfId="9909"/>
    <cellStyle name="_Tenaska Comparison 7 2 2" xfId="9910"/>
    <cellStyle name="_Tenaska Comparison 7 3" xfId="9911"/>
    <cellStyle name="_Tenaska Comparison 8" xfId="9912"/>
    <cellStyle name="_Tenaska Comparison 8 2" xfId="9913"/>
    <cellStyle name="_Tenaska Comparison 8 2 2" xfId="9914"/>
    <cellStyle name="_Tenaska Comparison 8 3" xfId="9915"/>
    <cellStyle name="_Tenaska Comparison 9" xfId="9916"/>
    <cellStyle name="_Tenaska Comparison_(C) WHE Proforma with ITC cash grant 10 Yr Amort_for deferral_102809" xfId="9917"/>
    <cellStyle name="_Tenaska Comparison_(C) WHE Proforma with ITC cash grant 10 Yr Amort_for deferral_102809 2" xfId="9918"/>
    <cellStyle name="_Tenaska Comparison_(C) WHE Proforma with ITC cash grant 10 Yr Amort_for deferral_102809 2 2" xfId="9919"/>
    <cellStyle name="_Tenaska Comparison_(C) WHE Proforma with ITC cash grant 10 Yr Amort_for deferral_102809 3" xfId="9920"/>
    <cellStyle name="_Tenaska Comparison_(C) WHE Proforma with ITC cash grant 10 Yr Amort_for deferral_102809 3 2" xfId="9921"/>
    <cellStyle name="_Tenaska Comparison_(C) WHE Proforma with ITC cash grant 10 Yr Amort_for deferral_102809 4" xfId="9922"/>
    <cellStyle name="_Tenaska Comparison_(C) WHE Proforma with ITC cash grant 10 Yr Amort_for deferral_102809_16.07E Wild Horse Wind Expansionwrkingfile" xfId="9923"/>
    <cellStyle name="_Tenaska Comparison_(C) WHE Proforma with ITC cash grant 10 Yr Amort_for deferral_102809_16.07E Wild Horse Wind Expansionwrkingfile 2" xfId="9924"/>
    <cellStyle name="_Tenaska Comparison_(C) WHE Proforma with ITC cash grant 10 Yr Amort_for deferral_102809_16.07E Wild Horse Wind Expansionwrkingfile 2 2" xfId="9925"/>
    <cellStyle name="_Tenaska Comparison_(C) WHE Proforma with ITC cash grant 10 Yr Amort_for deferral_102809_16.07E Wild Horse Wind Expansionwrkingfile 3" xfId="9926"/>
    <cellStyle name="_Tenaska Comparison_(C) WHE Proforma with ITC cash grant 10 Yr Amort_for deferral_102809_16.07E Wild Horse Wind Expansionwrkingfile 3 2" xfId="9927"/>
    <cellStyle name="_Tenaska Comparison_(C) WHE Proforma with ITC cash grant 10 Yr Amort_for deferral_102809_16.07E Wild Horse Wind Expansionwrkingfile 4" xfId="9928"/>
    <cellStyle name="_Tenaska Comparison_(C) WHE Proforma with ITC cash grant 10 Yr Amort_for deferral_102809_16.07E Wild Horse Wind Expansionwrkingfile SF" xfId="9929"/>
    <cellStyle name="_Tenaska Comparison_(C) WHE Proforma with ITC cash grant 10 Yr Amort_for deferral_102809_16.07E Wild Horse Wind Expansionwrkingfile SF 2" xfId="9930"/>
    <cellStyle name="_Tenaska Comparison_(C) WHE Proforma with ITC cash grant 10 Yr Amort_for deferral_102809_16.07E Wild Horse Wind Expansionwrkingfile SF 2 2" xfId="9931"/>
    <cellStyle name="_Tenaska Comparison_(C) WHE Proforma with ITC cash grant 10 Yr Amort_for deferral_102809_16.07E Wild Horse Wind Expansionwrkingfile SF 3" xfId="9932"/>
    <cellStyle name="_Tenaska Comparison_(C) WHE Proforma with ITC cash grant 10 Yr Amort_for deferral_102809_16.07E Wild Horse Wind Expansionwrkingfile SF 3 2" xfId="9933"/>
    <cellStyle name="_Tenaska Comparison_(C) WHE Proforma with ITC cash grant 10 Yr Amort_for deferral_102809_16.07E Wild Horse Wind Expansionwrkingfile SF 4" xfId="9934"/>
    <cellStyle name="_Tenaska Comparison_(C) WHE Proforma with ITC cash grant 10 Yr Amort_for deferral_102809_16.07E Wild Horse Wind Expansionwrkingfile SF_DEM-WP(C) ENERG10C--ctn Mid-C_042010 2010GRC" xfId="9935"/>
    <cellStyle name="_Tenaska Comparison_(C) WHE Proforma with ITC cash grant 10 Yr Amort_for deferral_102809_16.07E Wild Horse Wind Expansionwrkingfile SF_DEM-WP(C) ENERG10C--ctn Mid-C_042010 2010GRC 2" xfId="9936"/>
    <cellStyle name="_Tenaska Comparison_(C) WHE Proforma with ITC cash grant 10 Yr Amort_for deferral_102809_16.07E Wild Horse Wind Expansionwrkingfile_DEM-WP(C) ENERG10C--ctn Mid-C_042010 2010GRC" xfId="9937"/>
    <cellStyle name="_Tenaska Comparison_(C) WHE Proforma with ITC cash grant 10 Yr Amort_for deferral_102809_16.07E Wild Horse Wind Expansionwrkingfile_DEM-WP(C) ENERG10C--ctn Mid-C_042010 2010GRC 2" xfId="9938"/>
    <cellStyle name="_Tenaska Comparison_(C) WHE Proforma with ITC cash grant 10 Yr Amort_for deferral_102809_16.37E Wild Horse Expansion DeferralRevwrkingfile SF" xfId="9939"/>
    <cellStyle name="_Tenaska Comparison_(C) WHE Proforma with ITC cash grant 10 Yr Amort_for deferral_102809_16.37E Wild Horse Expansion DeferralRevwrkingfile SF 2" xfId="9940"/>
    <cellStyle name="_Tenaska Comparison_(C) WHE Proforma with ITC cash grant 10 Yr Amort_for deferral_102809_16.37E Wild Horse Expansion DeferralRevwrkingfile SF 2 2" xfId="9941"/>
    <cellStyle name="_Tenaska Comparison_(C) WHE Proforma with ITC cash grant 10 Yr Amort_for deferral_102809_16.37E Wild Horse Expansion DeferralRevwrkingfile SF 3" xfId="9942"/>
    <cellStyle name="_Tenaska Comparison_(C) WHE Proforma with ITC cash grant 10 Yr Amort_for deferral_102809_16.37E Wild Horse Expansion DeferralRevwrkingfile SF 3 2" xfId="9943"/>
    <cellStyle name="_Tenaska Comparison_(C) WHE Proforma with ITC cash grant 10 Yr Amort_for deferral_102809_16.37E Wild Horse Expansion DeferralRevwrkingfile SF 4" xfId="9944"/>
    <cellStyle name="_Tenaska Comparison_(C) WHE Proforma with ITC cash grant 10 Yr Amort_for deferral_102809_16.37E Wild Horse Expansion DeferralRevwrkingfile SF_DEM-WP(C) ENERG10C--ctn Mid-C_042010 2010GRC" xfId="9945"/>
    <cellStyle name="_Tenaska Comparison_(C) WHE Proforma with ITC cash grant 10 Yr Amort_for deferral_102809_16.37E Wild Horse Expansion DeferralRevwrkingfile SF_DEM-WP(C) ENERG10C--ctn Mid-C_042010 2010GRC 2" xfId="9946"/>
    <cellStyle name="_Tenaska Comparison_(C) WHE Proforma with ITC cash grant 10 Yr Amort_for deferral_102809_DEM-WP(C) ENERG10C--ctn Mid-C_042010 2010GRC" xfId="9947"/>
    <cellStyle name="_Tenaska Comparison_(C) WHE Proforma with ITC cash grant 10 Yr Amort_for deferral_102809_DEM-WP(C) ENERG10C--ctn Mid-C_042010 2010GRC 2" xfId="9948"/>
    <cellStyle name="_Tenaska Comparison_(C) WHE Proforma with ITC cash grant 10 Yr Amort_for rebuttal_120709" xfId="9949"/>
    <cellStyle name="_Tenaska Comparison_(C) WHE Proforma with ITC cash grant 10 Yr Amort_for rebuttal_120709 2" xfId="9950"/>
    <cellStyle name="_Tenaska Comparison_(C) WHE Proforma with ITC cash grant 10 Yr Amort_for rebuttal_120709 2 2" xfId="9951"/>
    <cellStyle name="_Tenaska Comparison_(C) WHE Proforma with ITC cash grant 10 Yr Amort_for rebuttal_120709 3" xfId="9952"/>
    <cellStyle name="_Tenaska Comparison_(C) WHE Proforma with ITC cash grant 10 Yr Amort_for rebuttal_120709 3 2" xfId="9953"/>
    <cellStyle name="_Tenaska Comparison_(C) WHE Proforma with ITC cash grant 10 Yr Amort_for rebuttal_120709 4" xfId="9954"/>
    <cellStyle name="_Tenaska Comparison_(C) WHE Proforma with ITC cash grant 10 Yr Amort_for rebuttal_120709_DEM-WP(C) ENERG10C--ctn Mid-C_042010 2010GRC" xfId="9955"/>
    <cellStyle name="_Tenaska Comparison_(C) WHE Proforma with ITC cash grant 10 Yr Amort_for rebuttal_120709_DEM-WP(C) ENERG10C--ctn Mid-C_042010 2010GRC 2" xfId="9956"/>
    <cellStyle name="_Tenaska Comparison_04.07E Wild Horse Wind Expansion" xfId="9957"/>
    <cellStyle name="_Tenaska Comparison_04.07E Wild Horse Wind Expansion 2" xfId="9958"/>
    <cellStyle name="_Tenaska Comparison_04.07E Wild Horse Wind Expansion 2 2" xfId="9959"/>
    <cellStyle name="_Tenaska Comparison_04.07E Wild Horse Wind Expansion 3" xfId="9960"/>
    <cellStyle name="_Tenaska Comparison_04.07E Wild Horse Wind Expansion 3 2" xfId="9961"/>
    <cellStyle name="_Tenaska Comparison_04.07E Wild Horse Wind Expansion 4" xfId="9962"/>
    <cellStyle name="_Tenaska Comparison_04.07E Wild Horse Wind Expansion_16.07E Wild Horse Wind Expansionwrkingfile" xfId="9963"/>
    <cellStyle name="_Tenaska Comparison_04.07E Wild Horse Wind Expansion_16.07E Wild Horse Wind Expansionwrkingfile 2" xfId="9964"/>
    <cellStyle name="_Tenaska Comparison_04.07E Wild Horse Wind Expansion_16.07E Wild Horse Wind Expansionwrkingfile 2 2" xfId="9965"/>
    <cellStyle name="_Tenaska Comparison_04.07E Wild Horse Wind Expansion_16.07E Wild Horse Wind Expansionwrkingfile 3" xfId="9966"/>
    <cellStyle name="_Tenaska Comparison_04.07E Wild Horse Wind Expansion_16.07E Wild Horse Wind Expansionwrkingfile 3 2" xfId="9967"/>
    <cellStyle name="_Tenaska Comparison_04.07E Wild Horse Wind Expansion_16.07E Wild Horse Wind Expansionwrkingfile 4" xfId="9968"/>
    <cellStyle name="_Tenaska Comparison_04.07E Wild Horse Wind Expansion_16.07E Wild Horse Wind Expansionwrkingfile SF" xfId="9969"/>
    <cellStyle name="_Tenaska Comparison_04.07E Wild Horse Wind Expansion_16.07E Wild Horse Wind Expansionwrkingfile SF 2" xfId="9970"/>
    <cellStyle name="_Tenaska Comparison_04.07E Wild Horse Wind Expansion_16.07E Wild Horse Wind Expansionwrkingfile SF 2 2" xfId="9971"/>
    <cellStyle name="_Tenaska Comparison_04.07E Wild Horse Wind Expansion_16.07E Wild Horse Wind Expansionwrkingfile SF 3" xfId="9972"/>
    <cellStyle name="_Tenaska Comparison_04.07E Wild Horse Wind Expansion_16.07E Wild Horse Wind Expansionwrkingfile SF 3 2" xfId="9973"/>
    <cellStyle name="_Tenaska Comparison_04.07E Wild Horse Wind Expansion_16.07E Wild Horse Wind Expansionwrkingfile SF 4" xfId="9974"/>
    <cellStyle name="_Tenaska Comparison_04.07E Wild Horse Wind Expansion_16.07E Wild Horse Wind Expansionwrkingfile SF_DEM-WP(C) ENERG10C--ctn Mid-C_042010 2010GRC" xfId="9975"/>
    <cellStyle name="_Tenaska Comparison_04.07E Wild Horse Wind Expansion_16.07E Wild Horse Wind Expansionwrkingfile SF_DEM-WP(C) ENERG10C--ctn Mid-C_042010 2010GRC 2" xfId="9976"/>
    <cellStyle name="_Tenaska Comparison_04.07E Wild Horse Wind Expansion_16.07E Wild Horse Wind Expansionwrkingfile_DEM-WP(C) ENERG10C--ctn Mid-C_042010 2010GRC" xfId="9977"/>
    <cellStyle name="_Tenaska Comparison_04.07E Wild Horse Wind Expansion_16.07E Wild Horse Wind Expansionwrkingfile_DEM-WP(C) ENERG10C--ctn Mid-C_042010 2010GRC 2" xfId="9978"/>
    <cellStyle name="_Tenaska Comparison_04.07E Wild Horse Wind Expansion_16.37E Wild Horse Expansion DeferralRevwrkingfile SF" xfId="9979"/>
    <cellStyle name="_Tenaska Comparison_04.07E Wild Horse Wind Expansion_16.37E Wild Horse Expansion DeferralRevwrkingfile SF 2" xfId="9980"/>
    <cellStyle name="_Tenaska Comparison_04.07E Wild Horse Wind Expansion_16.37E Wild Horse Expansion DeferralRevwrkingfile SF 2 2" xfId="9981"/>
    <cellStyle name="_Tenaska Comparison_04.07E Wild Horse Wind Expansion_16.37E Wild Horse Expansion DeferralRevwrkingfile SF 3" xfId="9982"/>
    <cellStyle name="_Tenaska Comparison_04.07E Wild Horse Wind Expansion_16.37E Wild Horse Expansion DeferralRevwrkingfile SF 3 2" xfId="9983"/>
    <cellStyle name="_Tenaska Comparison_04.07E Wild Horse Wind Expansion_16.37E Wild Horse Expansion DeferralRevwrkingfile SF 4" xfId="9984"/>
    <cellStyle name="_Tenaska Comparison_04.07E Wild Horse Wind Expansion_16.37E Wild Horse Expansion DeferralRevwrkingfile SF_DEM-WP(C) ENERG10C--ctn Mid-C_042010 2010GRC" xfId="9985"/>
    <cellStyle name="_Tenaska Comparison_04.07E Wild Horse Wind Expansion_16.37E Wild Horse Expansion DeferralRevwrkingfile SF_DEM-WP(C) ENERG10C--ctn Mid-C_042010 2010GRC 2" xfId="9986"/>
    <cellStyle name="_Tenaska Comparison_04.07E Wild Horse Wind Expansion_DEM-WP(C) ENERG10C--ctn Mid-C_042010 2010GRC" xfId="9987"/>
    <cellStyle name="_Tenaska Comparison_04.07E Wild Horse Wind Expansion_DEM-WP(C) ENERG10C--ctn Mid-C_042010 2010GRC 2" xfId="9988"/>
    <cellStyle name="_Tenaska Comparison_16.07E Wild Horse Wind Expansionwrkingfile" xfId="9989"/>
    <cellStyle name="_Tenaska Comparison_16.07E Wild Horse Wind Expansionwrkingfile 2" xfId="9990"/>
    <cellStyle name="_Tenaska Comparison_16.07E Wild Horse Wind Expansionwrkingfile 2 2" xfId="9991"/>
    <cellStyle name="_Tenaska Comparison_16.07E Wild Horse Wind Expansionwrkingfile 3" xfId="9992"/>
    <cellStyle name="_Tenaska Comparison_16.07E Wild Horse Wind Expansionwrkingfile 3 2" xfId="9993"/>
    <cellStyle name="_Tenaska Comparison_16.07E Wild Horse Wind Expansionwrkingfile 4" xfId="9994"/>
    <cellStyle name="_Tenaska Comparison_16.07E Wild Horse Wind Expansionwrkingfile SF" xfId="9995"/>
    <cellStyle name="_Tenaska Comparison_16.07E Wild Horse Wind Expansionwrkingfile SF 2" xfId="9996"/>
    <cellStyle name="_Tenaska Comparison_16.07E Wild Horse Wind Expansionwrkingfile SF 2 2" xfId="9997"/>
    <cellStyle name="_Tenaska Comparison_16.07E Wild Horse Wind Expansionwrkingfile SF 3" xfId="9998"/>
    <cellStyle name="_Tenaska Comparison_16.07E Wild Horse Wind Expansionwrkingfile SF 3 2" xfId="9999"/>
    <cellStyle name="_Tenaska Comparison_16.07E Wild Horse Wind Expansionwrkingfile SF 4" xfId="10000"/>
    <cellStyle name="_Tenaska Comparison_16.07E Wild Horse Wind Expansionwrkingfile SF_DEM-WP(C) ENERG10C--ctn Mid-C_042010 2010GRC" xfId="10001"/>
    <cellStyle name="_Tenaska Comparison_16.07E Wild Horse Wind Expansionwrkingfile SF_DEM-WP(C) ENERG10C--ctn Mid-C_042010 2010GRC 2" xfId="10002"/>
    <cellStyle name="_Tenaska Comparison_16.07E Wild Horse Wind Expansionwrkingfile_DEM-WP(C) ENERG10C--ctn Mid-C_042010 2010GRC" xfId="10003"/>
    <cellStyle name="_Tenaska Comparison_16.07E Wild Horse Wind Expansionwrkingfile_DEM-WP(C) ENERG10C--ctn Mid-C_042010 2010GRC 2" xfId="10004"/>
    <cellStyle name="_Tenaska Comparison_16.37E Wild Horse Expansion DeferralRevwrkingfile SF" xfId="10005"/>
    <cellStyle name="_Tenaska Comparison_16.37E Wild Horse Expansion DeferralRevwrkingfile SF 2" xfId="10006"/>
    <cellStyle name="_Tenaska Comparison_16.37E Wild Horse Expansion DeferralRevwrkingfile SF 2 2" xfId="10007"/>
    <cellStyle name="_Tenaska Comparison_16.37E Wild Horse Expansion DeferralRevwrkingfile SF 3" xfId="10008"/>
    <cellStyle name="_Tenaska Comparison_16.37E Wild Horse Expansion DeferralRevwrkingfile SF 3 2" xfId="10009"/>
    <cellStyle name="_Tenaska Comparison_16.37E Wild Horse Expansion DeferralRevwrkingfile SF 4" xfId="10010"/>
    <cellStyle name="_Tenaska Comparison_16.37E Wild Horse Expansion DeferralRevwrkingfile SF_DEM-WP(C) ENERG10C--ctn Mid-C_042010 2010GRC" xfId="10011"/>
    <cellStyle name="_Tenaska Comparison_16.37E Wild Horse Expansion DeferralRevwrkingfile SF_DEM-WP(C) ENERG10C--ctn Mid-C_042010 2010GRC 2" xfId="10012"/>
    <cellStyle name="_Tenaska Comparison_2009 Compliance Filing PCA Exhibits for GRC" xfId="10013"/>
    <cellStyle name="_Tenaska Comparison_2009 Compliance Filing PCA Exhibits for GRC 2" xfId="10014"/>
    <cellStyle name="_Tenaska Comparison_2009 Compliance Filing PCA Exhibits for GRC 2 2" xfId="10015"/>
    <cellStyle name="_Tenaska Comparison_2009 Compliance Filing PCA Exhibits for GRC 3" xfId="10016"/>
    <cellStyle name="_Tenaska Comparison_2009 GRC Compl Filing - Exhibit D" xfId="10017"/>
    <cellStyle name="_Tenaska Comparison_2009 GRC Compl Filing - Exhibit D 2" xfId="10018"/>
    <cellStyle name="_Tenaska Comparison_2009 GRC Compl Filing - Exhibit D 2 2" xfId="10019"/>
    <cellStyle name="_Tenaska Comparison_2009 GRC Compl Filing - Exhibit D 3" xfId="10020"/>
    <cellStyle name="_Tenaska Comparison_2009 GRC Compl Filing - Exhibit D 3 2" xfId="10021"/>
    <cellStyle name="_Tenaska Comparison_2009 GRC Compl Filing - Exhibit D 4" xfId="10022"/>
    <cellStyle name="_Tenaska Comparison_2009 GRC Compl Filing - Exhibit D_DEM-WP(C) ENERG10C--ctn Mid-C_042010 2010GRC" xfId="10023"/>
    <cellStyle name="_Tenaska Comparison_2009 GRC Compl Filing - Exhibit D_DEM-WP(C) ENERG10C--ctn Mid-C_042010 2010GRC 2" xfId="10024"/>
    <cellStyle name="_Tenaska Comparison_3.01 Income Statement" xfId="10025"/>
    <cellStyle name="_Tenaska Comparison_4 31 Regulatory Assets and Liabilities  7 06- Exhibit D" xfId="10026"/>
    <cellStyle name="_Tenaska Comparison_4 31 Regulatory Assets and Liabilities  7 06- Exhibit D 2" xfId="10027"/>
    <cellStyle name="_Tenaska Comparison_4 31 Regulatory Assets and Liabilities  7 06- Exhibit D 2 2" xfId="10028"/>
    <cellStyle name="_Tenaska Comparison_4 31 Regulatory Assets and Liabilities  7 06- Exhibit D 2 2 2" xfId="10029"/>
    <cellStyle name="_Tenaska Comparison_4 31 Regulatory Assets and Liabilities  7 06- Exhibit D 2 3" xfId="10030"/>
    <cellStyle name="_Tenaska Comparison_4 31 Regulatory Assets and Liabilities  7 06- Exhibit D 3" xfId="10031"/>
    <cellStyle name="_Tenaska Comparison_4 31 Regulatory Assets and Liabilities  7 06- Exhibit D 3 2" xfId="10032"/>
    <cellStyle name="_Tenaska Comparison_4 31 Regulatory Assets and Liabilities  7 06- Exhibit D 4" xfId="10033"/>
    <cellStyle name="_Tenaska Comparison_4 31 Regulatory Assets and Liabilities  7 06- Exhibit D_DEM-WP(C) ENERG10C--ctn Mid-C_042010 2010GRC" xfId="10034"/>
    <cellStyle name="_Tenaska Comparison_4 31 Regulatory Assets and Liabilities  7 06- Exhibit D_DEM-WP(C) ENERG10C--ctn Mid-C_042010 2010GRC 2" xfId="10035"/>
    <cellStyle name="_Tenaska Comparison_4 31 Regulatory Assets and Liabilities  7 06- Exhibit D_NIM Summary" xfId="10036"/>
    <cellStyle name="_Tenaska Comparison_4 31 Regulatory Assets and Liabilities  7 06- Exhibit D_NIM Summary 2" xfId="10037"/>
    <cellStyle name="_Tenaska Comparison_4 31 Regulatory Assets and Liabilities  7 06- Exhibit D_NIM Summary 2 2" xfId="10038"/>
    <cellStyle name="_Tenaska Comparison_4 31 Regulatory Assets and Liabilities  7 06- Exhibit D_NIM Summary 3" xfId="10039"/>
    <cellStyle name="_Tenaska Comparison_4 31 Regulatory Assets and Liabilities  7 06- Exhibit D_NIM Summary 3 2" xfId="10040"/>
    <cellStyle name="_Tenaska Comparison_4 31 Regulatory Assets and Liabilities  7 06- Exhibit D_NIM Summary 4" xfId="10041"/>
    <cellStyle name="_Tenaska Comparison_4 31 Regulatory Assets and Liabilities  7 06- Exhibit D_NIM Summary_DEM-WP(C) ENERG10C--ctn Mid-C_042010 2010GRC" xfId="10042"/>
    <cellStyle name="_Tenaska Comparison_4 31 Regulatory Assets and Liabilities  7 06- Exhibit D_NIM Summary_DEM-WP(C) ENERG10C--ctn Mid-C_042010 2010GRC 2" xfId="10043"/>
    <cellStyle name="_Tenaska Comparison_4 31 Regulatory Assets and Liabilities  7 06- Exhibit D_NIM+O&amp;M" xfId="10044"/>
    <cellStyle name="_Tenaska Comparison_4 31 Regulatory Assets and Liabilities  7 06- Exhibit D_NIM+O&amp;M 2" xfId="10045"/>
    <cellStyle name="_Tenaska Comparison_4 31 Regulatory Assets and Liabilities  7 06- Exhibit D_NIM+O&amp;M Monthly" xfId="10046"/>
    <cellStyle name="_Tenaska Comparison_4 31 Regulatory Assets and Liabilities  7 06- Exhibit D_NIM+O&amp;M Monthly 2" xfId="10047"/>
    <cellStyle name="_Tenaska Comparison_4 31E Reg Asset  Liab and EXH D" xfId="10048"/>
    <cellStyle name="_Tenaska Comparison_4 31E Reg Asset  Liab and EXH D _ Aug 10 Filing (2)" xfId="10049"/>
    <cellStyle name="_Tenaska Comparison_4 31E Reg Asset  Liab and EXH D _ Aug 10 Filing (2) 2" xfId="10050"/>
    <cellStyle name="_Tenaska Comparison_4 31E Reg Asset  Liab and EXH D 2" xfId="10051"/>
    <cellStyle name="_Tenaska Comparison_4 31E Reg Asset  Liab and EXH D 3" xfId="10052"/>
    <cellStyle name="_Tenaska Comparison_4 32 Regulatory Assets and Liabilities  7 06- Exhibit D" xfId="10053"/>
    <cellStyle name="_Tenaska Comparison_4 32 Regulatory Assets and Liabilities  7 06- Exhibit D 2" xfId="10054"/>
    <cellStyle name="_Tenaska Comparison_4 32 Regulatory Assets and Liabilities  7 06- Exhibit D 2 2" xfId="10055"/>
    <cellStyle name="_Tenaska Comparison_4 32 Regulatory Assets and Liabilities  7 06- Exhibit D 2 2 2" xfId="10056"/>
    <cellStyle name="_Tenaska Comparison_4 32 Regulatory Assets and Liabilities  7 06- Exhibit D 2 3" xfId="10057"/>
    <cellStyle name="_Tenaska Comparison_4 32 Regulatory Assets and Liabilities  7 06- Exhibit D 3" xfId="10058"/>
    <cellStyle name="_Tenaska Comparison_4 32 Regulatory Assets and Liabilities  7 06- Exhibit D 3 2" xfId="10059"/>
    <cellStyle name="_Tenaska Comparison_4 32 Regulatory Assets and Liabilities  7 06- Exhibit D 4" xfId="10060"/>
    <cellStyle name="_Tenaska Comparison_4 32 Regulatory Assets and Liabilities  7 06- Exhibit D_DEM-WP(C) ENERG10C--ctn Mid-C_042010 2010GRC" xfId="10061"/>
    <cellStyle name="_Tenaska Comparison_4 32 Regulatory Assets and Liabilities  7 06- Exhibit D_DEM-WP(C) ENERG10C--ctn Mid-C_042010 2010GRC 2" xfId="10062"/>
    <cellStyle name="_Tenaska Comparison_4 32 Regulatory Assets and Liabilities  7 06- Exhibit D_NIM Summary" xfId="10063"/>
    <cellStyle name="_Tenaska Comparison_4 32 Regulatory Assets and Liabilities  7 06- Exhibit D_NIM Summary 2" xfId="10064"/>
    <cellStyle name="_Tenaska Comparison_4 32 Regulatory Assets and Liabilities  7 06- Exhibit D_NIM Summary 2 2" xfId="10065"/>
    <cellStyle name="_Tenaska Comparison_4 32 Regulatory Assets and Liabilities  7 06- Exhibit D_NIM Summary 3" xfId="10066"/>
    <cellStyle name="_Tenaska Comparison_4 32 Regulatory Assets and Liabilities  7 06- Exhibit D_NIM Summary 3 2" xfId="10067"/>
    <cellStyle name="_Tenaska Comparison_4 32 Regulatory Assets and Liabilities  7 06- Exhibit D_NIM Summary 4" xfId="10068"/>
    <cellStyle name="_Tenaska Comparison_4 32 Regulatory Assets and Liabilities  7 06- Exhibit D_NIM Summary_DEM-WP(C) ENERG10C--ctn Mid-C_042010 2010GRC" xfId="10069"/>
    <cellStyle name="_Tenaska Comparison_4 32 Regulatory Assets and Liabilities  7 06- Exhibit D_NIM Summary_DEM-WP(C) ENERG10C--ctn Mid-C_042010 2010GRC 2" xfId="10070"/>
    <cellStyle name="_Tenaska Comparison_4 32 Regulatory Assets and Liabilities  7 06- Exhibit D_NIM+O&amp;M" xfId="10071"/>
    <cellStyle name="_Tenaska Comparison_4 32 Regulatory Assets and Liabilities  7 06- Exhibit D_NIM+O&amp;M 2" xfId="10072"/>
    <cellStyle name="_Tenaska Comparison_4 32 Regulatory Assets and Liabilities  7 06- Exhibit D_NIM+O&amp;M Monthly" xfId="10073"/>
    <cellStyle name="_Tenaska Comparison_4 32 Regulatory Assets and Liabilities  7 06- Exhibit D_NIM+O&amp;M Monthly 2" xfId="10074"/>
    <cellStyle name="_Tenaska Comparison_AURORA Total New" xfId="10075"/>
    <cellStyle name="_Tenaska Comparison_AURORA Total New 2" xfId="10076"/>
    <cellStyle name="_Tenaska Comparison_AURORA Total New 2 2" xfId="10077"/>
    <cellStyle name="_Tenaska Comparison_AURORA Total New 3" xfId="10078"/>
    <cellStyle name="_Tenaska Comparison_Book2" xfId="10079"/>
    <cellStyle name="_Tenaska Comparison_Book2 2" xfId="10080"/>
    <cellStyle name="_Tenaska Comparison_Book2 2 2" xfId="10081"/>
    <cellStyle name="_Tenaska Comparison_Book2 3" xfId="10082"/>
    <cellStyle name="_Tenaska Comparison_Book2 3 2" xfId="10083"/>
    <cellStyle name="_Tenaska Comparison_Book2 4" xfId="10084"/>
    <cellStyle name="_Tenaska Comparison_Book2_Adj Bench DR 3 for Initial Briefs (Electric)" xfId="10085"/>
    <cellStyle name="_Tenaska Comparison_Book2_Adj Bench DR 3 for Initial Briefs (Electric) 2" xfId="10086"/>
    <cellStyle name="_Tenaska Comparison_Book2_Adj Bench DR 3 for Initial Briefs (Electric) 2 2" xfId="10087"/>
    <cellStyle name="_Tenaska Comparison_Book2_Adj Bench DR 3 for Initial Briefs (Electric) 3" xfId="10088"/>
    <cellStyle name="_Tenaska Comparison_Book2_Adj Bench DR 3 for Initial Briefs (Electric) 3 2" xfId="10089"/>
    <cellStyle name="_Tenaska Comparison_Book2_Adj Bench DR 3 for Initial Briefs (Electric) 4" xfId="10090"/>
    <cellStyle name="_Tenaska Comparison_Book2_Adj Bench DR 3 for Initial Briefs (Electric)_DEM-WP(C) ENERG10C--ctn Mid-C_042010 2010GRC" xfId="10091"/>
    <cellStyle name="_Tenaska Comparison_Book2_Adj Bench DR 3 for Initial Briefs (Electric)_DEM-WP(C) ENERG10C--ctn Mid-C_042010 2010GRC 2" xfId="10092"/>
    <cellStyle name="_Tenaska Comparison_Book2_DEM-WP(C) ENERG10C--ctn Mid-C_042010 2010GRC" xfId="10093"/>
    <cellStyle name="_Tenaska Comparison_Book2_DEM-WP(C) ENERG10C--ctn Mid-C_042010 2010GRC 2" xfId="10094"/>
    <cellStyle name="_Tenaska Comparison_Book2_Electric Rev Req Model (2009 GRC) Rebuttal" xfId="10095"/>
    <cellStyle name="_Tenaska Comparison_Book2_Electric Rev Req Model (2009 GRC) Rebuttal 2" xfId="10096"/>
    <cellStyle name="_Tenaska Comparison_Book2_Electric Rev Req Model (2009 GRC) Rebuttal 2 2" xfId="10097"/>
    <cellStyle name="_Tenaska Comparison_Book2_Electric Rev Req Model (2009 GRC) Rebuttal 3" xfId="10098"/>
    <cellStyle name="_Tenaska Comparison_Book2_Electric Rev Req Model (2009 GRC) Rebuttal REmoval of New  WH Solar AdjustMI" xfId="10099"/>
    <cellStyle name="_Tenaska Comparison_Book2_Electric Rev Req Model (2009 GRC) Rebuttal REmoval of New  WH Solar AdjustMI 2" xfId="10100"/>
    <cellStyle name="_Tenaska Comparison_Book2_Electric Rev Req Model (2009 GRC) Rebuttal REmoval of New  WH Solar AdjustMI 2 2" xfId="10101"/>
    <cellStyle name="_Tenaska Comparison_Book2_Electric Rev Req Model (2009 GRC) Rebuttal REmoval of New  WH Solar AdjustMI 3" xfId="10102"/>
    <cellStyle name="_Tenaska Comparison_Book2_Electric Rev Req Model (2009 GRC) Rebuttal REmoval of New  WH Solar AdjustMI 3 2" xfId="10103"/>
    <cellStyle name="_Tenaska Comparison_Book2_Electric Rev Req Model (2009 GRC) Rebuttal REmoval of New  WH Solar AdjustMI 4" xfId="10104"/>
    <cellStyle name="_Tenaska Comparison_Book2_Electric Rev Req Model (2009 GRC) Rebuttal REmoval of New  WH Solar AdjustMI_DEM-WP(C) ENERG10C--ctn Mid-C_042010 2010GRC" xfId="10105"/>
    <cellStyle name="_Tenaska Comparison_Book2_Electric Rev Req Model (2009 GRC) Rebuttal REmoval of New  WH Solar AdjustMI_DEM-WP(C) ENERG10C--ctn Mid-C_042010 2010GRC 2" xfId="10106"/>
    <cellStyle name="_Tenaska Comparison_Book2_Electric Rev Req Model (2009 GRC) Revised 01-18-2010" xfId="10107"/>
    <cellStyle name="_Tenaska Comparison_Book2_Electric Rev Req Model (2009 GRC) Revised 01-18-2010 2" xfId="10108"/>
    <cellStyle name="_Tenaska Comparison_Book2_Electric Rev Req Model (2009 GRC) Revised 01-18-2010 2 2" xfId="10109"/>
    <cellStyle name="_Tenaska Comparison_Book2_Electric Rev Req Model (2009 GRC) Revised 01-18-2010 3" xfId="10110"/>
    <cellStyle name="_Tenaska Comparison_Book2_Electric Rev Req Model (2009 GRC) Revised 01-18-2010 3 2" xfId="10111"/>
    <cellStyle name="_Tenaska Comparison_Book2_Electric Rev Req Model (2009 GRC) Revised 01-18-2010 4" xfId="10112"/>
    <cellStyle name="_Tenaska Comparison_Book2_Electric Rev Req Model (2009 GRC) Revised 01-18-2010_DEM-WP(C) ENERG10C--ctn Mid-C_042010 2010GRC" xfId="10113"/>
    <cellStyle name="_Tenaska Comparison_Book2_Electric Rev Req Model (2009 GRC) Revised 01-18-2010_DEM-WP(C) ENERG10C--ctn Mid-C_042010 2010GRC 2" xfId="10114"/>
    <cellStyle name="_Tenaska Comparison_Book2_Final Order Electric EXHIBIT A-1" xfId="10115"/>
    <cellStyle name="_Tenaska Comparison_Book2_Final Order Electric EXHIBIT A-1 2" xfId="10116"/>
    <cellStyle name="_Tenaska Comparison_Book2_Final Order Electric EXHIBIT A-1 2 2" xfId="10117"/>
    <cellStyle name="_Tenaska Comparison_Book2_Final Order Electric EXHIBIT A-1 3" xfId="10118"/>
    <cellStyle name="_Tenaska Comparison_Book4" xfId="10119"/>
    <cellStyle name="_Tenaska Comparison_Book4 2" xfId="10120"/>
    <cellStyle name="_Tenaska Comparison_Book4 2 2" xfId="10121"/>
    <cellStyle name="_Tenaska Comparison_Book4 3" xfId="10122"/>
    <cellStyle name="_Tenaska Comparison_Book4 3 2" xfId="10123"/>
    <cellStyle name="_Tenaska Comparison_Book4 4" xfId="10124"/>
    <cellStyle name="_Tenaska Comparison_Book4_DEM-WP(C) ENERG10C--ctn Mid-C_042010 2010GRC" xfId="10125"/>
    <cellStyle name="_Tenaska Comparison_Book4_DEM-WP(C) ENERG10C--ctn Mid-C_042010 2010GRC 2" xfId="10126"/>
    <cellStyle name="_Tenaska Comparison_Book9" xfId="10127"/>
    <cellStyle name="_Tenaska Comparison_Book9 2" xfId="10128"/>
    <cellStyle name="_Tenaska Comparison_Book9 2 2" xfId="10129"/>
    <cellStyle name="_Tenaska Comparison_Book9 3" xfId="10130"/>
    <cellStyle name="_Tenaska Comparison_Book9 3 2" xfId="10131"/>
    <cellStyle name="_Tenaska Comparison_Book9 4" xfId="10132"/>
    <cellStyle name="_Tenaska Comparison_Book9_DEM-WP(C) ENERG10C--ctn Mid-C_042010 2010GRC" xfId="10133"/>
    <cellStyle name="_Tenaska Comparison_Book9_DEM-WP(C) ENERG10C--ctn Mid-C_042010 2010GRC 2" xfId="10134"/>
    <cellStyle name="_Tenaska Comparison_Chelan PUD Power Costs (8-10)" xfId="10135"/>
    <cellStyle name="_Tenaska Comparison_Chelan PUD Power Costs (8-10) 2" xfId="10136"/>
    <cellStyle name="_Tenaska Comparison_DEM-WP(C) Chelan Power Costs" xfId="10137"/>
    <cellStyle name="_Tenaska Comparison_DEM-WP(C) Chelan Power Costs 2" xfId="10138"/>
    <cellStyle name="_Tenaska Comparison_DEM-WP(C) ENERG10C--ctn Mid-C_042010 2010GRC" xfId="10139"/>
    <cellStyle name="_Tenaska Comparison_DEM-WP(C) ENERG10C--ctn Mid-C_042010 2010GRC 2" xfId="10140"/>
    <cellStyle name="_Tenaska Comparison_DEM-WP(C) Gas Transport 2010GRC" xfId="10141"/>
    <cellStyle name="_Tenaska Comparison_DEM-WP(C) Gas Transport 2010GRC 2" xfId="10142"/>
    <cellStyle name="_Tenaska Comparison_Exh A-1 resulting from UE-112050 effective Jan 1 2012" xfId="10143"/>
    <cellStyle name="_Tenaska Comparison_Exh A-1 resulting from UE-112050 effective Jan 1 2012 2" xfId="10144"/>
    <cellStyle name="_Tenaska Comparison_Exhibit A-1 effective 4-1-11 fr S Free 12-11" xfId="10145"/>
    <cellStyle name="_Tenaska Comparison_Exhibit A-1 effective 4-1-11 fr S Free 12-11 2" xfId="10146"/>
    <cellStyle name="_Tenaska Comparison_LSRWEP LGIA like Acctg Petition Aug 2010" xfId="10147"/>
    <cellStyle name="_Tenaska Comparison_LSRWEP LGIA like Acctg Petition Aug 2010 2" xfId="10148"/>
    <cellStyle name="_Tenaska Comparison_Mint Farm Generation BPA" xfId="10149"/>
    <cellStyle name="_Tenaska Comparison_NIM Summary" xfId="10150"/>
    <cellStyle name="_Tenaska Comparison_NIM Summary 09GRC" xfId="10151"/>
    <cellStyle name="_Tenaska Comparison_NIM Summary 09GRC 2" xfId="10152"/>
    <cellStyle name="_Tenaska Comparison_NIM Summary 09GRC 2 2" xfId="10153"/>
    <cellStyle name="_Tenaska Comparison_NIM Summary 09GRC 3" xfId="10154"/>
    <cellStyle name="_Tenaska Comparison_NIM Summary 09GRC 3 2" xfId="10155"/>
    <cellStyle name="_Tenaska Comparison_NIM Summary 09GRC 4" xfId="10156"/>
    <cellStyle name="_Tenaska Comparison_NIM Summary 09GRC_DEM-WP(C) ENERG10C--ctn Mid-C_042010 2010GRC" xfId="10157"/>
    <cellStyle name="_Tenaska Comparison_NIM Summary 09GRC_DEM-WP(C) ENERG10C--ctn Mid-C_042010 2010GRC 2" xfId="10158"/>
    <cellStyle name="_Tenaska Comparison_NIM Summary 10" xfId="10159"/>
    <cellStyle name="_Tenaska Comparison_NIM Summary 10 2" xfId="10160"/>
    <cellStyle name="_Tenaska Comparison_NIM Summary 11" xfId="10161"/>
    <cellStyle name="_Tenaska Comparison_NIM Summary 11 2" xfId="10162"/>
    <cellStyle name="_Tenaska Comparison_NIM Summary 12" xfId="10163"/>
    <cellStyle name="_Tenaska Comparison_NIM Summary 12 2" xfId="10164"/>
    <cellStyle name="_Tenaska Comparison_NIM Summary 13" xfId="10165"/>
    <cellStyle name="_Tenaska Comparison_NIM Summary 13 2" xfId="10166"/>
    <cellStyle name="_Tenaska Comparison_NIM Summary 14" xfId="10167"/>
    <cellStyle name="_Tenaska Comparison_NIM Summary 14 2" xfId="10168"/>
    <cellStyle name="_Tenaska Comparison_NIM Summary 15" xfId="10169"/>
    <cellStyle name="_Tenaska Comparison_NIM Summary 15 2" xfId="10170"/>
    <cellStyle name="_Tenaska Comparison_NIM Summary 16" xfId="10171"/>
    <cellStyle name="_Tenaska Comparison_NIM Summary 16 2" xfId="10172"/>
    <cellStyle name="_Tenaska Comparison_NIM Summary 17" xfId="10173"/>
    <cellStyle name="_Tenaska Comparison_NIM Summary 17 2" xfId="10174"/>
    <cellStyle name="_Tenaska Comparison_NIM Summary 18" xfId="10175"/>
    <cellStyle name="_Tenaska Comparison_NIM Summary 18 2" xfId="10176"/>
    <cellStyle name="_Tenaska Comparison_NIM Summary 19" xfId="10177"/>
    <cellStyle name="_Tenaska Comparison_NIM Summary 19 2" xfId="10178"/>
    <cellStyle name="_Tenaska Comparison_NIM Summary 2" xfId="10179"/>
    <cellStyle name="_Tenaska Comparison_NIM Summary 2 2" xfId="10180"/>
    <cellStyle name="_Tenaska Comparison_NIM Summary 20" xfId="10181"/>
    <cellStyle name="_Tenaska Comparison_NIM Summary 20 2" xfId="10182"/>
    <cellStyle name="_Tenaska Comparison_NIM Summary 21" xfId="10183"/>
    <cellStyle name="_Tenaska Comparison_NIM Summary 21 2" xfId="10184"/>
    <cellStyle name="_Tenaska Comparison_NIM Summary 22" xfId="10185"/>
    <cellStyle name="_Tenaska Comparison_NIM Summary 22 2" xfId="10186"/>
    <cellStyle name="_Tenaska Comparison_NIM Summary 23" xfId="10187"/>
    <cellStyle name="_Tenaska Comparison_NIM Summary 23 2" xfId="10188"/>
    <cellStyle name="_Tenaska Comparison_NIM Summary 24" xfId="10189"/>
    <cellStyle name="_Tenaska Comparison_NIM Summary 24 2" xfId="10190"/>
    <cellStyle name="_Tenaska Comparison_NIM Summary 25" xfId="10191"/>
    <cellStyle name="_Tenaska Comparison_NIM Summary 25 2" xfId="10192"/>
    <cellStyle name="_Tenaska Comparison_NIM Summary 26" xfId="10193"/>
    <cellStyle name="_Tenaska Comparison_NIM Summary 26 2" xfId="10194"/>
    <cellStyle name="_Tenaska Comparison_NIM Summary 27" xfId="10195"/>
    <cellStyle name="_Tenaska Comparison_NIM Summary 27 2" xfId="10196"/>
    <cellStyle name="_Tenaska Comparison_NIM Summary 28" xfId="10197"/>
    <cellStyle name="_Tenaska Comparison_NIM Summary 28 2" xfId="10198"/>
    <cellStyle name="_Tenaska Comparison_NIM Summary 29" xfId="10199"/>
    <cellStyle name="_Tenaska Comparison_NIM Summary 29 2" xfId="10200"/>
    <cellStyle name="_Tenaska Comparison_NIM Summary 3" xfId="10201"/>
    <cellStyle name="_Tenaska Comparison_NIM Summary 3 2" xfId="10202"/>
    <cellStyle name="_Tenaska Comparison_NIM Summary 30" xfId="10203"/>
    <cellStyle name="_Tenaska Comparison_NIM Summary 30 2" xfId="10204"/>
    <cellStyle name="_Tenaska Comparison_NIM Summary 31" xfId="10205"/>
    <cellStyle name="_Tenaska Comparison_NIM Summary 31 2" xfId="10206"/>
    <cellStyle name="_Tenaska Comparison_NIM Summary 32" xfId="10207"/>
    <cellStyle name="_Tenaska Comparison_NIM Summary 32 2" xfId="10208"/>
    <cellStyle name="_Tenaska Comparison_NIM Summary 33" xfId="10209"/>
    <cellStyle name="_Tenaska Comparison_NIM Summary 33 2" xfId="10210"/>
    <cellStyle name="_Tenaska Comparison_NIM Summary 34" xfId="10211"/>
    <cellStyle name="_Tenaska Comparison_NIM Summary 34 2" xfId="10212"/>
    <cellStyle name="_Tenaska Comparison_NIM Summary 35" xfId="10213"/>
    <cellStyle name="_Tenaska Comparison_NIM Summary 35 2" xfId="10214"/>
    <cellStyle name="_Tenaska Comparison_NIM Summary 36" xfId="10215"/>
    <cellStyle name="_Tenaska Comparison_NIM Summary 36 2" xfId="10216"/>
    <cellStyle name="_Tenaska Comparison_NIM Summary 37" xfId="10217"/>
    <cellStyle name="_Tenaska Comparison_NIM Summary 37 2" xfId="10218"/>
    <cellStyle name="_Tenaska Comparison_NIM Summary 38" xfId="10219"/>
    <cellStyle name="_Tenaska Comparison_NIM Summary 38 2" xfId="10220"/>
    <cellStyle name="_Tenaska Comparison_NIM Summary 39" xfId="10221"/>
    <cellStyle name="_Tenaska Comparison_NIM Summary 39 2" xfId="10222"/>
    <cellStyle name="_Tenaska Comparison_NIM Summary 4" xfId="10223"/>
    <cellStyle name="_Tenaska Comparison_NIM Summary 4 2" xfId="10224"/>
    <cellStyle name="_Tenaska Comparison_NIM Summary 40" xfId="10225"/>
    <cellStyle name="_Tenaska Comparison_NIM Summary 40 2" xfId="10226"/>
    <cellStyle name="_Tenaska Comparison_NIM Summary 41" xfId="10227"/>
    <cellStyle name="_Tenaska Comparison_NIM Summary 41 2" xfId="10228"/>
    <cellStyle name="_Tenaska Comparison_NIM Summary 42" xfId="10229"/>
    <cellStyle name="_Tenaska Comparison_NIM Summary 42 2" xfId="10230"/>
    <cellStyle name="_Tenaska Comparison_NIM Summary 43" xfId="10231"/>
    <cellStyle name="_Tenaska Comparison_NIM Summary 43 2" xfId="10232"/>
    <cellStyle name="_Tenaska Comparison_NIM Summary 44" xfId="10233"/>
    <cellStyle name="_Tenaska Comparison_NIM Summary 44 2" xfId="10234"/>
    <cellStyle name="_Tenaska Comparison_NIM Summary 45" xfId="10235"/>
    <cellStyle name="_Tenaska Comparison_NIM Summary 45 2" xfId="10236"/>
    <cellStyle name="_Tenaska Comparison_NIM Summary 46" xfId="10237"/>
    <cellStyle name="_Tenaska Comparison_NIM Summary 46 2" xfId="10238"/>
    <cellStyle name="_Tenaska Comparison_NIM Summary 47" xfId="10239"/>
    <cellStyle name="_Tenaska Comparison_NIM Summary 47 2" xfId="10240"/>
    <cellStyle name="_Tenaska Comparison_NIM Summary 48" xfId="10241"/>
    <cellStyle name="_Tenaska Comparison_NIM Summary 49" xfId="10242"/>
    <cellStyle name="_Tenaska Comparison_NIM Summary 5" xfId="10243"/>
    <cellStyle name="_Tenaska Comparison_NIM Summary 5 2" xfId="10244"/>
    <cellStyle name="_Tenaska Comparison_NIM Summary 50" xfId="10245"/>
    <cellStyle name="_Tenaska Comparison_NIM Summary 51" xfId="10246"/>
    <cellStyle name="_Tenaska Comparison_NIM Summary 52" xfId="10247"/>
    <cellStyle name="_Tenaska Comparison_NIM Summary 6" xfId="10248"/>
    <cellStyle name="_Tenaska Comparison_NIM Summary 6 2" xfId="10249"/>
    <cellStyle name="_Tenaska Comparison_NIM Summary 7" xfId="10250"/>
    <cellStyle name="_Tenaska Comparison_NIM Summary 7 2" xfId="10251"/>
    <cellStyle name="_Tenaska Comparison_NIM Summary 8" xfId="10252"/>
    <cellStyle name="_Tenaska Comparison_NIM Summary 8 2" xfId="10253"/>
    <cellStyle name="_Tenaska Comparison_NIM Summary 9" xfId="10254"/>
    <cellStyle name="_Tenaska Comparison_NIM Summary 9 2" xfId="10255"/>
    <cellStyle name="_Tenaska Comparison_NIM Summary_DEM-WP(C) ENERG10C--ctn Mid-C_042010 2010GRC" xfId="10256"/>
    <cellStyle name="_Tenaska Comparison_NIM Summary_DEM-WP(C) ENERG10C--ctn Mid-C_042010 2010GRC 2" xfId="10257"/>
    <cellStyle name="_Tenaska Comparison_NIM+O&amp;M" xfId="10258"/>
    <cellStyle name="_Tenaska Comparison_NIM+O&amp;M 2" xfId="10259"/>
    <cellStyle name="_Tenaska Comparison_NIM+O&amp;M 2 2" xfId="10260"/>
    <cellStyle name="_Tenaska Comparison_NIM+O&amp;M 3" xfId="10261"/>
    <cellStyle name="_Tenaska Comparison_NIM+O&amp;M Monthly" xfId="10262"/>
    <cellStyle name="_Tenaska Comparison_NIM+O&amp;M Monthly 2" xfId="10263"/>
    <cellStyle name="_Tenaska Comparison_NIM+O&amp;M Monthly 2 2" xfId="10264"/>
    <cellStyle name="_Tenaska Comparison_NIM+O&amp;M Monthly 3" xfId="10265"/>
    <cellStyle name="_Tenaska Comparison_PCA 10 -  Exhibit D Dec 2011" xfId="10266"/>
    <cellStyle name="_Tenaska Comparison_PCA 10 -  Exhibit D Dec 2011 2" xfId="10267"/>
    <cellStyle name="_Tenaska Comparison_PCA 10 -  Exhibit D from A Kellogg Jan 2011" xfId="10268"/>
    <cellStyle name="_Tenaska Comparison_PCA 10 -  Exhibit D from A Kellogg Jan 2011 2" xfId="10269"/>
    <cellStyle name="_Tenaska Comparison_PCA 10 -  Exhibit D from A Kellogg July 2011" xfId="10270"/>
    <cellStyle name="_Tenaska Comparison_PCA 10 -  Exhibit D from A Kellogg July 2011 2" xfId="10271"/>
    <cellStyle name="_Tenaska Comparison_PCA 10 -  Exhibit D from S Free Rcv'd 12-11" xfId="10272"/>
    <cellStyle name="_Tenaska Comparison_PCA 10 -  Exhibit D from S Free Rcv'd 12-11 2" xfId="10273"/>
    <cellStyle name="_Tenaska Comparison_PCA 11 -  Exhibit D Jan 2012 fr A Kellogg" xfId="10274"/>
    <cellStyle name="_Tenaska Comparison_PCA 11 -  Exhibit D Jan 2012 fr A Kellogg 2" xfId="10275"/>
    <cellStyle name="_Tenaska Comparison_PCA 11 -  Exhibit D Jan 2012 WF" xfId="10276"/>
    <cellStyle name="_Tenaska Comparison_PCA 11 -  Exhibit D Jan 2012 WF 2" xfId="10277"/>
    <cellStyle name="_Tenaska Comparison_PCA 9 -  Exhibit D April 2010" xfId="10278"/>
    <cellStyle name="_Tenaska Comparison_PCA 9 -  Exhibit D April 2010 (3)" xfId="10279"/>
    <cellStyle name="_Tenaska Comparison_PCA 9 -  Exhibit D April 2010 (3) 2" xfId="10280"/>
    <cellStyle name="_Tenaska Comparison_PCA 9 -  Exhibit D April 2010 (3) 2 2" xfId="10281"/>
    <cellStyle name="_Tenaska Comparison_PCA 9 -  Exhibit D April 2010 (3) 3" xfId="10282"/>
    <cellStyle name="_Tenaska Comparison_PCA 9 -  Exhibit D April 2010 (3) 3 2" xfId="10283"/>
    <cellStyle name="_Tenaska Comparison_PCA 9 -  Exhibit D April 2010 (3) 4" xfId="10284"/>
    <cellStyle name="_Tenaska Comparison_PCA 9 -  Exhibit D April 2010 (3)_DEM-WP(C) ENERG10C--ctn Mid-C_042010 2010GRC" xfId="10285"/>
    <cellStyle name="_Tenaska Comparison_PCA 9 -  Exhibit D April 2010 (3)_DEM-WP(C) ENERG10C--ctn Mid-C_042010 2010GRC 2" xfId="10286"/>
    <cellStyle name="_Tenaska Comparison_PCA 9 -  Exhibit D April 2010 2" xfId="10287"/>
    <cellStyle name="_Tenaska Comparison_PCA 9 -  Exhibit D April 2010 2 2" xfId="10288"/>
    <cellStyle name="_Tenaska Comparison_PCA 9 -  Exhibit D April 2010 3" xfId="10289"/>
    <cellStyle name="_Tenaska Comparison_PCA 9 -  Exhibit D April 2010 3 2" xfId="10290"/>
    <cellStyle name="_Tenaska Comparison_PCA 9 -  Exhibit D April 2010 4" xfId="10291"/>
    <cellStyle name="_Tenaska Comparison_PCA 9 -  Exhibit D April 2010 4 2" xfId="10292"/>
    <cellStyle name="_Tenaska Comparison_PCA 9 -  Exhibit D April 2010 5" xfId="10293"/>
    <cellStyle name="_Tenaska Comparison_PCA 9 -  Exhibit D April 2010 5 2" xfId="10294"/>
    <cellStyle name="_Tenaska Comparison_PCA 9 -  Exhibit D April 2010 6" xfId="10295"/>
    <cellStyle name="_Tenaska Comparison_PCA 9 -  Exhibit D April 2010 6 2" xfId="10296"/>
    <cellStyle name="_Tenaska Comparison_PCA 9 -  Exhibit D April 2010 7" xfId="10297"/>
    <cellStyle name="_Tenaska Comparison_PCA 9 -  Exhibit D Nov 2010" xfId="10298"/>
    <cellStyle name="_Tenaska Comparison_PCA 9 -  Exhibit D Nov 2010 2" xfId="10299"/>
    <cellStyle name="_Tenaska Comparison_PCA 9 -  Exhibit D Nov 2010 2 2" xfId="10300"/>
    <cellStyle name="_Tenaska Comparison_PCA 9 -  Exhibit D Nov 2010 3" xfId="10301"/>
    <cellStyle name="_Tenaska Comparison_PCA 9 - Exhibit D at August 2010" xfId="10302"/>
    <cellStyle name="_Tenaska Comparison_PCA 9 - Exhibit D at August 2010 2" xfId="10303"/>
    <cellStyle name="_Tenaska Comparison_PCA 9 - Exhibit D at August 2010 2 2" xfId="10304"/>
    <cellStyle name="_Tenaska Comparison_PCA 9 - Exhibit D at August 2010 3" xfId="10305"/>
    <cellStyle name="_Tenaska Comparison_PCA 9 - Exhibit D June 2010 GRC" xfId="10306"/>
    <cellStyle name="_Tenaska Comparison_PCA 9 - Exhibit D June 2010 GRC 2" xfId="10307"/>
    <cellStyle name="_Tenaska Comparison_PCA 9 - Exhibit D June 2010 GRC 2 2" xfId="10308"/>
    <cellStyle name="_Tenaska Comparison_PCA 9 - Exhibit D June 2010 GRC 3" xfId="10309"/>
    <cellStyle name="_Tenaska Comparison_Power Costs - Comparison bx Rbtl-Staff-Jt-PC" xfId="10310"/>
    <cellStyle name="_Tenaska Comparison_Power Costs - Comparison bx Rbtl-Staff-Jt-PC 2" xfId="10311"/>
    <cellStyle name="_Tenaska Comparison_Power Costs - Comparison bx Rbtl-Staff-Jt-PC 2 2" xfId="10312"/>
    <cellStyle name="_Tenaska Comparison_Power Costs - Comparison bx Rbtl-Staff-Jt-PC 3" xfId="10313"/>
    <cellStyle name="_Tenaska Comparison_Power Costs - Comparison bx Rbtl-Staff-Jt-PC 3 2" xfId="10314"/>
    <cellStyle name="_Tenaska Comparison_Power Costs - Comparison bx Rbtl-Staff-Jt-PC 4" xfId="10315"/>
    <cellStyle name="_Tenaska Comparison_Power Costs - Comparison bx Rbtl-Staff-Jt-PC_Adj Bench DR 3 for Initial Briefs (Electric)" xfId="10316"/>
    <cellStyle name="_Tenaska Comparison_Power Costs - Comparison bx Rbtl-Staff-Jt-PC_Adj Bench DR 3 for Initial Briefs (Electric) 2" xfId="10317"/>
    <cellStyle name="_Tenaska Comparison_Power Costs - Comparison bx Rbtl-Staff-Jt-PC_Adj Bench DR 3 for Initial Briefs (Electric) 2 2" xfId="10318"/>
    <cellStyle name="_Tenaska Comparison_Power Costs - Comparison bx Rbtl-Staff-Jt-PC_Adj Bench DR 3 for Initial Briefs (Electric) 3" xfId="10319"/>
    <cellStyle name="_Tenaska Comparison_Power Costs - Comparison bx Rbtl-Staff-Jt-PC_Adj Bench DR 3 for Initial Briefs (Electric) 3 2" xfId="10320"/>
    <cellStyle name="_Tenaska Comparison_Power Costs - Comparison bx Rbtl-Staff-Jt-PC_Adj Bench DR 3 for Initial Briefs (Electric) 4" xfId="10321"/>
    <cellStyle name="_Tenaska Comparison_Power Costs - Comparison bx Rbtl-Staff-Jt-PC_Adj Bench DR 3 for Initial Briefs (Electric)_DEM-WP(C) ENERG10C--ctn Mid-C_042010 2010GRC" xfId="10322"/>
    <cellStyle name="_Tenaska Comparison_Power Costs - Comparison bx Rbtl-Staff-Jt-PC_Adj Bench DR 3 for Initial Briefs (Electric)_DEM-WP(C) ENERG10C--ctn Mid-C_042010 2010GRC 2" xfId="10323"/>
    <cellStyle name="_Tenaska Comparison_Power Costs - Comparison bx Rbtl-Staff-Jt-PC_DEM-WP(C) ENERG10C--ctn Mid-C_042010 2010GRC" xfId="10324"/>
    <cellStyle name="_Tenaska Comparison_Power Costs - Comparison bx Rbtl-Staff-Jt-PC_DEM-WP(C) ENERG10C--ctn Mid-C_042010 2010GRC 2" xfId="10325"/>
    <cellStyle name="_Tenaska Comparison_Power Costs - Comparison bx Rbtl-Staff-Jt-PC_Electric Rev Req Model (2009 GRC) Rebuttal" xfId="10326"/>
    <cellStyle name="_Tenaska Comparison_Power Costs - Comparison bx Rbtl-Staff-Jt-PC_Electric Rev Req Model (2009 GRC) Rebuttal 2" xfId="10327"/>
    <cellStyle name="_Tenaska Comparison_Power Costs - Comparison bx Rbtl-Staff-Jt-PC_Electric Rev Req Model (2009 GRC) Rebuttal 2 2" xfId="10328"/>
    <cellStyle name="_Tenaska Comparison_Power Costs - Comparison bx Rbtl-Staff-Jt-PC_Electric Rev Req Model (2009 GRC) Rebuttal 3" xfId="10329"/>
    <cellStyle name="_Tenaska Comparison_Power Costs - Comparison bx Rbtl-Staff-Jt-PC_Electric Rev Req Model (2009 GRC) Rebuttal REmoval of New  WH Solar AdjustMI" xfId="10330"/>
    <cellStyle name="_Tenaska Comparison_Power Costs - Comparison bx Rbtl-Staff-Jt-PC_Electric Rev Req Model (2009 GRC) Rebuttal REmoval of New  WH Solar AdjustMI 2" xfId="10331"/>
    <cellStyle name="_Tenaska Comparison_Power Costs - Comparison bx Rbtl-Staff-Jt-PC_Electric Rev Req Model (2009 GRC) Rebuttal REmoval of New  WH Solar AdjustMI 2 2" xfId="10332"/>
    <cellStyle name="_Tenaska Comparison_Power Costs - Comparison bx Rbtl-Staff-Jt-PC_Electric Rev Req Model (2009 GRC) Rebuttal REmoval of New  WH Solar AdjustMI 3" xfId="10333"/>
    <cellStyle name="_Tenaska Comparison_Power Costs - Comparison bx Rbtl-Staff-Jt-PC_Electric Rev Req Model (2009 GRC) Rebuttal REmoval of New  WH Solar AdjustMI 3 2" xfId="10334"/>
    <cellStyle name="_Tenaska Comparison_Power Costs - Comparison bx Rbtl-Staff-Jt-PC_Electric Rev Req Model (2009 GRC) Rebuttal REmoval of New  WH Solar AdjustMI 4" xfId="10335"/>
    <cellStyle name="_Tenaska Comparison_Power Costs - Comparison bx Rbtl-Staff-Jt-PC_Electric Rev Req Model (2009 GRC) Rebuttal REmoval of New  WH Solar AdjustMI_DEM-WP(C) ENERG10C--ctn Mid-C_042010 2010GRC" xfId="10336"/>
    <cellStyle name="_Tenaska Comparison_Power Costs - Comparison bx Rbtl-Staff-Jt-PC_Electric Rev Req Model (2009 GRC) Rebuttal REmoval of New  WH Solar AdjustMI_DEM-WP(C) ENERG10C--ctn Mid-C_042010 2010GRC 2" xfId="10337"/>
    <cellStyle name="_Tenaska Comparison_Power Costs - Comparison bx Rbtl-Staff-Jt-PC_Electric Rev Req Model (2009 GRC) Revised 01-18-2010" xfId="10338"/>
    <cellStyle name="_Tenaska Comparison_Power Costs - Comparison bx Rbtl-Staff-Jt-PC_Electric Rev Req Model (2009 GRC) Revised 01-18-2010 2" xfId="10339"/>
    <cellStyle name="_Tenaska Comparison_Power Costs - Comparison bx Rbtl-Staff-Jt-PC_Electric Rev Req Model (2009 GRC) Revised 01-18-2010 2 2" xfId="10340"/>
    <cellStyle name="_Tenaska Comparison_Power Costs - Comparison bx Rbtl-Staff-Jt-PC_Electric Rev Req Model (2009 GRC) Revised 01-18-2010 3" xfId="10341"/>
    <cellStyle name="_Tenaska Comparison_Power Costs - Comparison bx Rbtl-Staff-Jt-PC_Electric Rev Req Model (2009 GRC) Revised 01-18-2010 3 2" xfId="10342"/>
    <cellStyle name="_Tenaska Comparison_Power Costs - Comparison bx Rbtl-Staff-Jt-PC_Electric Rev Req Model (2009 GRC) Revised 01-18-2010 4" xfId="10343"/>
    <cellStyle name="_Tenaska Comparison_Power Costs - Comparison bx Rbtl-Staff-Jt-PC_Electric Rev Req Model (2009 GRC) Revised 01-18-2010_DEM-WP(C) ENERG10C--ctn Mid-C_042010 2010GRC" xfId="10344"/>
    <cellStyle name="_Tenaska Comparison_Power Costs - Comparison bx Rbtl-Staff-Jt-PC_Electric Rev Req Model (2009 GRC) Revised 01-18-2010_DEM-WP(C) ENERG10C--ctn Mid-C_042010 2010GRC 2" xfId="10345"/>
    <cellStyle name="_Tenaska Comparison_Power Costs - Comparison bx Rbtl-Staff-Jt-PC_Final Order Electric EXHIBIT A-1" xfId="10346"/>
    <cellStyle name="_Tenaska Comparison_Power Costs - Comparison bx Rbtl-Staff-Jt-PC_Final Order Electric EXHIBIT A-1 2" xfId="10347"/>
    <cellStyle name="_Tenaska Comparison_Power Costs - Comparison bx Rbtl-Staff-Jt-PC_Final Order Electric EXHIBIT A-1 2 2" xfId="10348"/>
    <cellStyle name="_Tenaska Comparison_Power Costs - Comparison bx Rbtl-Staff-Jt-PC_Final Order Electric EXHIBIT A-1 3" xfId="10349"/>
    <cellStyle name="_Tenaska Comparison_Production Adj 4.37" xfId="21279"/>
    <cellStyle name="_Tenaska Comparison_Purchased Power Adj 4.03" xfId="21280"/>
    <cellStyle name="_Tenaska Comparison_Rebuttal Power Costs" xfId="10350"/>
    <cellStyle name="_Tenaska Comparison_Rebuttal Power Costs 2" xfId="10351"/>
    <cellStyle name="_Tenaska Comparison_Rebuttal Power Costs 2 2" xfId="10352"/>
    <cellStyle name="_Tenaska Comparison_Rebuttal Power Costs 3" xfId="10353"/>
    <cellStyle name="_Tenaska Comparison_Rebuttal Power Costs 3 2" xfId="10354"/>
    <cellStyle name="_Tenaska Comparison_Rebuttal Power Costs 4" xfId="10355"/>
    <cellStyle name="_Tenaska Comparison_Rebuttal Power Costs_Adj Bench DR 3 for Initial Briefs (Electric)" xfId="10356"/>
    <cellStyle name="_Tenaska Comparison_Rebuttal Power Costs_Adj Bench DR 3 for Initial Briefs (Electric) 2" xfId="10357"/>
    <cellStyle name="_Tenaska Comparison_Rebuttal Power Costs_Adj Bench DR 3 for Initial Briefs (Electric) 2 2" xfId="10358"/>
    <cellStyle name="_Tenaska Comparison_Rebuttal Power Costs_Adj Bench DR 3 for Initial Briefs (Electric) 3" xfId="10359"/>
    <cellStyle name="_Tenaska Comparison_Rebuttal Power Costs_Adj Bench DR 3 for Initial Briefs (Electric) 3 2" xfId="10360"/>
    <cellStyle name="_Tenaska Comparison_Rebuttal Power Costs_Adj Bench DR 3 for Initial Briefs (Electric) 4" xfId="10361"/>
    <cellStyle name="_Tenaska Comparison_Rebuttal Power Costs_Adj Bench DR 3 for Initial Briefs (Electric)_DEM-WP(C) ENERG10C--ctn Mid-C_042010 2010GRC" xfId="10362"/>
    <cellStyle name="_Tenaska Comparison_Rebuttal Power Costs_Adj Bench DR 3 for Initial Briefs (Electric)_DEM-WP(C) ENERG10C--ctn Mid-C_042010 2010GRC 2" xfId="10363"/>
    <cellStyle name="_Tenaska Comparison_Rebuttal Power Costs_DEM-WP(C) ENERG10C--ctn Mid-C_042010 2010GRC" xfId="10364"/>
    <cellStyle name="_Tenaska Comparison_Rebuttal Power Costs_DEM-WP(C) ENERG10C--ctn Mid-C_042010 2010GRC 2" xfId="10365"/>
    <cellStyle name="_Tenaska Comparison_Rebuttal Power Costs_Electric Rev Req Model (2009 GRC) Rebuttal" xfId="10366"/>
    <cellStyle name="_Tenaska Comparison_Rebuttal Power Costs_Electric Rev Req Model (2009 GRC) Rebuttal 2" xfId="10367"/>
    <cellStyle name="_Tenaska Comparison_Rebuttal Power Costs_Electric Rev Req Model (2009 GRC) Rebuttal 2 2" xfId="10368"/>
    <cellStyle name="_Tenaska Comparison_Rebuttal Power Costs_Electric Rev Req Model (2009 GRC) Rebuttal 3" xfId="10369"/>
    <cellStyle name="_Tenaska Comparison_Rebuttal Power Costs_Electric Rev Req Model (2009 GRC) Rebuttal REmoval of New  WH Solar AdjustMI" xfId="10370"/>
    <cellStyle name="_Tenaska Comparison_Rebuttal Power Costs_Electric Rev Req Model (2009 GRC) Rebuttal REmoval of New  WH Solar AdjustMI 2" xfId="10371"/>
    <cellStyle name="_Tenaska Comparison_Rebuttal Power Costs_Electric Rev Req Model (2009 GRC) Rebuttal REmoval of New  WH Solar AdjustMI 2 2" xfId="10372"/>
    <cellStyle name="_Tenaska Comparison_Rebuttal Power Costs_Electric Rev Req Model (2009 GRC) Rebuttal REmoval of New  WH Solar AdjustMI 3" xfId="10373"/>
    <cellStyle name="_Tenaska Comparison_Rebuttal Power Costs_Electric Rev Req Model (2009 GRC) Rebuttal REmoval of New  WH Solar AdjustMI 3 2" xfId="10374"/>
    <cellStyle name="_Tenaska Comparison_Rebuttal Power Costs_Electric Rev Req Model (2009 GRC) Rebuttal REmoval of New  WH Solar AdjustMI 4" xfId="10375"/>
    <cellStyle name="_Tenaska Comparison_Rebuttal Power Costs_Electric Rev Req Model (2009 GRC) Rebuttal REmoval of New  WH Solar AdjustMI_DEM-WP(C) ENERG10C--ctn Mid-C_042010 2010GRC" xfId="10376"/>
    <cellStyle name="_Tenaska Comparison_Rebuttal Power Costs_Electric Rev Req Model (2009 GRC) Rebuttal REmoval of New  WH Solar AdjustMI_DEM-WP(C) ENERG10C--ctn Mid-C_042010 2010GRC 2" xfId="10377"/>
    <cellStyle name="_Tenaska Comparison_Rebuttal Power Costs_Electric Rev Req Model (2009 GRC) Revised 01-18-2010" xfId="10378"/>
    <cellStyle name="_Tenaska Comparison_Rebuttal Power Costs_Electric Rev Req Model (2009 GRC) Revised 01-18-2010 2" xfId="10379"/>
    <cellStyle name="_Tenaska Comparison_Rebuttal Power Costs_Electric Rev Req Model (2009 GRC) Revised 01-18-2010 2 2" xfId="10380"/>
    <cellStyle name="_Tenaska Comparison_Rebuttal Power Costs_Electric Rev Req Model (2009 GRC) Revised 01-18-2010 3" xfId="10381"/>
    <cellStyle name="_Tenaska Comparison_Rebuttal Power Costs_Electric Rev Req Model (2009 GRC) Revised 01-18-2010 3 2" xfId="10382"/>
    <cellStyle name="_Tenaska Comparison_Rebuttal Power Costs_Electric Rev Req Model (2009 GRC) Revised 01-18-2010 4" xfId="10383"/>
    <cellStyle name="_Tenaska Comparison_Rebuttal Power Costs_Electric Rev Req Model (2009 GRC) Revised 01-18-2010_DEM-WP(C) ENERG10C--ctn Mid-C_042010 2010GRC" xfId="10384"/>
    <cellStyle name="_Tenaska Comparison_Rebuttal Power Costs_Electric Rev Req Model (2009 GRC) Revised 01-18-2010_DEM-WP(C) ENERG10C--ctn Mid-C_042010 2010GRC 2" xfId="10385"/>
    <cellStyle name="_Tenaska Comparison_Rebuttal Power Costs_Final Order Electric EXHIBIT A-1" xfId="10386"/>
    <cellStyle name="_Tenaska Comparison_Rebuttal Power Costs_Final Order Electric EXHIBIT A-1 2" xfId="10387"/>
    <cellStyle name="_Tenaska Comparison_Rebuttal Power Costs_Final Order Electric EXHIBIT A-1 2 2" xfId="10388"/>
    <cellStyle name="_Tenaska Comparison_Rebuttal Power Costs_Final Order Electric EXHIBIT A-1 3" xfId="10389"/>
    <cellStyle name="_Tenaska Comparison_ROR 5.02" xfId="21281"/>
    <cellStyle name="_Tenaska Comparison_Transmission Workbook for May BOD" xfId="10390"/>
    <cellStyle name="_Tenaska Comparison_Transmission Workbook for May BOD 2" xfId="10391"/>
    <cellStyle name="_Tenaska Comparison_Transmission Workbook for May BOD 2 2" xfId="10392"/>
    <cellStyle name="_Tenaska Comparison_Transmission Workbook for May BOD 3" xfId="10393"/>
    <cellStyle name="_Tenaska Comparison_Transmission Workbook for May BOD 3 2" xfId="10394"/>
    <cellStyle name="_Tenaska Comparison_Transmission Workbook for May BOD 4" xfId="10395"/>
    <cellStyle name="_Tenaska Comparison_Transmission Workbook for May BOD_DEM-WP(C) ENERG10C--ctn Mid-C_042010 2010GRC" xfId="10396"/>
    <cellStyle name="_Tenaska Comparison_Transmission Workbook for May BOD_DEM-WP(C) ENERG10C--ctn Mid-C_042010 2010GRC 2" xfId="10397"/>
    <cellStyle name="_Tenaska Comparison_Wind Integration 10GRC" xfId="10398"/>
    <cellStyle name="_Tenaska Comparison_Wind Integration 10GRC 2" xfId="10399"/>
    <cellStyle name="_Tenaska Comparison_Wind Integration 10GRC 2 2" xfId="10400"/>
    <cellStyle name="_Tenaska Comparison_Wind Integration 10GRC 3" xfId="10401"/>
    <cellStyle name="_Tenaska Comparison_Wind Integration 10GRC 3 2" xfId="10402"/>
    <cellStyle name="_Tenaska Comparison_Wind Integration 10GRC 4" xfId="10403"/>
    <cellStyle name="_Tenaska Comparison_Wind Integration 10GRC_DEM-WP(C) ENERG10C--ctn Mid-C_042010 2010GRC" xfId="10404"/>
    <cellStyle name="_Tenaska Comparison_Wind Integration 10GRC_DEM-WP(C) ENERG10C--ctn Mid-C_042010 2010GRC 2" xfId="10405"/>
    <cellStyle name="_x0013__TENASKA REGULATORY ASSET" xfId="10406"/>
    <cellStyle name="_x0013__TENASKA REGULATORY ASSET 2" xfId="10407"/>
    <cellStyle name="_x0013__TENASKA REGULATORY ASSET 2 2" xfId="10408"/>
    <cellStyle name="_x0013__TENASKA REGULATORY ASSET 3" xfId="10409"/>
    <cellStyle name="_Therms Data" xfId="18220"/>
    <cellStyle name="_Therms Data_Pro Forma Rev 09 GRC" xfId="18221"/>
    <cellStyle name="_Therms Data_Pro Forma Rev 2010 GRC" xfId="18222"/>
    <cellStyle name="_Therms Data_Pro Forma Rev 2010 GRC_Preliminary" xfId="18223"/>
    <cellStyle name="_Therms Data_Revenue (Feb 09 - Jan 10)" xfId="18224"/>
    <cellStyle name="_Therms Data_Revenue (Jan 09 - Dec 09)" xfId="18225"/>
    <cellStyle name="_Therms Data_Revenue (Mar 09 - Feb 10)" xfId="18226"/>
    <cellStyle name="_Therms Data_Volume Exhibit (Jan09 - Dec09)" xfId="18227"/>
    <cellStyle name="_Value Copy 11 30 05 gas 12 09 05 AURORA at 12 14 05" xfId="10410"/>
    <cellStyle name="_Value Copy 11 30 05 gas 12 09 05 AURORA at 12 14 05 2" xfId="10411"/>
    <cellStyle name="_Value Copy 11 30 05 gas 12 09 05 AURORA at 12 14 05 2 2" xfId="10412"/>
    <cellStyle name="_Value Copy 11 30 05 gas 12 09 05 AURORA at 12 14 05 2 2 2" xfId="10413"/>
    <cellStyle name="_Value Copy 11 30 05 gas 12 09 05 AURORA at 12 14 05 2 3" xfId="10414"/>
    <cellStyle name="_Value Copy 11 30 05 gas 12 09 05 AURORA at 12 14 05 2 3 2" xfId="10415"/>
    <cellStyle name="_Value Copy 11 30 05 gas 12 09 05 AURORA at 12 14 05 2 4" xfId="10416"/>
    <cellStyle name="_Value Copy 11 30 05 gas 12 09 05 AURORA at 12 14 05 3" xfId="10417"/>
    <cellStyle name="_Value Copy 11 30 05 gas 12 09 05 AURORA at 12 14 05 3 2" xfId="10418"/>
    <cellStyle name="_Value Copy 11 30 05 gas 12 09 05 AURORA at 12 14 05 4" xfId="10419"/>
    <cellStyle name="_Value Copy 11 30 05 gas 12 09 05 AURORA at 12 14 05 4 2" xfId="10420"/>
    <cellStyle name="_Value Copy 11 30 05 gas 12 09 05 AURORA at 12 14 05 4 2 2" xfId="10421"/>
    <cellStyle name="_Value Copy 11 30 05 gas 12 09 05 AURORA at 12 14 05 4 3" xfId="10422"/>
    <cellStyle name="_Value Copy 11 30 05 gas 12 09 05 AURORA at 12 14 05 5" xfId="10423"/>
    <cellStyle name="_Value Copy 11 30 05 gas 12 09 05 AURORA at 12 14 05 5 2" xfId="10424"/>
    <cellStyle name="_Value Copy 11 30 05 gas 12 09 05 AURORA at 12 14 05 6" xfId="10425"/>
    <cellStyle name="_Value Copy 11 30 05 gas 12 09 05 AURORA at 12 14 05 6 2" xfId="10426"/>
    <cellStyle name="_Value Copy 11 30 05 gas 12 09 05 AURORA at 12 14 05 6 2 2" xfId="10427"/>
    <cellStyle name="_Value Copy 11 30 05 gas 12 09 05 AURORA at 12 14 05 6 3" xfId="10428"/>
    <cellStyle name="_Value Copy 11 30 05 gas 12 09 05 AURORA at 12 14 05 7" xfId="10429"/>
    <cellStyle name="_Value Copy 11 30 05 gas 12 09 05 AURORA at 12 14 05 7 2" xfId="10430"/>
    <cellStyle name="_Value Copy 11 30 05 gas 12 09 05 AURORA at 12 14 05 7 2 2" xfId="10431"/>
    <cellStyle name="_Value Copy 11 30 05 gas 12 09 05 AURORA at 12 14 05 7 3" xfId="10432"/>
    <cellStyle name="_Value Copy 11 30 05 gas 12 09 05 AURORA at 12 14 05 8" xfId="10433"/>
    <cellStyle name="_Value Copy 11 30 05 gas 12 09 05 AURORA at 12 14 05_04 07E Wild Horse Wind Expansion (C) (2)" xfId="10434"/>
    <cellStyle name="_Value Copy 11 30 05 gas 12 09 05 AURORA at 12 14 05_04 07E Wild Horse Wind Expansion (C) (2) 2" xfId="10435"/>
    <cellStyle name="_Value Copy 11 30 05 gas 12 09 05 AURORA at 12 14 05_04 07E Wild Horse Wind Expansion (C) (2) 2 2" xfId="10436"/>
    <cellStyle name="_Value Copy 11 30 05 gas 12 09 05 AURORA at 12 14 05_04 07E Wild Horse Wind Expansion (C) (2) 3" xfId="10437"/>
    <cellStyle name="_Value Copy 11 30 05 gas 12 09 05 AURORA at 12 14 05_04 07E Wild Horse Wind Expansion (C) (2) 3 2" xfId="10438"/>
    <cellStyle name="_Value Copy 11 30 05 gas 12 09 05 AURORA at 12 14 05_04 07E Wild Horse Wind Expansion (C) (2) 4" xfId="10439"/>
    <cellStyle name="_Value Copy 11 30 05 gas 12 09 05 AURORA at 12 14 05_04 07E Wild Horse Wind Expansion (C) (2)_Adj Bench DR 3 for Initial Briefs (Electric)" xfId="10440"/>
    <cellStyle name="_Value Copy 11 30 05 gas 12 09 05 AURORA at 12 14 05_04 07E Wild Horse Wind Expansion (C) (2)_Adj Bench DR 3 for Initial Briefs (Electric) 2" xfId="10441"/>
    <cellStyle name="_Value Copy 11 30 05 gas 12 09 05 AURORA at 12 14 05_04 07E Wild Horse Wind Expansion (C) (2)_Adj Bench DR 3 for Initial Briefs (Electric) 2 2" xfId="10442"/>
    <cellStyle name="_Value Copy 11 30 05 gas 12 09 05 AURORA at 12 14 05_04 07E Wild Horse Wind Expansion (C) (2)_Adj Bench DR 3 for Initial Briefs (Electric) 3" xfId="10443"/>
    <cellStyle name="_Value Copy 11 30 05 gas 12 09 05 AURORA at 12 14 05_04 07E Wild Horse Wind Expansion (C) (2)_Adj Bench DR 3 for Initial Briefs (Electric) 3 2" xfId="10444"/>
    <cellStyle name="_Value Copy 11 30 05 gas 12 09 05 AURORA at 12 14 05_04 07E Wild Horse Wind Expansion (C) (2)_Adj Bench DR 3 for Initial Briefs (Electric) 4" xfId="10445"/>
    <cellStyle name="_Value Copy 11 30 05 gas 12 09 05 AURORA at 12 14 05_04 07E Wild Horse Wind Expansion (C) (2)_Adj Bench DR 3 for Initial Briefs (Electric)_DEM-WP(C) ENERG10C--ctn Mid-C_042010 2010GRC" xfId="10446"/>
    <cellStyle name="_Value Copy 11 30 05 gas 12 09 05 AURORA at 12 14 05_04 07E Wild Horse Wind Expansion (C) (2)_Adj Bench DR 3 for Initial Briefs (Electric)_DEM-WP(C) ENERG10C--ctn Mid-C_042010 2010GRC 2" xfId="10447"/>
    <cellStyle name="_Value Copy 11 30 05 gas 12 09 05 AURORA at 12 14 05_04 07E Wild Horse Wind Expansion (C) (2)_Book1" xfId="10448"/>
    <cellStyle name="_Value Copy 11 30 05 gas 12 09 05 AURORA at 12 14 05_04 07E Wild Horse Wind Expansion (C) (2)_Book1 2" xfId="10449"/>
    <cellStyle name="_Value Copy 11 30 05 gas 12 09 05 AURORA at 12 14 05_04 07E Wild Horse Wind Expansion (C) (2)_DEM-WP(C) ENERG10C--ctn Mid-C_042010 2010GRC" xfId="10450"/>
    <cellStyle name="_Value Copy 11 30 05 gas 12 09 05 AURORA at 12 14 05_04 07E Wild Horse Wind Expansion (C) (2)_DEM-WP(C) ENERG10C--ctn Mid-C_042010 2010GRC 2" xfId="10451"/>
    <cellStyle name="_Value Copy 11 30 05 gas 12 09 05 AURORA at 12 14 05_04 07E Wild Horse Wind Expansion (C) (2)_Electric Rev Req Model (2009 GRC) " xfId="10452"/>
    <cellStyle name="_Value Copy 11 30 05 gas 12 09 05 AURORA at 12 14 05_04 07E Wild Horse Wind Expansion (C) (2)_Electric Rev Req Model (2009 GRC)  2" xfId="10453"/>
    <cellStyle name="_Value Copy 11 30 05 gas 12 09 05 AURORA at 12 14 05_04 07E Wild Horse Wind Expansion (C) (2)_Electric Rev Req Model (2009 GRC)  2 2" xfId="10454"/>
    <cellStyle name="_Value Copy 11 30 05 gas 12 09 05 AURORA at 12 14 05_04 07E Wild Horse Wind Expansion (C) (2)_Electric Rev Req Model (2009 GRC)  3" xfId="10455"/>
    <cellStyle name="_Value Copy 11 30 05 gas 12 09 05 AURORA at 12 14 05_04 07E Wild Horse Wind Expansion (C) (2)_Electric Rev Req Model (2009 GRC)  3 2" xfId="10456"/>
    <cellStyle name="_Value Copy 11 30 05 gas 12 09 05 AURORA at 12 14 05_04 07E Wild Horse Wind Expansion (C) (2)_Electric Rev Req Model (2009 GRC)  4" xfId="10457"/>
    <cellStyle name="_Value Copy 11 30 05 gas 12 09 05 AURORA at 12 14 05_04 07E Wild Horse Wind Expansion (C) (2)_Electric Rev Req Model (2009 GRC) _DEM-WP(C) ENERG10C--ctn Mid-C_042010 2010GRC" xfId="10458"/>
    <cellStyle name="_Value Copy 11 30 05 gas 12 09 05 AURORA at 12 14 05_04 07E Wild Horse Wind Expansion (C) (2)_Electric Rev Req Model (2009 GRC) _DEM-WP(C) ENERG10C--ctn Mid-C_042010 2010GRC 2" xfId="10459"/>
    <cellStyle name="_Value Copy 11 30 05 gas 12 09 05 AURORA at 12 14 05_04 07E Wild Horse Wind Expansion (C) (2)_Electric Rev Req Model (2009 GRC) Rebuttal" xfId="10460"/>
    <cellStyle name="_Value Copy 11 30 05 gas 12 09 05 AURORA at 12 14 05_04 07E Wild Horse Wind Expansion (C) (2)_Electric Rev Req Model (2009 GRC) Rebuttal 2" xfId="10461"/>
    <cellStyle name="_Value Copy 11 30 05 gas 12 09 05 AURORA at 12 14 05_04 07E Wild Horse Wind Expansion (C) (2)_Electric Rev Req Model (2009 GRC) Rebuttal 2 2" xfId="10462"/>
    <cellStyle name="_Value Copy 11 30 05 gas 12 09 05 AURORA at 12 14 05_04 07E Wild Horse Wind Expansion (C) (2)_Electric Rev Req Model (2009 GRC) Rebuttal 3" xfId="10463"/>
    <cellStyle name="_Value Copy 11 30 05 gas 12 09 05 AURORA at 12 14 05_04 07E Wild Horse Wind Expansion (C) (2)_Electric Rev Req Model (2009 GRC) Rebuttal REmoval of New  WH Solar AdjustMI" xfId="10464"/>
    <cellStyle name="_Value Copy 11 30 05 gas 12 09 05 AURORA at 12 14 05_04 07E Wild Horse Wind Expansion (C) (2)_Electric Rev Req Model (2009 GRC) Rebuttal REmoval of New  WH Solar AdjustMI 2" xfId="10465"/>
    <cellStyle name="_Value Copy 11 30 05 gas 12 09 05 AURORA at 12 14 05_04 07E Wild Horse Wind Expansion (C) (2)_Electric Rev Req Model (2009 GRC) Rebuttal REmoval of New  WH Solar AdjustMI 2 2" xfId="10466"/>
    <cellStyle name="_Value Copy 11 30 05 gas 12 09 05 AURORA at 12 14 05_04 07E Wild Horse Wind Expansion (C) (2)_Electric Rev Req Model (2009 GRC) Rebuttal REmoval of New  WH Solar AdjustMI 3" xfId="10467"/>
    <cellStyle name="_Value Copy 11 30 05 gas 12 09 05 AURORA at 12 14 05_04 07E Wild Horse Wind Expansion (C) (2)_Electric Rev Req Model (2009 GRC) Rebuttal REmoval of New  WH Solar AdjustMI 3 2" xfId="10468"/>
    <cellStyle name="_Value Copy 11 30 05 gas 12 09 05 AURORA at 12 14 05_04 07E Wild Horse Wind Expansion (C) (2)_Electric Rev Req Model (2009 GRC) Rebuttal REmoval of New  WH Solar AdjustMI 4" xfId="10469"/>
    <cellStyle name="_Value Copy 11 30 05 gas 12 09 05 AURORA at 12 14 05_04 07E Wild Horse Wind Expansion (C) (2)_Electric Rev Req Model (2009 GRC) Rebuttal REmoval of New  WH Solar AdjustMI_DEM-WP(C) ENERG10C--ctn Mid-C_042010 2010GRC" xfId="10470"/>
    <cellStyle name="_Value Copy 11 30 05 gas 12 09 05 AURORA at 12 14 05_04 07E Wild Horse Wind Expansion (C) (2)_Electric Rev Req Model (2009 GRC) Rebuttal REmoval of New  WH Solar AdjustMI_DEM-WP(C) ENERG10C--ctn Mid-C_042010 2010GRC 2" xfId="10471"/>
    <cellStyle name="_Value Copy 11 30 05 gas 12 09 05 AURORA at 12 14 05_04 07E Wild Horse Wind Expansion (C) (2)_Electric Rev Req Model (2009 GRC) Revised 01-18-2010" xfId="10472"/>
    <cellStyle name="_Value Copy 11 30 05 gas 12 09 05 AURORA at 12 14 05_04 07E Wild Horse Wind Expansion (C) (2)_Electric Rev Req Model (2009 GRC) Revised 01-18-2010 2" xfId="10473"/>
    <cellStyle name="_Value Copy 11 30 05 gas 12 09 05 AURORA at 12 14 05_04 07E Wild Horse Wind Expansion (C) (2)_Electric Rev Req Model (2009 GRC) Revised 01-18-2010 2 2" xfId="10474"/>
    <cellStyle name="_Value Copy 11 30 05 gas 12 09 05 AURORA at 12 14 05_04 07E Wild Horse Wind Expansion (C) (2)_Electric Rev Req Model (2009 GRC) Revised 01-18-2010 3" xfId="10475"/>
    <cellStyle name="_Value Copy 11 30 05 gas 12 09 05 AURORA at 12 14 05_04 07E Wild Horse Wind Expansion (C) (2)_Electric Rev Req Model (2009 GRC) Revised 01-18-2010 3 2" xfId="10476"/>
    <cellStyle name="_Value Copy 11 30 05 gas 12 09 05 AURORA at 12 14 05_04 07E Wild Horse Wind Expansion (C) (2)_Electric Rev Req Model (2009 GRC) Revised 01-18-2010 4" xfId="10477"/>
    <cellStyle name="_Value Copy 11 30 05 gas 12 09 05 AURORA at 12 14 05_04 07E Wild Horse Wind Expansion (C) (2)_Electric Rev Req Model (2009 GRC) Revised 01-18-2010_DEM-WP(C) ENERG10C--ctn Mid-C_042010 2010GRC" xfId="10478"/>
    <cellStyle name="_Value Copy 11 30 05 gas 12 09 05 AURORA at 12 14 05_04 07E Wild Horse Wind Expansion (C) (2)_Electric Rev Req Model (2009 GRC) Revised 01-18-2010_DEM-WP(C) ENERG10C--ctn Mid-C_042010 2010GRC 2" xfId="10479"/>
    <cellStyle name="_Value Copy 11 30 05 gas 12 09 05 AURORA at 12 14 05_04 07E Wild Horse Wind Expansion (C) (2)_Electric Rev Req Model (2010 GRC)" xfId="10480"/>
    <cellStyle name="_Value Copy 11 30 05 gas 12 09 05 AURORA at 12 14 05_04 07E Wild Horse Wind Expansion (C) (2)_Electric Rev Req Model (2010 GRC) 2" xfId="10481"/>
    <cellStyle name="_Value Copy 11 30 05 gas 12 09 05 AURORA at 12 14 05_04 07E Wild Horse Wind Expansion (C) (2)_Electric Rev Req Model (2010 GRC) SF" xfId="10482"/>
    <cellStyle name="_Value Copy 11 30 05 gas 12 09 05 AURORA at 12 14 05_04 07E Wild Horse Wind Expansion (C) (2)_Electric Rev Req Model (2010 GRC) SF 2" xfId="10483"/>
    <cellStyle name="_Value Copy 11 30 05 gas 12 09 05 AURORA at 12 14 05_04 07E Wild Horse Wind Expansion (C) (2)_Final Order Electric EXHIBIT A-1" xfId="10484"/>
    <cellStyle name="_Value Copy 11 30 05 gas 12 09 05 AURORA at 12 14 05_04 07E Wild Horse Wind Expansion (C) (2)_Final Order Electric EXHIBIT A-1 2" xfId="10485"/>
    <cellStyle name="_Value Copy 11 30 05 gas 12 09 05 AURORA at 12 14 05_04 07E Wild Horse Wind Expansion (C) (2)_Final Order Electric EXHIBIT A-1 2 2" xfId="10486"/>
    <cellStyle name="_Value Copy 11 30 05 gas 12 09 05 AURORA at 12 14 05_04 07E Wild Horse Wind Expansion (C) (2)_Final Order Electric EXHIBIT A-1 3" xfId="10487"/>
    <cellStyle name="_Value Copy 11 30 05 gas 12 09 05 AURORA at 12 14 05_04 07E Wild Horse Wind Expansion (C) (2)_TENASKA REGULATORY ASSET" xfId="10488"/>
    <cellStyle name="_Value Copy 11 30 05 gas 12 09 05 AURORA at 12 14 05_04 07E Wild Horse Wind Expansion (C) (2)_TENASKA REGULATORY ASSET 2" xfId="10489"/>
    <cellStyle name="_Value Copy 11 30 05 gas 12 09 05 AURORA at 12 14 05_04 07E Wild Horse Wind Expansion (C) (2)_TENASKA REGULATORY ASSET 2 2" xfId="10490"/>
    <cellStyle name="_Value Copy 11 30 05 gas 12 09 05 AURORA at 12 14 05_04 07E Wild Horse Wind Expansion (C) (2)_TENASKA REGULATORY ASSET 3" xfId="10491"/>
    <cellStyle name="_Value Copy 11 30 05 gas 12 09 05 AURORA at 12 14 05_16.37E Wild Horse Expansion DeferralRevwrkingfile SF" xfId="10492"/>
    <cellStyle name="_Value Copy 11 30 05 gas 12 09 05 AURORA at 12 14 05_16.37E Wild Horse Expansion DeferralRevwrkingfile SF 2" xfId="10493"/>
    <cellStyle name="_Value Copy 11 30 05 gas 12 09 05 AURORA at 12 14 05_16.37E Wild Horse Expansion DeferralRevwrkingfile SF 2 2" xfId="10494"/>
    <cellStyle name="_Value Copy 11 30 05 gas 12 09 05 AURORA at 12 14 05_16.37E Wild Horse Expansion DeferralRevwrkingfile SF 3" xfId="10495"/>
    <cellStyle name="_Value Copy 11 30 05 gas 12 09 05 AURORA at 12 14 05_16.37E Wild Horse Expansion DeferralRevwrkingfile SF 3 2" xfId="10496"/>
    <cellStyle name="_Value Copy 11 30 05 gas 12 09 05 AURORA at 12 14 05_16.37E Wild Horse Expansion DeferralRevwrkingfile SF 4" xfId="10497"/>
    <cellStyle name="_Value Copy 11 30 05 gas 12 09 05 AURORA at 12 14 05_16.37E Wild Horse Expansion DeferralRevwrkingfile SF_DEM-WP(C) ENERG10C--ctn Mid-C_042010 2010GRC" xfId="10498"/>
    <cellStyle name="_Value Copy 11 30 05 gas 12 09 05 AURORA at 12 14 05_16.37E Wild Horse Expansion DeferralRevwrkingfile SF_DEM-WP(C) ENERG10C--ctn Mid-C_042010 2010GRC 2" xfId="10499"/>
    <cellStyle name="_Value Copy 11 30 05 gas 12 09 05 AURORA at 12 14 05_2009 Compliance Filing PCA Exhibits for GRC" xfId="10500"/>
    <cellStyle name="_Value Copy 11 30 05 gas 12 09 05 AURORA at 12 14 05_2009 Compliance Filing PCA Exhibits for GRC 2" xfId="10501"/>
    <cellStyle name="_Value Copy 11 30 05 gas 12 09 05 AURORA at 12 14 05_2009 Compliance Filing PCA Exhibits for GRC 2 2" xfId="10502"/>
    <cellStyle name="_Value Copy 11 30 05 gas 12 09 05 AURORA at 12 14 05_2009 Compliance Filing PCA Exhibits for GRC 3" xfId="10503"/>
    <cellStyle name="_Value Copy 11 30 05 gas 12 09 05 AURORA at 12 14 05_2009 GRC Compl Filing - Exhibit D" xfId="10504"/>
    <cellStyle name="_Value Copy 11 30 05 gas 12 09 05 AURORA at 12 14 05_2009 GRC Compl Filing - Exhibit D 2" xfId="10505"/>
    <cellStyle name="_Value Copy 11 30 05 gas 12 09 05 AURORA at 12 14 05_2009 GRC Compl Filing - Exhibit D 2 2" xfId="10506"/>
    <cellStyle name="_Value Copy 11 30 05 gas 12 09 05 AURORA at 12 14 05_2009 GRC Compl Filing - Exhibit D 3" xfId="10507"/>
    <cellStyle name="_Value Copy 11 30 05 gas 12 09 05 AURORA at 12 14 05_2009 GRC Compl Filing - Exhibit D 3 2" xfId="10508"/>
    <cellStyle name="_Value Copy 11 30 05 gas 12 09 05 AURORA at 12 14 05_2009 GRC Compl Filing - Exhibit D 4" xfId="10509"/>
    <cellStyle name="_Value Copy 11 30 05 gas 12 09 05 AURORA at 12 14 05_2009 GRC Compl Filing - Exhibit D_DEM-WP(C) ENERG10C--ctn Mid-C_042010 2010GRC" xfId="10510"/>
    <cellStyle name="_Value Copy 11 30 05 gas 12 09 05 AURORA at 12 14 05_2009 GRC Compl Filing - Exhibit D_DEM-WP(C) ENERG10C--ctn Mid-C_042010 2010GRC 2" xfId="10511"/>
    <cellStyle name="_Value Copy 11 30 05 gas 12 09 05 AURORA at 12 14 05_3.01 Income Statement" xfId="10512"/>
    <cellStyle name="_Value Copy 11 30 05 gas 12 09 05 AURORA at 12 14 05_4 31 Regulatory Assets and Liabilities  7 06- Exhibit D" xfId="10513"/>
    <cellStyle name="_Value Copy 11 30 05 gas 12 09 05 AURORA at 12 14 05_4 31 Regulatory Assets and Liabilities  7 06- Exhibit D 2" xfId="10514"/>
    <cellStyle name="_Value Copy 11 30 05 gas 12 09 05 AURORA at 12 14 05_4 31 Regulatory Assets and Liabilities  7 06- Exhibit D 2 2" xfId="10515"/>
    <cellStyle name="_Value Copy 11 30 05 gas 12 09 05 AURORA at 12 14 05_4 31 Regulatory Assets and Liabilities  7 06- Exhibit D 3" xfId="10516"/>
    <cellStyle name="_Value Copy 11 30 05 gas 12 09 05 AURORA at 12 14 05_4 31 Regulatory Assets and Liabilities  7 06- Exhibit D 3 2" xfId="10517"/>
    <cellStyle name="_Value Copy 11 30 05 gas 12 09 05 AURORA at 12 14 05_4 31 Regulatory Assets and Liabilities  7 06- Exhibit D 4" xfId="10518"/>
    <cellStyle name="_Value Copy 11 30 05 gas 12 09 05 AURORA at 12 14 05_4 31 Regulatory Assets and Liabilities  7 06- Exhibit D_DEM-WP(C) ENERG10C--ctn Mid-C_042010 2010GRC" xfId="10519"/>
    <cellStyle name="_Value Copy 11 30 05 gas 12 09 05 AURORA at 12 14 05_4 31 Regulatory Assets and Liabilities  7 06- Exhibit D_DEM-WP(C) ENERG10C--ctn Mid-C_042010 2010GRC 2" xfId="10520"/>
    <cellStyle name="_Value Copy 11 30 05 gas 12 09 05 AURORA at 12 14 05_4 31 Regulatory Assets and Liabilities  7 06- Exhibit D_NIM Summary" xfId="10521"/>
    <cellStyle name="_Value Copy 11 30 05 gas 12 09 05 AURORA at 12 14 05_4 31 Regulatory Assets and Liabilities  7 06- Exhibit D_NIM Summary 2" xfId="10522"/>
    <cellStyle name="_Value Copy 11 30 05 gas 12 09 05 AURORA at 12 14 05_4 31 Regulatory Assets and Liabilities  7 06- Exhibit D_NIM Summary 2 2" xfId="10523"/>
    <cellStyle name="_Value Copy 11 30 05 gas 12 09 05 AURORA at 12 14 05_4 31 Regulatory Assets and Liabilities  7 06- Exhibit D_NIM Summary 3" xfId="10524"/>
    <cellStyle name="_Value Copy 11 30 05 gas 12 09 05 AURORA at 12 14 05_4 31 Regulatory Assets and Liabilities  7 06- Exhibit D_NIM Summary 3 2" xfId="10525"/>
    <cellStyle name="_Value Copy 11 30 05 gas 12 09 05 AURORA at 12 14 05_4 31 Regulatory Assets and Liabilities  7 06- Exhibit D_NIM Summary 4" xfId="10526"/>
    <cellStyle name="_Value Copy 11 30 05 gas 12 09 05 AURORA at 12 14 05_4 31 Regulatory Assets and Liabilities  7 06- Exhibit D_NIM Summary_DEM-WP(C) ENERG10C--ctn Mid-C_042010 2010GRC" xfId="10527"/>
    <cellStyle name="_Value Copy 11 30 05 gas 12 09 05 AURORA at 12 14 05_4 31 Regulatory Assets and Liabilities  7 06- Exhibit D_NIM Summary_DEM-WP(C) ENERG10C--ctn Mid-C_042010 2010GRC 2" xfId="10528"/>
    <cellStyle name="_Value Copy 11 30 05 gas 12 09 05 AURORA at 12 14 05_4 31E Reg Asset  Liab and EXH D" xfId="10529"/>
    <cellStyle name="_Value Copy 11 30 05 gas 12 09 05 AURORA at 12 14 05_4 31E Reg Asset  Liab and EXH D _ Aug 10 Filing (2)" xfId="10530"/>
    <cellStyle name="_Value Copy 11 30 05 gas 12 09 05 AURORA at 12 14 05_4 31E Reg Asset  Liab and EXH D _ Aug 10 Filing (2) 2" xfId="10531"/>
    <cellStyle name="_Value Copy 11 30 05 gas 12 09 05 AURORA at 12 14 05_4 31E Reg Asset  Liab and EXH D 2" xfId="10532"/>
    <cellStyle name="_Value Copy 11 30 05 gas 12 09 05 AURORA at 12 14 05_4 31E Reg Asset  Liab and EXH D 3" xfId="10533"/>
    <cellStyle name="_Value Copy 11 30 05 gas 12 09 05 AURORA at 12 14 05_4 32 Regulatory Assets and Liabilities  7 06- Exhibit D" xfId="10534"/>
    <cellStyle name="_Value Copy 11 30 05 gas 12 09 05 AURORA at 12 14 05_4 32 Regulatory Assets and Liabilities  7 06- Exhibit D 2" xfId="10535"/>
    <cellStyle name="_Value Copy 11 30 05 gas 12 09 05 AURORA at 12 14 05_4 32 Regulatory Assets and Liabilities  7 06- Exhibit D 2 2" xfId="10536"/>
    <cellStyle name="_Value Copy 11 30 05 gas 12 09 05 AURORA at 12 14 05_4 32 Regulatory Assets and Liabilities  7 06- Exhibit D 3" xfId="10537"/>
    <cellStyle name="_Value Copy 11 30 05 gas 12 09 05 AURORA at 12 14 05_4 32 Regulatory Assets and Liabilities  7 06- Exhibit D 3 2" xfId="10538"/>
    <cellStyle name="_Value Copy 11 30 05 gas 12 09 05 AURORA at 12 14 05_4 32 Regulatory Assets and Liabilities  7 06- Exhibit D 4" xfId="10539"/>
    <cellStyle name="_Value Copy 11 30 05 gas 12 09 05 AURORA at 12 14 05_4 32 Regulatory Assets and Liabilities  7 06- Exhibit D_DEM-WP(C) ENERG10C--ctn Mid-C_042010 2010GRC" xfId="10540"/>
    <cellStyle name="_Value Copy 11 30 05 gas 12 09 05 AURORA at 12 14 05_4 32 Regulatory Assets and Liabilities  7 06- Exhibit D_DEM-WP(C) ENERG10C--ctn Mid-C_042010 2010GRC 2" xfId="10541"/>
    <cellStyle name="_Value Copy 11 30 05 gas 12 09 05 AURORA at 12 14 05_4 32 Regulatory Assets and Liabilities  7 06- Exhibit D_NIM Summary" xfId="10542"/>
    <cellStyle name="_Value Copy 11 30 05 gas 12 09 05 AURORA at 12 14 05_4 32 Regulatory Assets and Liabilities  7 06- Exhibit D_NIM Summary 2" xfId="10543"/>
    <cellStyle name="_Value Copy 11 30 05 gas 12 09 05 AURORA at 12 14 05_4 32 Regulatory Assets and Liabilities  7 06- Exhibit D_NIM Summary 2 2" xfId="10544"/>
    <cellStyle name="_Value Copy 11 30 05 gas 12 09 05 AURORA at 12 14 05_4 32 Regulatory Assets and Liabilities  7 06- Exhibit D_NIM Summary 3" xfId="10545"/>
    <cellStyle name="_Value Copy 11 30 05 gas 12 09 05 AURORA at 12 14 05_4 32 Regulatory Assets and Liabilities  7 06- Exhibit D_NIM Summary 3 2" xfId="10546"/>
    <cellStyle name="_Value Copy 11 30 05 gas 12 09 05 AURORA at 12 14 05_4 32 Regulatory Assets and Liabilities  7 06- Exhibit D_NIM Summary 4" xfId="10547"/>
    <cellStyle name="_Value Copy 11 30 05 gas 12 09 05 AURORA at 12 14 05_4 32 Regulatory Assets and Liabilities  7 06- Exhibit D_NIM Summary_DEM-WP(C) ENERG10C--ctn Mid-C_042010 2010GRC" xfId="10548"/>
    <cellStyle name="_Value Copy 11 30 05 gas 12 09 05 AURORA at 12 14 05_4 32 Regulatory Assets and Liabilities  7 06- Exhibit D_NIM Summary_DEM-WP(C) ENERG10C--ctn Mid-C_042010 2010GRC 2" xfId="10549"/>
    <cellStyle name="_Value Copy 11 30 05 gas 12 09 05 AURORA at 12 14 05_AURORA Total New" xfId="10550"/>
    <cellStyle name="_Value Copy 11 30 05 gas 12 09 05 AURORA at 12 14 05_AURORA Total New 2" xfId="10551"/>
    <cellStyle name="_Value Copy 11 30 05 gas 12 09 05 AURORA at 12 14 05_AURORA Total New 2 2" xfId="10552"/>
    <cellStyle name="_Value Copy 11 30 05 gas 12 09 05 AURORA at 12 14 05_AURORA Total New 3" xfId="10553"/>
    <cellStyle name="_Value Copy 11 30 05 gas 12 09 05 AURORA at 12 14 05_Book2" xfId="10554"/>
    <cellStyle name="_Value Copy 11 30 05 gas 12 09 05 AURORA at 12 14 05_Book2 2" xfId="10555"/>
    <cellStyle name="_Value Copy 11 30 05 gas 12 09 05 AURORA at 12 14 05_Book2 2 2" xfId="10556"/>
    <cellStyle name="_Value Copy 11 30 05 gas 12 09 05 AURORA at 12 14 05_Book2 3" xfId="10557"/>
    <cellStyle name="_Value Copy 11 30 05 gas 12 09 05 AURORA at 12 14 05_Book2 3 2" xfId="10558"/>
    <cellStyle name="_Value Copy 11 30 05 gas 12 09 05 AURORA at 12 14 05_Book2 4" xfId="10559"/>
    <cellStyle name="_Value Copy 11 30 05 gas 12 09 05 AURORA at 12 14 05_Book2_Adj Bench DR 3 for Initial Briefs (Electric)" xfId="10560"/>
    <cellStyle name="_Value Copy 11 30 05 gas 12 09 05 AURORA at 12 14 05_Book2_Adj Bench DR 3 for Initial Briefs (Electric) 2" xfId="10561"/>
    <cellStyle name="_Value Copy 11 30 05 gas 12 09 05 AURORA at 12 14 05_Book2_Adj Bench DR 3 for Initial Briefs (Electric) 2 2" xfId="10562"/>
    <cellStyle name="_Value Copy 11 30 05 gas 12 09 05 AURORA at 12 14 05_Book2_Adj Bench DR 3 for Initial Briefs (Electric) 3" xfId="10563"/>
    <cellStyle name="_Value Copy 11 30 05 gas 12 09 05 AURORA at 12 14 05_Book2_Adj Bench DR 3 for Initial Briefs (Electric) 3 2" xfId="10564"/>
    <cellStyle name="_Value Copy 11 30 05 gas 12 09 05 AURORA at 12 14 05_Book2_Adj Bench DR 3 for Initial Briefs (Electric) 4" xfId="10565"/>
    <cellStyle name="_Value Copy 11 30 05 gas 12 09 05 AURORA at 12 14 05_Book2_Adj Bench DR 3 for Initial Briefs (Electric)_DEM-WP(C) ENERG10C--ctn Mid-C_042010 2010GRC" xfId="10566"/>
    <cellStyle name="_Value Copy 11 30 05 gas 12 09 05 AURORA at 12 14 05_Book2_Adj Bench DR 3 for Initial Briefs (Electric)_DEM-WP(C) ENERG10C--ctn Mid-C_042010 2010GRC 2" xfId="10567"/>
    <cellStyle name="_Value Copy 11 30 05 gas 12 09 05 AURORA at 12 14 05_Book2_DEM-WP(C) ENERG10C--ctn Mid-C_042010 2010GRC" xfId="10568"/>
    <cellStyle name="_Value Copy 11 30 05 gas 12 09 05 AURORA at 12 14 05_Book2_DEM-WP(C) ENERG10C--ctn Mid-C_042010 2010GRC 2" xfId="10569"/>
    <cellStyle name="_Value Copy 11 30 05 gas 12 09 05 AURORA at 12 14 05_Book2_Electric Rev Req Model (2009 GRC) Rebuttal" xfId="10570"/>
    <cellStyle name="_Value Copy 11 30 05 gas 12 09 05 AURORA at 12 14 05_Book2_Electric Rev Req Model (2009 GRC) Rebuttal 2" xfId="10571"/>
    <cellStyle name="_Value Copy 11 30 05 gas 12 09 05 AURORA at 12 14 05_Book2_Electric Rev Req Model (2009 GRC) Rebuttal 2 2" xfId="10572"/>
    <cellStyle name="_Value Copy 11 30 05 gas 12 09 05 AURORA at 12 14 05_Book2_Electric Rev Req Model (2009 GRC) Rebuttal 3" xfId="10573"/>
    <cellStyle name="_Value Copy 11 30 05 gas 12 09 05 AURORA at 12 14 05_Book2_Electric Rev Req Model (2009 GRC) Rebuttal REmoval of New  WH Solar AdjustMI" xfId="10574"/>
    <cellStyle name="_Value Copy 11 30 05 gas 12 09 05 AURORA at 12 14 05_Book2_Electric Rev Req Model (2009 GRC) Rebuttal REmoval of New  WH Solar AdjustMI 2" xfId="10575"/>
    <cellStyle name="_Value Copy 11 30 05 gas 12 09 05 AURORA at 12 14 05_Book2_Electric Rev Req Model (2009 GRC) Rebuttal REmoval of New  WH Solar AdjustMI 2 2" xfId="10576"/>
    <cellStyle name="_Value Copy 11 30 05 gas 12 09 05 AURORA at 12 14 05_Book2_Electric Rev Req Model (2009 GRC) Rebuttal REmoval of New  WH Solar AdjustMI 3" xfId="10577"/>
    <cellStyle name="_Value Copy 11 30 05 gas 12 09 05 AURORA at 12 14 05_Book2_Electric Rev Req Model (2009 GRC) Rebuttal REmoval of New  WH Solar AdjustMI 3 2" xfId="10578"/>
    <cellStyle name="_Value Copy 11 30 05 gas 12 09 05 AURORA at 12 14 05_Book2_Electric Rev Req Model (2009 GRC) Rebuttal REmoval of New  WH Solar AdjustMI 4" xfId="10579"/>
    <cellStyle name="_Value Copy 11 30 05 gas 12 09 05 AURORA at 12 14 05_Book2_Electric Rev Req Model (2009 GRC) Rebuttal REmoval of New  WH Solar AdjustMI_DEM-WP(C) ENERG10C--ctn Mid-C_042010 2010GRC" xfId="10580"/>
    <cellStyle name="_Value Copy 11 30 05 gas 12 09 05 AURORA at 12 14 05_Book2_Electric Rev Req Model (2009 GRC) Rebuttal REmoval of New  WH Solar AdjustMI_DEM-WP(C) ENERG10C--ctn Mid-C_042010 2010GRC 2" xfId="10581"/>
    <cellStyle name="_Value Copy 11 30 05 gas 12 09 05 AURORA at 12 14 05_Book2_Electric Rev Req Model (2009 GRC) Revised 01-18-2010" xfId="10582"/>
    <cellStyle name="_Value Copy 11 30 05 gas 12 09 05 AURORA at 12 14 05_Book2_Electric Rev Req Model (2009 GRC) Revised 01-18-2010 2" xfId="10583"/>
    <cellStyle name="_Value Copy 11 30 05 gas 12 09 05 AURORA at 12 14 05_Book2_Electric Rev Req Model (2009 GRC) Revised 01-18-2010 2 2" xfId="10584"/>
    <cellStyle name="_Value Copy 11 30 05 gas 12 09 05 AURORA at 12 14 05_Book2_Electric Rev Req Model (2009 GRC) Revised 01-18-2010 3" xfId="10585"/>
    <cellStyle name="_Value Copy 11 30 05 gas 12 09 05 AURORA at 12 14 05_Book2_Electric Rev Req Model (2009 GRC) Revised 01-18-2010 3 2" xfId="10586"/>
    <cellStyle name="_Value Copy 11 30 05 gas 12 09 05 AURORA at 12 14 05_Book2_Electric Rev Req Model (2009 GRC) Revised 01-18-2010 4" xfId="10587"/>
    <cellStyle name="_Value Copy 11 30 05 gas 12 09 05 AURORA at 12 14 05_Book2_Electric Rev Req Model (2009 GRC) Revised 01-18-2010_DEM-WP(C) ENERG10C--ctn Mid-C_042010 2010GRC" xfId="10588"/>
    <cellStyle name="_Value Copy 11 30 05 gas 12 09 05 AURORA at 12 14 05_Book2_Electric Rev Req Model (2009 GRC) Revised 01-18-2010_DEM-WP(C) ENERG10C--ctn Mid-C_042010 2010GRC 2" xfId="10589"/>
    <cellStyle name="_Value Copy 11 30 05 gas 12 09 05 AURORA at 12 14 05_Book2_Final Order Electric EXHIBIT A-1" xfId="10590"/>
    <cellStyle name="_Value Copy 11 30 05 gas 12 09 05 AURORA at 12 14 05_Book2_Final Order Electric EXHIBIT A-1 2" xfId="10591"/>
    <cellStyle name="_Value Copy 11 30 05 gas 12 09 05 AURORA at 12 14 05_Book2_Final Order Electric EXHIBIT A-1 2 2" xfId="10592"/>
    <cellStyle name="_Value Copy 11 30 05 gas 12 09 05 AURORA at 12 14 05_Book2_Final Order Electric EXHIBIT A-1 3" xfId="10593"/>
    <cellStyle name="_Value Copy 11 30 05 gas 12 09 05 AURORA at 12 14 05_Book4" xfId="10594"/>
    <cellStyle name="_Value Copy 11 30 05 gas 12 09 05 AURORA at 12 14 05_Book4 2" xfId="10595"/>
    <cellStyle name="_Value Copy 11 30 05 gas 12 09 05 AURORA at 12 14 05_Book4 2 2" xfId="10596"/>
    <cellStyle name="_Value Copy 11 30 05 gas 12 09 05 AURORA at 12 14 05_Book4 3" xfId="10597"/>
    <cellStyle name="_Value Copy 11 30 05 gas 12 09 05 AURORA at 12 14 05_Book4 3 2" xfId="10598"/>
    <cellStyle name="_Value Copy 11 30 05 gas 12 09 05 AURORA at 12 14 05_Book4 4" xfId="10599"/>
    <cellStyle name="_Value Copy 11 30 05 gas 12 09 05 AURORA at 12 14 05_Book4_DEM-WP(C) ENERG10C--ctn Mid-C_042010 2010GRC" xfId="10600"/>
    <cellStyle name="_Value Copy 11 30 05 gas 12 09 05 AURORA at 12 14 05_Book4_DEM-WP(C) ENERG10C--ctn Mid-C_042010 2010GRC 2" xfId="10601"/>
    <cellStyle name="_Value Copy 11 30 05 gas 12 09 05 AURORA at 12 14 05_Book9" xfId="10602"/>
    <cellStyle name="_Value Copy 11 30 05 gas 12 09 05 AURORA at 12 14 05_Book9 2" xfId="10603"/>
    <cellStyle name="_Value Copy 11 30 05 gas 12 09 05 AURORA at 12 14 05_Book9 2 2" xfId="10604"/>
    <cellStyle name="_Value Copy 11 30 05 gas 12 09 05 AURORA at 12 14 05_Book9 3" xfId="10605"/>
    <cellStyle name="_Value Copy 11 30 05 gas 12 09 05 AURORA at 12 14 05_Book9 3 2" xfId="10606"/>
    <cellStyle name="_Value Copy 11 30 05 gas 12 09 05 AURORA at 12 14 05_Book9 4" xfId="10607"/>
    <cellStyle name="_Value Copy 11 30 05 gas 12 09 05 AURORA at 12 14 05_Book9_DEM-WP(C) ENERG10C--ctn Mid-C_042010 2010GRC" xfId="10608"/>
    <cellStyle name="_Value Copy 11 30 05 gas 12 09 05 AURORA at 12 14 05_Book9_DEM-WP(C) ENERG10C--ctn Mid-C_042010 2010GRC 2" xfId="10609"/>
    <cellStyle name="_Value Copy 11 30 05 gas 12 09 05 AURORA at 12 14 05_Check the Interest Calculation" xfId="10610"/>
    <cellStyle name="_Value Copy 11 30 05 gas 12 09 05 AURORA at 12 14 05_Check the Interest Calculation 2" xfId="10611"/>
    <cellStyle name="_Value Copy 11 30 05 gas 12 09 05 AURORA at 12 14 05_Check the Interest Calculation_Scenario 1 REC vs PTC Offset" xfId="10612"/>
    <cellStyle name="_Value Copy 11 30 05 gas 12 09 05 AURORA at 12 14 05_Check the Interest Calculation_Scenario 1 REC vs PTC Offset 2" xfId="10613"/>
    <cellStyle name="_Value Copy 11 30 05 gas 12 09 05 AURORA at 12 14 05_Check the Interest Calculation_Scenario 3" xfId="10614"/>
    <cellStyle name="_Value Copy 11 30 05 gas 12 09 05 AURORA at 12 14 05_Check the Interest Calculation_Scenario 3 2" xfId="10615"/>
    <cellStyle name="_Value Copy 11 30 05 gas 12 09 05 AURORA at 12 14 05_Chelan PUD Power Costs (8-10)" xfId="10616"/>
    <cellStyle name="_Value Copy 11 30 05 gas 12 09 05 AURORA at 12 14 05_Chelan PUD Power Costs (8-10) 2" xfId="10617"/>
    <cellStyle name="_Value Copy 11 30 05 gas 12 09 05 AURORA at 12 14 05_DEM-WP(C) Chelan Power Costs" xfId="10618"/>
    <cellStyle name="_Value Copy 11 30 05 gas 12 09 05 AURORA at 12 14 05_DEM-WP(C) Chelan Power Costs 2" xfId="10619"/>
    <cellStyle name="_Value Copy 11 30 05 gas 12 09 05 AURORA at 12 14 05_DEM-WP(C) ENERG10C--ctn Mid-C_042010 2010GRC" xfId="10620"/>
    <cellStyle name="_Value Copy 11 30 05 gas 12 09 05 AURORA at 12 14 05_DEM-WP(C) ENERG10C--ctn Mid-C_042010 2010GRC 2" xfId="10621"/>
    <cellStyle name="_Value Copy 11 30 05 gas 12 09 05 AURORA at 12 14 05_DEM-WP(C) Gas Transport 2010GRC" xfId="10622"/>
    <cellStyle name="_Value Copy 11 30 05 gas 12 09 05 AURORA at 12 14 05_DEM-WP(C) Gas Transport 2010GRC 2" xfId="10623"/>
    <cellStyle name="_Value Copy 11 30 05 gas 12 09 05 AURORA at 12 14 05_Exh A-1 resulting from UE-112050 effective Jan 1 2012" xfId="10624"/>
    <cellStyle name="_Value Copy 11 30 05 gas 12 09 05 AURORA at 12 14 05_Exh A-1 resulting from UE-112050 effective Jan 1 2012 2" xfId="10625"/>
    <cellStyle name="_Value Copy 11 30 05 gas 12 09 05 AURORA at 12 14 05_Exhibit A-1 effective 4-1-11 fr S Free 12-11" xfId="10626"/>
    <cellStyle name="_Value Copy 11 30 05 gas 12 09 05 AURORA at 12 14 05_Exhibit A-1 effective 4-1-11 fr S Free 12-11 2" xfId="10627"/>
    <cellStyle name="_Value Copy 11 30 05 gas 12 09 05 AURORA at 12 14 05_Exhibit D fr R Gho 12-31-08" xfId="10628"/>
    <cellStyle name="_Value Copy 11 30 05 gas 12 09 05 AURORA at 12 14 05_Exhibit D fr R Gho 12-31-08 2" xfId="10629"/>
    <cellStyle name="_Value Copy 11 30 05 gas 12 09 05 AURORA at 12 14 05_Exhibit D fr R Gho 12-31-08 2 2" xfId="10630"/>
    <cellStyle name="_Value Copy 11 30 05 gas 12 09 05 AURORA at 12 14 05_Exhibit D fr R Gho 12-31-08 3" xfId="10631"/>
    <cellStyle name="_Value Copy 11 30 05 gas 12 09 05 AURORA at 12 14 05_Exhibit D fr R Gho 12-31-08 3 2" xfId="10632"/>
    <cellStyle name="_Value Copy 11 30 05 gas 12 09 05 AURORA at 12 14 05_Exhibit D fr R Gho 12-31-08 4" xfId="10633"/>
    <cellStyle name="_Value Copy 11 30 05 gas 12 09 05 AURORA at 12 14 05_Exhibit D fr R Gho 12-31-08 v2" xfId="10634"/>
    <cellStyle name="_Value Copy 11 30 05 gas 12 09 05 AURORA at 12 14 05_Exhibit D fr R Gho 12-31-08 v2 2" xfId="10635"/>
    <cellStyle name="_Value Copy 11 30 05 gas 12 09 05 AURORA at 12 14 05_Exhibit D fr R Gho 12-31-08 v2 2 2" xfId="10636"/>
    <cellStyle name="_Value Copy 11 30 05 gas 12 09 05 AURORA at 12 14 05_Exhibit D fr R Gho 12-31-08 v2 3" xfId="10637"/>
    <cellStyle name="_Value Copy 11 30 05 gas 12 09 05 AURORA at 12 14 05_Exhibit D fr R Gho 12-31-08 v2 3 2" xfId="10638"/>
    <cellStyle name="_Value Copy 11 30 05 gas 12 09 05 AURORA at 12 14 05_Exhibit D fr R Gho 12-31-08 v2 4" xfId="10639"/>
    <cellStyle name="_Value Copy 11 30 05 gas 12 09 05 AURORA at 12 14 05_Exhibit D fr R Gho 12-31-08 v2_DEM-WP(C) ENERG10C--ctn Mid-C_042010 2010GRC" xfId="10640"/>
    <cellStyle name="_Value Copy 11 30 05 gas 12 09 05 AURORA at 12 14 05_Exhibit D fr R Gho 12-31-08 v2_DEM-WP(C) ENERG10C--ctn Mid-C_042010 2010GRC 2" xfId="10641"/>
    <cellStyle name="_Value Copy 11 30 05 gas 12 09 05 AURORA at 12 14 05_Exhibit D fr R Gho 12-31-08 v2_NIM Summary" xfId="10642"/>
    <cellStyle name="_Value Copy 11 30 05 gas 12 09 05 AURORA at 12 14 05_Exhibit D fr R Gho 12-31-08 v2_NIM Summary 2" xfId="10643"/>
    <cellStyle name="_Value Copy 11 30 05 gas 12 09 05 AURORA at 12 14 05_Exhibit D fr R Gho 12-31-08 v2_NIM Summary 2 2" xfId="10644"/>
    <cellStyle name="_Value Copy 11 30 05 gas 12 09 05 AURORA at 12 14 05_Exhibit D fr R Gho 12-31-08 v2_NIM Summary 3" xfId="10645"/>
    <cellStyle name="_Value Copy 11 30 05 gas 12 09 05 AURORA at 12 14 05_Exhibit D fr R Gho 12-31-08 v2_NIM Summary 3 2" xfId="10646"/>
    <cellStyle name="_Value Copy 11 30 05 gas 12 09 05 AURORA at 12 14 05_Exhibit D fr R Gho 12-31-08 v2_NIM Summary 4" xfId="10647"/>
    <cellStyle name="_Value Copy 11 30 05 gas 12 09 05 AURORA at 12 14 05_Exhibit D fr R Gho 12-31-08 v2_NIM Summary_DEM-WP(C) ENERG10C--ctn Mid-C_042010 2010GRC" xfId="10648"/>
    <cellStyle name="_Value Copy 11 30 05 gas 12 09 05 AURORA at 12 14 05_Exhibit D fr R Gho 12-31-08 v2_NIM Summary_DEM-WP(C) ENERG10C--ctn Mid-C_042010 2010GRC 2" xfId="10649"/>
    <cellStyle name="_Value Copy 11 30 05 gas 12 09 05 AURORA at 12 14 05_Exhibit D fr R Gho 12-31-08_DEM-WP(C) ENERG10C--ctn Mid-C_042010 2010GRC" xfId="10650"/>
    <cellStyle name="_Value Copy 11 30 05 gas 12 09 05 AURORA at 12 14 05_Exhibit D fr R Gho 12-31-08_DEM-WP(C) ENERG10C--ctn Mid-C_042010 2010GRC 2" xfId="10651"/>
    <cellStyle name="_Value Copy 11 30 05 gas 12 09 05 AURORA at 12 14 05_Exhibit D fr R Gho 12-31-08_NIM Summary" xfId="10652"/>
    <cellStyle name="_Value Copy 11 30 05 gas 12 09 05 AURORA at 12 14 05_Exhibit D fr R Gho 12-31-08_NIM Summary 2" xfId="10653"/>
    <cellStyle name="_Value Copy 11 30 05 gas 12 09 05 AURORA at 12 14 05_Exhibit D fr R Gho 12-31-08_NIM Summary 2 2" xfId="10654"/>
    <cellStyle name="_Value Copy 11 30 05 gas 12 09 05 AURORA at 12 14 05_Exhibit D fr R Gho 12-31-08_NIM Summary 3" xfId="10655"/>
    <cellStyle name="_Value Copy 11 30 05 gas 12 09 05 AURORA at 12 14 05_Exhibit D fr R Gho 12-31-08_NIM Summary 3 2" xfId="10656"/>
    <cellStyle name="_Value Copy 11 30 05 gas 12 09 05 AURORA at 12 14 05_Exhibit D fr R Gho 12-31-08_NIM Summary 4" xfId="10657"/>
    <cellStyle name="_Value Copy 11 30 05 gas 12 09 05 AURORA at 12 14 05_Exhibit D fr R Gho 12-31-08_NIM Summary_DEM-WP(C) ENERG10C--ctn Mid-C_042010 2010GRC" xfId="10658"/>
    <cellStyle name="_Value Copy 11 30 05 gas 12 09 05 AURORA at 12 14 05_Exhibit D fr R Gho 12-31-08_NIM Summary_DEM-WP(C) ENERG10C--ctn Mid-C_042010 2010GRC 2" xfId="10659"/>
    <cellStyle name="_Value Copy 11 30 05 gas 12 09 05 AURORA at 12 14 05_Hopkins Ridge Prepaid Tran - Interest Earned RY 12ME Feb  '11" xfId="10660"/>
    <cellStyle name="_Value Copy 11 30 05 gas 12 09 05 AURORA at 12 14 05_Hopkins Ridge Prepaid Tran - Interest Earned RY 12ME Feb  '11 2" xfId="10661"/>
    <cellStyle name="_Value Copy 11 30 05 gas 12 09 05 AURORA at 12 14 05_Hopkins Ridge Prepaid Tran - Interest Earned RY 12ME Feb  '11 2 2" xfId="10662"/>
    <cellStyle name="_Value Copy 11 30 05 gas 12 09 05 AURORA at 12 14 05_Hopkins Ridge Prepaid Tran - Interest Earned RY 12ME Feb  '11 3" xfId="10663"/>
    <cellStyle name="_Value Copy 11 30 05 gas 12 09 05 AURORA at 12 14 05_Hopkins Ridge Prepaid Tran - Interest Earned RY 12ME Feb  '11 3 2" xfId="10664"/>
    <cellStyle name="_Value Copy 11 30 05 gas 12 09 05 AURORA at 12 14 05_Hopkins Ridge Prepaid Tran - Interest Earned RY 12ME Feb  '11 4" xfId="10665"/>
    <cellStyle name="_Value Copy 11 30 05 gas 12 09 05 AURORA at 12 14 05_Hopkins Ridge Prepaid Tran - Interest Earned RY 12ME Feb  '11_DEM-WP(C) ENERG10C--ctn Mid-C_042010 2010GRC" xfId="10666"/>
    <cellStyle name="_Value Copy 11 30 05 gas 12 09 05 AURORA at 12 14 05_Hopkins Ridge Prepaid Tran - Interest Earned RY 12ME Feb  '11_DEM-WP(C) ENERG10C--ctn Mid-C_042010 2010GRC 2" xfId="10667"/>
    <cellStyle name="_Value Copy 11 30 05 gas 12 09 05 AURORA at 12 14 05_Hopkins Ridge Prepaid Tran - Interest Earned RY 12ME Feb  '11_NIM Summary" xfId="10668"/>
    <cellStyle name="_Value Copy 11 30 05 gas 12 09 05 AURORA at 12 14 05_Hopkins Ridge Prepaid Tran - Interest Earned RY 12ME Feb  '11_NIM Summary 2" xfId="10669"/>
    <cellStyle name="_Value Copy 11 30 05 gas 12 09 05 AURORA at 12 14 05_Hopkins Ridge Prepaid Tran - Interest Earned RY 12ME Feb  '11_NIM Summary 2 2" xfId="10670"/>
    <cellStyle name="_Value Copy 11 30 05 gas 12 09 05 AURORA at 12 14 05_Hopkins Ridge Prepaid Tran - Interest Earned RY 12ME Feb  '11_NIM Summary 3" xfId="10671"/>
    <cellStyle name="_Value Copy 11 30 05 gas 12 09 05 AURORA at 12 14 05_Hopkins Ridge Prepaid Tran - Interest Earned RY 12ME Feb  '11_NIM Summary 3 2" xfId="10672"/>
    <cellStyle name="_Value Copy 11 30 05 gas 12 09 05 AURORA at 12 14 05_Hopkins Ridge Prepaid Tran - Interest Earned RY 12ME Feb  '11_NIM Summary 4" xfId="10673"/>
    <cellStyle name="_Value Copy 11 30 05 gas 12 09 05 AURORA at 12 14 05_Hopkins Ridge Prepaid Tran - Interest Earned RY 12ME Feb  '11_NIM Summary_DEM-WP(C) ENERG10C--ctn Mid-C_042010 2010GRC" xfId="10674"/>
    <cellStyle name="_Value Copy 11 30 05 gas 12 09 05 AURORA at 12 14 05_Hopkins Ridge Prepaid Tran - Interest Earned RY 12ME Feb  '11_NIM Summary_DEM-WP(C) ENERG10C--ctn Mid-C_042010 2010GRC 2" xfId="10675"/>
    <cellStyle name="_Value Copy 11 30 05 gas 12 09 05 AURORA at 12 14 05_Hopkins Ridge Prepaid Tran - Interest Earned RY 12ME Feb  '11_Transmission Workbook for May BOD" xfId="10676"/>
    <cellStyle name="_Value Copy 11 30 05 gas 12 09 05 AURORA at 12 14 05_Hopkins Ridge Prepaid Tran - Interest Earned RY 12ME Feb  '11_Transmission Workbook for May BOD 2" xfId="10677"/>
    <cellStyle name="_Value Copy 11 30 05 gas 12 09 05 AURORA at 12 14 05_Hopkins Ridge Prepaid Tran - Interest Earned RY 12ME Feb  '11_Transmission Workbook for May BOD 2 2" xfId="10678"/>
    <cellStyle name="_Value Copy 11 30 05 gas 12 09 05 AURORA at 12 14 05_Hopkins Ridge Prepaid Tran - Interest Earned RY 12ME Feb  '11_Transmission Workbook for May BOD 3" xfId="10679"/>
    <cellStyle name="_Value Copy 11 30 05 gas 12 09 05 AURORA at 12 14 05_Hopkins Ridge Prepaid Tran - Interest Earned RY 12ME Feb  '11_Transmission Workbook for May BOD 3 2" xfId="10680"/>
    <cellStyle name="_Value Copy 11 30 05 gas 12 09 05 AURORA at 12 14 05_Hopkins Ridge Prepaid Tran - Interest Earned RY 12ME Feb  '11_Transmission Workbook for May BOD 4" xfId="10681"/>
    <cellStyle name="_Value Copy 11 30 05 gas 12 09 05 AURORA at 12 14 05_Hopkins Ridge Prepaid Tran - Interest Earned RY 12ME Feb  '11_Transmission Workbook for May BOD_DEM-WP(C) ENERG10C--ctn Mid-C_042010 2010GRC" xfId="10682"/>
    <cellStyle name="_Value Copy 11 30 05 gas 12 09 05 AURORA at 12 14 05_Hopkins Ridge Prepaid Tran - Interest Earned RY 12ME Feb  '11_Transmission Workbook for May BOD_DEM-WP(C) ENERG10C--ctn Mid-C_042010 2010GRC 2" xfId="10683"/>
    <cellStyle name="_Value Copy 11 30 05 gas 12 09 05 AURORA at 12 14 05_Mint Farm Generation BPA" xfId="10684"/>
    <cellStyle name="_Value Copy 11 30 05 gas 12 09 05 AURORA at 12 14 05_NIM Summary" xfId="10685"/>
    <cellStyle name="_Value Copy 11 30 05 gas 12 09 05 AURORA at 12 14 05_NIM Summary 09GRC" xfId="10686"/>
    <cellStyle name="_Value Copy 11 30 05 gas 12 09 05 AURORA at 12 14 05_NIM Summary 09GRC 2" xfId="10687"/>
    <cellStyle name="_Value Copy 11 30 05 gas 12 09 05 AURORA at 12 14 05_NIM Summary 09GRC 2 2" xfId="10688"/>
    <cellStyle name="_Value Copy 11 30 05 gas 12 09 05 AURORA at 12 14 05_NIM Summary 09GRC 3" xfId="10689"/>
    <cellStyle name="_Value Copy 11 30 05 gas 12 09 05 AURORA at 12 14 05_NIM Summary 09GRC 3 2" xfId="10690"/>
    <cellStyle name="_Value Copy 11 30 05 gas 12 09 05 AURORA at 12 14 05_NIM Summary 09GRC 4" xfId="10691"/>
    <cellStyle name="_Value Copy 11 30 05 gas 12 09 05 AURORA at 12 14 05_NIM Summary 09GRC_DEM-WP(C) ENERG10C--ctn Mid-C_042010 2010GRC" xfId="10692"/>
    <cellStyle name="_Value Copy 11 30 05 gas 12 09 05 AURORA at 12 14 05_NIM Summary 09GRC_DEM-WP(C) ENERG10C--ctn Mid-C_042010 2010GRC 2" xfId="10693"/>
    <cellStyle name="_Value Copy 11 30 05 gas 12 09 05 AURORA at 12 14 05_NIM Summary 10" xfId="10694"/>
    <cellStyle name="_Value Copy 11 30 05 gas 12 09 05 AURORA at 12 14 05_NIM Summary 10 2" xfId="10695"/>
    <cellStyle name="_Value Copy 11 30 05 gas 12 09 05 AURORA at 12 14 05_NIM Summary 11" xfId="10696"/>
    <cellStyle name="_Value Copy 11 30 05 gas 12 09 05 AURORA at 12 14 05_NIM Summary 11 2" xfId="10697"/>
    <cellStyle name="_Value Copy 11 30 05 gas 12 09 05 AURORA at 12 14 05_NIM Summary 12" xfId="10698"/>
    <cellStyle name="_Value Copy 11 30 05 gas 12 09 05 AURORA at 12 14 05_NIM Summary 12 2" xfId="10699"/>
    <cellStyle name="_Value Copy 11 30 05 gas 12 09 05 AURORA at 12 14 05_NIM Summary 13" xfId="10700"/>
    <cellStyle name="_Value Copy 11 30 05 gas 12 09 05 AURORA at 12 14 05_NIM Summary 13 2" xfId="10701"/>
    <cellStyle name="_Value Copy 11 30 05 gas 12 09 05 AURORA at 12 14 05_NIM Summary 14" xfId="10702"/>
    <cellStyle name="_Value Copy 11 30 05 gas 12 09 05 AURORA at 12 14 05_NIM Summary 14 2" xfId="10703"/>
    <cellStyle name="_Value Copy 11 30 05 gas 12 09 05 AURORA at 12 14 05_NIM Summary 15" xfId="10704"/>
    <cellStyle name="_Value Copy 11 30 05 gas 12 09 05 AURORA at 12 14 05_NIM Summary 15 2" xfId="10705"/>
    <cellStyle name="_Value Copy 11 30 05 gas 12 09 05 AURORA at 12 14 05_NIM Summary 16" xfId="10706"/>
    <cellStyle name="_Value Copy 11 30 05 gas 12 09 05 AURORA at 12 14 05_NIM Summary 16 2" xfId="10707"/>
    <cellStyle name="_Value Copy 11 30 05 gas 12 09 05 AURORA at 12 14 05_NIM Summary 17" xfId="10708"/>
    <cellStyle name="_Value Copy 11 30 05 gas 12 09 05 AURORA at 12 14 05_NIM Summary 17 2" xfId="10709"/>
    <cellStyle name="_Value Copy 11 30 05 gas 12 09 05 AURORA at 12 14 05_NIM Summary 18" xfId="10710"/>
    <cellStyle name="_Value Copy 11 30 05 gas 12 09 05 AURORA at 12 14 05_NIM Summary 18 2" xfId="10711"/>
    <cellStyle name="_Value Copy 11 30 05 gas 12 09 05 AURORA at 12 14 05_NIM Summary 19" xfId="10712"/>
    <cellStyle name="_Value Copy 11 30 05 gas 12 09 05 AURORA at 12 14 05_NIM Summary 19 2" xfId="10713"/>
    <cellStyle name="_Value Copy 11 30 05 gas 12 09 05 AURORA at 12 14 05_NIM Summary 2" xfId="10714"/>
    <cellStyle name="_Value Copy 11 30 05 gas 12 09 05 AURORA at 12 14 05_NIM Summary 2 2" xfId="10715"/>
    <cellStyle name="_Value Copy 11 30 05 gas 12 09 05 AURORA at 12 14 05_NIM Summary 20" xfId="10716"/>
    <cellStyle name="_Value Copy 11 30 05 gas 12 09 05 AURORA at 12 14 05_NIM Summary 20 2" xfId="10717"/>
    <cellStyle name="_Value Copy 11 30 05 gas 12 09 05 AURORA at 12 14 05_NIM Summary 21" xfId="10718"/>
    <cellStyle name="_Value Copy 11 30 05 gas 12 09 05 AURORA at 12 14 05_NIM Summary 21 2" xfId="10719"/>
    <cellStyle name="_Value Copy 11 30 05 gas 12 09 05 AURORA at 12 14 05_NIM Summary 22" xfId="10720"/>
    <cellStyle name="_Value Copy 11 30 05 gas 12 09 05 AURORA at 12 14 05_NIM Summary 22 2" xfId="10721"/>
    <cellStyle name="_Value Copy 11 30 05 gas 12 09 05 AURORA at 12 14 05_NIM Summary 23" xfId="10722"/>
    <cellStyle name="_Value Copy 11 30 05 gas 12 09 05 AURORA at 12 14 05_NIM Summary 23 2" xfId="10723"/>
    <cellStyle name="_Value Copy 11 30 05 gas 12 09 05 AURORA at 12 14 05_NIM Summary 24" xfId="10724"/>
    <cellStyle name="_Value Copy 11 30 05 gas 12 09 05 AURORA at 12 14 05_NIM Summary 24 2" xfId="10725"/>
    <cellStyle name="_Value Copy 11 30 05 gas 12 09 05 AURORA at 12 14 05_NIM Summary 25" xfId="10726"/>
    <cellStyle name="_Value Copy 11 30 05 gas 12 09 05 AURORA at 12 14 05_NIM Summary 25 2" xfId="10727"/>
    <cellStyle name="_Value Copy 11 30 05 gas 12 09 05 AURORA at 12 14 05_NIM Summary 26" xfId="10728"/>
    <cellStyle name="_Value Copy 11 30 05 gas 12 09 05 AURORA at 12 14 05_NIM Summary 26 2" xfId="10729"/>
    <cellStyle name="_Value Copy 11 30 05 gas 12 09 05 AURORA at 12 14 05_NIM Summary 27" xfId="10730"/>
    <cellStyle name="_Value Copy 11 30 05 gas 12 09 05 AURORA at 12 14 05_NIM Summary 27 2" xfId="10731"/>
    <cellStyle name="_Value Copy 11 30 05 gas 12 09 05 AURORA at 12 14 05_NIM Summary 28" xfId="10732"/>
    <cellStyle name="_Value Copy 11 30 05 gas 12 09 05 AURORA at 12 14 05_NIM Summary 28 2" xfId="10733"/>
    <cellStyle name="_Value Copy 11 30 05 gas 12 09 05 AURORA at 12 14 05_NIM Summary 29" xfId="10734"/>
    <cellStyle name="_Value Copy 11 30 05 gas 12 09 05 AURORA at 12 14 05_NIM Summary 29 2" xfId="10735"/>
    <cellStyle name="_Value Copy 11 30 05 gas 12 09 05 AURORA at 12 14 05_NIM Summary 3" xfId="10736"/>
    <cellStyle name="_Value Copy 11 30 05 gas 12 09 05 AURORA at 12 14 05_NIM Summary 3 2" xfId="10737"/>
    <cellStyle name="_Value Copy 11 30 05 gas 12 09 05 AURORA at 12 14 05_NIM Summary 30" xfId="10738"/>
    <cellStyle name="_Value Copy 11 30 05 gas 12 09 05 AURORA at 12 14 05_NIM Summary 30 2" xfId="10739"/>
    <cellStyle name="_Value Copy 11 30 05 gas 12 09 05 AURORA at 12 14 05_NIM Summary 31" xfId="10740"/>
    <cellStyle name="_Value Copy 11 30 05 gas 12 09 05 AURORA at 12 14 05_NIM Summary 31 2" xfId="10741"/>
    <cellStyle name="_Value Copy 11 30 05 gas 12 09 05 AURORA at 12 14 05_NIM Summary 32" xfId="10742"/>
    <cellStyle name="_Value Copy 11 30 05 gas 12 09 05 AURORA at 12 14 05_NIM Summary 32 2" xfId="10743"/>
    <cellStyle name="_Value Copy 11 30 05 gas 12 09 05 AURORA at 12 14 05_NIM Summary 33" xfId="10744"/>
    <cellStyle name="_Value Copy 11 30 05 gas 12 09 05 AURORA at 12 14 05_NIM Summary 33 2" xfId="10745"/>
    <cellStyle name="_Value Copy 11 30 05 gas 12 09 05 AURORA at 12 14 05_NIM Summary 34" xfId="10746"/>
    <cellStyle name="_Value Copy 11 30 05 gas 12 09 05 AURORA at 12 14 05_NIM Summary 34 2" xfId="10747"/>
    <cellStyle name="_Value Copy 11 30 05 gas 12 09 05 AURORA at 12 14 05_NIM Summary 35" xfId="10748"/>
    <cellStyle name="_Value Copy 11 30 05 gas 12 09 05 AURORA at 12 14 05_NIM Summary 35 2" xfId="10749"/>
    <cellStyle name="_Value Copy 11 30 05 gas 12 09 05 AURORA at 12 14 05_NIM Summary 36" xfId="10750"/>
    <cellStyle name="_Value Copy 11 30 05 gas 12 09 05 AURORA at 12 14 05_NIM Summary 36 2" xfId="10751"/>
    <cellStyle name="_Value Copy 11 30 05 gas 12 09 05 AURORA at 12 14 05_NIM Summary 37" xfId="10752"/>
    <cellStyle name="_Value Copy 11 30 05 gas 12 09 05 AURORA at 12 14 05_NIM Summary 37 2" xfId="10753"/>
    <cellStyle name="_Value Copy 11 30 05 gas 12 09 05 AURORA at 12 14 05_NIM Summary 38" xfId="10754"/>
    <cellStyle name="_Value Copy 11 30 05 gas 12 09 05 AURORA at 12 14 05_NIM Summary 38 2" xfId="10755"/>
    <cellStyle name="_Value Copy 11 30 05 gas 12 09 05 AURORA at 12 14 05_NIM Summary 39" xfId="10756"/>
    <cellStyle name="_Value Copy 11 30 05 gas 12 09 05 AURORA at 12 14 05_NIM Summary 39 2" xfId="10757"/>
    <cellStyle name="_Value Copy 11 30 05 gas 12 09 05 AURORA at 12 14 05_NIM Summary 4" xfId="10758"/>
    <cellStyle name="_Value Copy 11 30 05 gas 12 09 05 AURORA at 12 14 05_NIM Summary 4 2" xfId="10759"/>
    <cellStyle name="_Value Copy 11 30 05 gas 12 09 05 AURORA at 12 14 05_NIM Summary 40" xfId="10760"/>
    <cellStyle name="_Value Copy 11 30 05 gas 12 09 05 AURORA at 12 14 05_NIM Summary 40 2" xfId="10761"/>
    <cellStyle name="_Value Copy 11 30 05 gas 12 09 05 AURORA at 12 14 05_NIM Summary 41" xfId="10762"/>
    <cellStyle name="_Value Copy 11 30 05 gas 12 09 05 AURORA at 12 14 05_NIM Summary 41 2" xfId="10763"/>
    <cellStyle name="_Value Copy 11 30 05 gas 12 09 05 AURORA at 12 14 05_NIM Summary 42" xfId="10764"/>
    <cellStyle name="_Value Copy 11 30 05 gas 12 09 05 AURORA at 12 14 05_NIM Summary 42 2" xfId="10765"/>
    <cellStyle name="_Value Copy 11 30 05 gas 12 09 05 AURORA at 12 14 05_NIM Summary 43" xfId="10766"/>
    <cellStyle name="_Value Copy 11 30 05 gas 12 09 05 AURORA at 12 14 05_NIM Summary 43 2" xfId="10767"/>
    <cellStyle name="_Value Copy 11 30 05 gas 12 09 05 AURORA at 12 14 05_NIM Summary 44" xfId="10768"/>
    <cellStyle name="_Value Copy 11 30 05 gas 12 09 05 AURORA at 12 14 05_NIM Summary 44 2" xfId="10769"/>
    <cellStyle name="_Value Copy 11 30 05 gas 12 09 05 AURORA at 12 14 05_NIM Summary 45" xfId="10770"/>
    <cellStyle name="_Value Copy 11 30 05 gas 12 09 05 AURORA at 12 14 05_NIM Summary 45 2" xfId="10771"/>
    <cellStyle name="_Value Copy 11 30 05 gas 12 09 05 AURORA at 12 14 05_NIM Summary 46" xfId="10772"/>
    <cellStyle name="_Value Copy 11 30 05 gas 12 09 05 AURORA at 12 14 05_NIM Summary 46 2" xfId="10773"/>
    <cellStyle name="_Value Copy 11 30 05 gas 12 09 05 AURORA at 12 14 05_NIM Summary 47" xfId="10774"/>
    <cellStyle name="_Value Copy 11 30 05 gas 12 09 05 AURORA at 12 14 05_NIM Summary 47 2" xfId="10775"/>
    <cellStyle name="_Value Copy 11 30 05 gas 12 09 05 AURORA at 12 14 05_NIM Summary 48" xfId="10776"/>
    <cellStyle name="_Value Copy 11 30 05 gas 12 09 05 AURORA at 12 14 05_NIM Summary 49" xfId="10777"/>
    <cellStyle name="_Value Copy 11 30 05 gas 12 09 05 AURORA at 12 14 05_NIM Summary 5" xfId="10778"/>
    <cellStyle name="_Value Copy 11 30 05 gas 12 09 05 AURORA at 12 14 05_NIM Summary 5 2" xfId="10779"/>
    <cellStyle name="_Value Copy 11 30 05 gas 12 09 05 AURORA at 12 14 05_NIM Summary 50" xfId="10780"/>
    <cellStyle name="_Value Copy 11 30 05 gas 12 09 05 AURORA at 12 14 05_NIM Summary 51" xfId="10781"/>
    <cellStyle name="_Value Copy 11 30 05 gas 12 09 05 AURORA at 12 14 05_NIM Summary 52" xfId="10782"/>
    <cellStyle name="_Value Copy 11 30 05 gas 12 09 05 AURORA at 12 14 05_NIM Summary 6" xfId="10783"/>
    <cellStyle name="_Value Copy 11 30 05 gas 12 09 05 AURORA at 12 14 05_NIM Summary 6 2" xfId="10784"/>
    <cellStyle name="_Value Copy 11 30 05 gas 12 09 05 AURORA at 12 14 05_NIM Summary 7" xfId="10785"/>
    <cellStyle name="_Value Copy 11 30 05 gas 12 09 05 AURORA at 12 14 05_NIM Summary 7 2" xfId="10786"/>
    <cellStyle name="_Value Copy 11 30 05 gas 12 09 05 AURORA at 12 14 05_NIM Summary 8" xfId="10787"/>
    <cellStyle name="_Value Copy 11 30 05 gas 12 09 05 AURORA at 12 14 05_NIM Summary 8 2" xfId="10788"/>
    <cellStyle name="_Value Copy 11 30 05 gas 12 09 05 AURORA at 12 14 05_NIM Summary 9" xfId="10789"/>
    <cellStyle name="_Value Copy 11 30 05 gas 12 09 05 AURORA at 12 14 05_NIM Summary 9 2" xfId="10790"/>
    <cellStyle name="_Value Copy 11 30 05 gas 12 09 05 AURORA at 12 14 05_NIM Summary_DEM-WP(C) ENERG10C--ctn Mid-C_042010 2010GRC" xfId="10791"/>
    <cellStyle name="_Value Copy 11 30 05 gas 12 09 05 AURORA at 12 14 05_NIM Summary_DEM-WP(C) ENERG10C--ctn Mid-C_042010 2010GRC 2" xfId="10792"/>
    <cellStyle name="_Value Copy 11 30 05 gas 12 09 05 AURORA at 12 14 05_PCA 10 -  Exhibit D Dec 2011" xfId="10793"/>
    <cellStyle name="_Value Copy 11 30 05 gas 12 09 05 AURORA at 12 14 05_PCA 10 -  Exhibit D Dec 2011 2" xfId="10794"/>
    <cellStyle name="_Value Copy 11 30 05 gas 12 09 05 AURORA at 12 14 05_PCA 10 -  Exhibit D from A Kellogg Jan 2011" xfId="10795"/>
    <cellStyle name="_Value Copy 11 30 05 gas 12 09 05 AURORA at 12 14 05_PCA 10 -  Exhibit D from A Kellogg Jan 2011 2" xfId="10796"/>
    <cellStyle name="_Value Copy 11 30 05 gas 12 09 05 AURORA at 12 14 05_PCA 10 -  Exhibit D from A Kellogg July 2011" xfId="10797"/>
    <cellStyle name="_Value Copy 11 30 05 gas 12 09 05 AURORA at 12 14 05_PCA 10 -  Exhibit D from A Kellogg July 2011 2" xfId="10798"/>
    <cellStyle name="_Value Copy 11 30 05 gas 12 09 05 AURORA at 12 14 05_PCA 10 -  Exhibit D from S Free Rcv'd 12-11" xfId="10799"/>
    <cellStyle name="_Value Copy 11 30 05 gas 12 09 05 AURORA at 12 14 05_PCA 10 -  Exhibit D from S Free Rcv'd 12-11 2" xfId="10800"/>
    <cellStyle name="_Value Copy 11 30 05 gas 12 09 05 AURORA at 12 14 05_PCA 11 -  Exhibit D Jan 2012 fr A Kellogg" xfId="10801"/>
    <cellStyle name="_Value Copy 11 30 05 gas 12 09 05 AURORA at 12 14 05_PCA 11 -  Exhibit D Jan 2012 fr A Kellogg 2" xfId="10802"/>
    <cellStyle name="_Value Copy 11 30 05 gas 12 09 05 AURORA at 12 14 05_PCA 11 -  Exhibit D Jan 2012 WF" xfId="10803"/>
    <cellStyle name="_Value Copy 11 30 05 gas 12 09 05 AURORA at 12 14 05_PCA 11 -  Exhibit D Jan 2012 WF 2" xfId="10804"/>
    <cellStyle name="_Value Copy 11 30 05 gas 12 09 05 AURORA at 12 14 05_PCA 7 - Exhibit D update 11_30_08 (2)" xfId="10805"/>
    <cellStyle name="_Value Copy 11 30 05 gas 12 09 05 AURORA at 12 14 05_PCA 7 - Exhibit D update 11_30_08 (2) 2" xfId="10806"/>
    <cellStyle name="_Value Copy 11 30 05 gas 12 09 05 AURORA at 12 14 05_PCA 7 - Exhibit D update 11_30_08 (2) 2 2" xfId="10807"/>
    <cellStyle name="_Value Copy 11 30 05 gas 12 09 05 AURORA at 12 14 05_PCA 7 - Exhibit D update 11_30_08 (2) 2 2 2" xfId="10808"/>
    <cellStyle name="_Value Copy 11 30 05 gas 12 09 05 AURORA at 12 14 05_PCA 7 - Exhibit D update 11_30_08 (2) 2 3" xfId="10809"/>
    <cellStyle name="_Value Copy 11 30 05 gas 12 09 05 AURORA at 12 14 05_PCA 7 - Exhibit D update 11_30_08 (2) 3" xfId="10810"/>
    <cellStyle name="_Value Copy 11 30 05 gas 12 09 05 AURORA at 12 14 05_PCA 7 - Exhibit D update 11_30_08 (2) 3 2" xfId="10811"/>
    <cellStyle name="_Value Copy 11 30 05 gas 12 09 05 AURORA at 12 14 05_PCA 7 - Exhibit D update 11_30_08 (2) 4" xfId="10812"/>
    <cellStyle name="_Value Copy 11 30 05 gas 12 09 05 AURORA at 12 14 05_PCA 7 - Exhibit D update 11_30_08 (2) 4 2" xfId="10813"/>
    <cellStyle name="_Value Copy 11 30 05 gas 12 09 05 AURORA at 12 14 05_PCA 7 - Exhibit D update 11_30_08 (2) 5" xfId="10814"/>
    <cellStyle name="_Value Copy 11 30 05 gas 12 09 05 AURORA at 12 14 05_PCA 7 - Exhibit D update 11_30_08 (2)_DEM-WP(C) ENERG10C--ctn Mid-C_042010 2010GRC" xfId="10815"/>
    <cellStyle name="_Value Copy 11 30 05 gas 12 09 05 AURORA at 12 14 05_PCA 7 - Exhibit D update 11_30_08 (2)_DEM-WP(C) ENERG10C--ctn Mid-C_042010 2010GRC 2" xfId="10816"/>
    <cellStyle name="_Value Copy 11 30 05 gas 12 09 05 AURORA at 12 14 05_PCA 7 - Exhibit D update 11_30_08 (2)_NIM Summary" xfId="10817"/>
    <cellStyle name="_Value Copy 11 30 05 gas 12 09 05 AURORA at 12 14 05_PCA 7 - Exhibit D update 11_30_08 (2)_NIM Summary 2" xfId="10818"/>
    <cellStyle name="_Value Copy 11 30 05 gas 12 09 05 AURORA at 12 14 05_PCA 7 - Exhibit D update 11_30_08 (2)_NIM Summary 2 2" xfId="10819"/>
    <cellStyle name="_Value Copy 11 30 05 gas 12 09 05 AURORA at 12 14 05_PCA 7 - Exhibit D update 11_30_08 (2)_NIM Summary 3" xfId="10820"/>
    <cellStyle name="_Value Copy 11 30 05 gas 12 09 05 AURORA at 12 14 05_PCA 7 - Exhibit D update 11_30_08 (2)_NIM Summary 3 2" xfId="10821"/>
    <cellStyle name="_Value Copy 11 30 05 gas 12 09 05 AURORA at 12 14 05_PCA 7 - Exhibit D update 11_30_08 (2)_NIM Summary 4" xfId="10822"/>
    <cellStyle name="_Value Copy 11 30 05 gas 12 09 05 AURORA at 12 14 05_PCA 7 - Exhibit D update 11_30_08 (2)_NIM Summary_DEM-WP(C) ENERG10C--ctn Mid-C_042010 2010GRC" xfId="10823"/>
    <cellStyle name="_Value Copy 11 30 05 gas 12 09 05 AURORA at 12 14 05_PCA 7 - Exhibit D update 11_30_08 (2)_NIM Summary_DEM-WP(C) ENERG10C--ctn Mid-C_042010 2010GRC 2" xfId="10824"/>
    <cellStyle name="_Value Copy 11 30 05 gas 12 09 05 AURORA at 12 14 05_PCA 8 - Exhibit D update 12_31_09" xfId="10825"/>
    <cellStyle name="_Value Copy 11 30 05 gas 12 09 05 AURORA at 12 14 05_PCA 8 - Exhibit D update 12_31_09 2" xfId="10826"/>
    <cellStyle name="_Value Copy 11 30 05 gas 12 09 05 AURORA at 12 14 05_PCA 8 - Exhibit D update 12_31_09 2 2" xfId="10827"/>
    <cellStyle name="_Value Copy 11 30 05 gas 12 09 05 AURORA at 12 14 05_PCA 8 - Exhibit D update 12_31_09 3" xfId="10828"/>
    <cellStyle name="_Value Copy 11 30 05 gas 12 09 05 AURORA at 12 14 05_PCA 9 -  Exhibit D April 2010" xfId="10829"/>
    <cellStyle name="_Value Copy 11 30 05 gas 12 09 05 AURORA at 12 14 05_PCA 9 -  Exhibit D April 2010 (3)" xfId="10830"/>
    <cellStyle name="_Value Copy 11 30 05 gas 12 09 05 AURORA at 12 14 05_PCA 9 -  Exhibit D April 2010 (3) 2" xfId="10831"/>
    <cellStyle name="_Value Copy 11 30 05 gas 12 09 05 AURORA at 12 14 05_PCA 9 -  Exhibit D April 2010 (3) 2 2" xfId="10832"/>
    <cellStyle name="_Value Copy 11 30 05 gas 12 09 05 AURORA at 12 14 05_PCA 9 -  Exhibit D April 2010 (3) 3" xfId="10833"/>
    <cellStyle name="_Value Copy 11 30 05 gas 12 09 05 AURORA at 12 14 05_PCA 9 -  Exhibit D April 2010 (3) 3 2" xfId="10834"/>
    <cellStyle name="_Value Copy 11 30 05 gas 12 09 05 AURORA at 12 14 05_PCA 9 -  Exhibit D April 2010 (3) 4" xfId="10835"/>
    <cellStyle name="_Value Copy 11 30 05 gas 12 09 05 AURORA at 12 14 05_PCA 9 -  Exhibit D April 2010 (3)_DEM-WP(C) ENERG10C--ctn Mid-C_042010 2010GRC" xfId="10836"/>
    <cellStyle name="_Value Copy 11 30 05 gas 12 09 05 AURORA at 12 14 05_PCA 9 -  Exhibit D April 2010 (3)_DEM-WP(C) ENERG10C--ctn Mid-C_042010 2010GRC 2" xfId="10837"/>
    <cellStyle name="_Value Copy 11 30 05 gas 12 09 05 AURORA at 12 14 05_PCA 9 -  Exhibit D April 2010 2" xfId="10838"/>
    <cellStyle name="_Value Copy 11 30 05 gas 12 09 05 AURORA at 12 14 05_PCA 9 -  Exhibit D April 2010 2 2" xfId="10839"/>
    <cellStyle name="_Value Copy 11 30 05 gas 12 09 05 AURORA at 12 14 05_PCA 9 -  Exhibit D April 2010 3" xfId="10840"/>
    <cellStyle name="_Value Copy 11 30 05 gas 12 09 05 AURORA at 12 14 05_PCA 9 -  Exhibit D April 2010 3 2" xfId="10841"/>
    <cellStyle name="_Value Copy 11 30 05 gas 12 09 05 AURORA at 12 14 05_PCA 9 -  Exhibit D April 2010 4" xfId="10842"/>
    <cellStyle name="_Value Copy 11 30 05 gas 12 09 05 AURORA at 12 14 05_PCA 9 -  Exhibit D April 2010 4 2" xfId="10843"/>
    <cellStyle name="_Value Copy 11 30 05 gas 12 09 05 AURORA at 12 14 05_PCA 9 -  Exhibit D April 2010 5" xfId="10844"/>
    <cellStyle name="_Value Copy 11 30 05 gas 12 09 05 AURORA at 12 14 05_PCA 9 -  Exhibit D April 2010 5 2" xfId="10845"/>
    <cellStyle name="_Value Copy 11 30 05 gas 12 09 05 AURORA at 12 14 05_PCA 9 -  Exhibit D April 2010 6" xfId="10846"/>
    <cellStyle name="_Value Copy 11 30 05 gas 12 09 05 AURORA at 12 14 05_PCA 9 -  Exhibit D April 2010 6 2" xfId="10847"/>
    <cellStyle name="_Value Copy 11 30 05 gas 12 09 05 AURORA at 12 14 05_PCA 9 -  Exhibit D April 2010 7" xfId="10848"/>
    <cellStyle name="_Value Copy 11 30 05 gas 12 09 05 AURORA at 12 14 05_PCA 9 -  Exhibit D Feb 2010" xfId="10849"/>
    <cellStyle name="_Value Copy 11 30 05 gas 12 09 05 AURORA at 12 14 05_PCA 9 -  Exhibit D Feb 2010 2" xfId="10850"/>
    <cellStyle name="_Value Copy 11 30 05 gas 12 09 05 AURORA at 12 14 05_PCA 9 -  Exhibit D Feb 2010 2 2" xfId="10851"/>
    <cellStyle name="_Value Copy 11 30 05 gas 12 09 05 AURORA at 12 14 05_PCA 9 -  Exhibit D Feb 2010 3" xfId="10852"/>
    <cellStyle name="_Value Copy 11 30 05 gas 12 09 05 AURORA at 12 14 05_PCA 9 -  Exhibit D Feb 2010 v2" xfId="10853"/>
    <cellStyle name="_Value Copy 11 30 05 gas 12 09 05 AURORA at 12 14 05_PCA 9 -  Exhibit D Feb 2010 v2 2" xfId="10854"/>
    <cellStyle name="_Value Copy 11 30 05 gas 12 09 05 AURORA at 12 14 05_PCA 9 -  Exhibit D Feb 2010 v2 2 2" xfId="10855"/>
    <cellStyle name="_Value Copy 11 30 05 gas 12 09 05 AURORA at 12 14 05_PCA 9 -  Exhibit D Feb 2010 v2 3" xfId="10856"/>
    <cellStyle name="_Value Copy 11 30 05 gas 12 09 05 AURORA at 12 14 05_PCA 9 -  Exhibit D Feb 2010 WF" xfId="10857"/>
    <cellStyle name="_Value Copy 11 30 05 gas 12 09 05 AURORA at 12 14 05_PCA 9 -  Exhibit D Feb 2010 WF 2" xfId="10858"/>
    <cellStyle name="_Value Copy 11 30 05 gas 12 09 05 AURORA at 12 14 05_PCA 9 -  Exhibit D Feb 2010 WF 2 2" xfId="10859"/>
    <cellStyle name="_Value Copy 11 30 05 gas 12 09 05 AURORA at 12 14 05_PCA 9 -  Exhibit D Feb 2010 WF 3" xfId="10860"/>
    <cellStyle name="_Value Copy 11 30 05 gas 12 09 05 AURORA at 12 14 05_PCA 9 -  Exhibit D Jan 2010" xfId="10861"/>
    <cellStyle name="_Value Copy 11 30 05 gas 12 09 05 AURORA at 12 14 05_PCA 9 -  Exhibit D Jan 2010 2" xfId="10862"/>
    <cellStyle name="_Value Copy 11 30 05 gas 12 09 05 AURORA at 12 14 05_PCA 9 -  Exhibit D Jan 2010 2 2" xfId="10863"/>
    <cellStyle name="_Value Copy 11 30 05 gas 12 09 05 AURORA at 12 14 05_PCA 9 -  Exhibit D Jan 2010 3" xfId="10864"/>
    <cellStyle name="_Value Copy 11 30 05 gas 12 09 05 AURORA at 12 14 05_PCA 9 -  Exhibit D March 2010 (2)" xfId="10865"/>
    <cellStyle name="_Value Copy 11 30 05 gas 12 09 05 AURORA at 12 14 05_PCA 9 -  Exhibit D March 2010 (2) 2" xfId="10866"/>
    <cellStyle name="_Value Copy 11 30 05 gas 12 09 05 AURORA at 12 14 05_PCA 9 -  Exhibit D March 2010 (2) 2 2" xfId="10867"/>
    <cellStyle name="_Value Copy 11 30 05 gas 12 09 05 AURORA at 12 14 05_PCA 9 -  Exhibit D March 2010 (2) 3" xfId="10868"/>
    <cellStyle name="_Value Copy 11 30 05 gas 12 09 05 AURORA at 12 14 05_PCA 9 -  Exhibit D Nov 2010" xfId="10869"/>
    <cellStyle name="_Value Copy 11 30 05 gas 12 09 05 AURORA at 12 14 05_PCA 9 -  Exhibit D Nov 2010 2" xfId="10870"/>
    <cellStyle name="_Value Copy 11 30 05 gas 12 09 05 AURORA at 12 14 05_PCA 9 -  Exhibit D Nov 2010 2 2" xfId="10871"/>
    <cellStyle name="_Value Copy 11 30 05 gas 12 09 05 AURORA at 12 14 05_PCA 9 -  Exhibit D Nov 2010 3" xfId="10872"/>
    <cellStyle name="_Value Copy 11 30 05 gas 12 09 05 AURORA at 12 14 05_PCA 9 - Exhibit D at August 2010" xfId="10873"/>
    <cellStyle name="_Value Copy 11 30 05 gas 12 09 05 AURORA at 12 14 05_PCA 9 - Exhibit D at August 2010 2" xfId="10874"/>
    <cellStyle name="_Value Copy 11 30 05 gas 12 09 05 AURORA at 12 14 05_PCA 9 - Exhibit D at August 2010 2 2" xfId="10875"/>
    <cellStyle name="_Value Copy 11 30 05 gas 12 09 05 AURORA at 12 14 05_PCA 9 - Exhibit D at August 2010 3" xfId="10876"/>
    <cellStyle name="_Value Copy 11 30 05 gas 12 09 05 AURORA at 12 14 05_PCA 9 - Exhibit D June 2010 GRC" xfId="10877"/>
    <cellStyle name="_Value Copy 11 30 05 gas 12 09 05 AURORA at 12 14 05_PCA 9 - Exhibit D June 2010 GRC 2" xfId="10878"/>
    <cellStyle name="_Value Copy 11 30 05 gas 12 09 05 AURORA at 12 14 05_PCA 9 - Exhibit D June 2010 GRC 2 2" xfId="10879"/>
    <cellStyle name="_Value Copy 11 30 05 gas 12 09 05 AURORA at 12 14 05_PCA 9 - Exhibit D June 2010 GRC 3" xfId="10880"/>
    <cellStyle name="_Value Copy 11 30 05 gas 12 09 05 AURORA at 12 14 05_Power Costs - Comparison bx Rbtl-Staff-Jt-PC" xfId="10881"/>
    <cellStyle name="_Value Copy 11 30 05 gas 12 09 05 AURORA at 12 14 05_Power Costs - Comparison bx Rbtl-Staff-Jt-PC 2" xfId="10882"/>
    <cellStyle name="_Value Copy 11 30 05 gas 12 09 05 AURORA at 12 14 05_Power Costs - Comparison bx Rbtl-Staff-Jt-PC 2 2" xfId="10883"/>
    <cellStyle name="_Value Copy 11 30 05 gas 12 09 05 AURORA at 12 14 05_Power Costs - Comparison bx Rbtl-Staff-Jt-PC 3" xfId="10884"/>
    <cellStyle name="_Value Copy 11 30 05 gas 12 09 05 AURORA at 12 14 05_Power Costs - Comparison bx Rbtl-Staff-Jt-PC 3 2" xfId="10885"/>
    <cellStyle name="_Value Copy 11 30 05 gas 12 09 05 AURORA at 12 14 05_Power Costs - Comparison bx Rbtl-Staff-Jt-PC 4" xfId="10886"/>
    <cellStyle name="_Value Copy 11 30 05 gas 12 09 05 AURORA at 12 14 05_Power Costs - Comparison bx Rbtl-Staff-Jt-PC_Adj Bench DR 3 for Initial Briefs (Electric)" xfId="10887"/>
    <cellStyle name="_Value Copy 11 30 05 gas 12 09 05 AURORA at 12 14 05_Power Costs - Comparison bx Rbtl-Staff-Jt-PC_Adj Bench DR 3 for Initial Briefs (Electric) 2" xfId="10888"/>
    <cellStyle name="_Value Copy 11 30 05 gas 12 09 05 AURORA at 12 14 05_Power Costs - Comparison bx Rbtl-Staff-Jt-PC_Adj Bench DR 3 for Initial Briefs (Electric) 2 2" xfId="10889"/>
    <cellStyle name="_Value Copy 11 30 05 gas 12 09 05 AURORA at 12 14 05_Power Costs - Comparison bx Rbtl-Staff-Jt-PC_Adj Bench DR 3 for Initial Briefs (Electric) 3" xfId="10890"/>
    <cellStyle name="_Value Copy 11 30 05 gas 12 09 05 AURORA at 12 14 05_Power Costs - Comparison bx Rbtl-Staff-Jt-PC_Adj Bench DR 3 for Initial Briefs (Electric) 3 2" xfId="10891"/>
    <cellStyle name="_Value Copy 11 30 05 gas 12 09 05 AURORA at 12 14 05_Power Costs - Comparison bx Rbtl-Staff-Jt-PC_Adj Bench DR 3 for Initial Briefs (Electric) 4" xfId="10892"/>
    <cellStyle name="_Value Copy 11 30 05 gas 12 09 05 AURORA at 12 14 05_Power Costs - Comparison bx Rbtl-Staff-Jt-PC_Adj Bench DR 3 for Initial Briefs (Electric)_DEM-WP(C) ENERG10C--ctn Mid-C_042010 2010GRC" xfId="10893"/>
    <cellStyle name="_Value Copy 11 30 05 gas 12 09 05 AURORA at 12 14 05_Power Costs - Comparison bx Rbtl-Staff-Jt-PC_Adj Bench DR 3 for Initial Briefs (Electric)_DEM-WP(C) ENERG10C--ctn Mid-C_042010 2010GRC 2" xfId="10894"/>
    <cellStyle name="_Value Copy 11 30 05 gas 12 09 05 AURORA at 12 14 05_Power Costs - Comparison bx Rbtl-Staff-Jt-PC_DEM-WP(C) ENERG10C--ctn Mid-C_042010 2010GRC" xfId="10895"/>
    <cellStyle name="_Value Copy 11 30 05 gas 12 09 05 AURORA at 12 14 05_Power Costs - Comparison bx Rbtl-Staff-Jt-PC_DEM-WP(C) ENERG10C--ctn Mid-C_042010 2010GRC 2" xfId="10896"/>
    <cellStyle name="_Value Copy 11 30 05 gas 12 09 05 AURORA at 12 14 05_Power Costs - Comparison bx Rbtl-Staff-Jt-PC_Electric Rev Req Model (2009 GRC) Rebuttal" xfId="10897"/>
    <cellStyle name="_Value Copy 11 30 05 gas 12 09 05 AURORA at 12 14 05_Power Costs - Comparison bx Rbtl-Staff-Jt-PC_Electric Rev Req Model (2009 GRC) Rebuttal 2" xfId="10898"/>
    <cellStyle name="_Value Copy 11 30 05 gas 12 09 05 AURORA at 12 14 05_Power Costs - Comparison bx Rbtl-Staff-Jt-PC_Electric Rev Req Model (2009 GRC) Rebuttal 2 2" xfId="10899"/>
    <cellStyle name="_Value Copy 11 30 05 gas 12 09 05 AURORA at 12 14 05_Power Costs - Comparison bx Rbtl-Staff-Jt-PC_Electric Rev Req Model (2009 GRC) Rebuttal 3" xfId="10900"/>
    <cellStyle name="_Value Copy 11 30 05 gas 12 09 05 AURORA at 12 14 05_Power Costs - Comparison bx Rbtl-Staff-Jt-PC_Electric Rev Req Model (2009 GRC) Rebuttal REmoval of New  WH Solar AdjustMI" xfId="10901"/>
    <cellStyle name="_Value Copy 11 30 05 gas 12 09 05 AURORA at 12 14 05_Power Costs - Comparison bx Rbtl-Staff-Jt-PC_Electric Rev Req Model (2009 GRC) Rebuttal REmoval of New  WH Solar AdjustMI 2" xfId="10902"/>
    <cellStyle name="_Value Copy 11 30 05 gas 12 09 05 AURORA at 12 14 05_Power Costs - Comparison bx Rbtl-Staff-Jt-PC_Electric Rev Req Model (2009 GRC) Rebuttal REmoval of New  WH Solar AdjustMI 2 2" xfId="10903"/>
    <cellStyle name="_Value Copy 11 30 05 gas 12 09 05 AURORA at 12 14 05_Power Costs - Comparison bx Rbtl-Staff-Jt-PC_Electric Rev Req Model (2009 GRC) Rebuttal REmoval of New  WH Solar AdjustMI 3" xfId="10904"/>
    <cellStyle name="_Value Copy 11 30 05 gas 12 09 05 AURORA at 12 14 05_Power Costs - Comparison bx Rbtl-Staff-Jt-PC_Electric Rev Req Model (2009 GRC) Rebuttal REmoval of New  WH Solar AdjustMI 3 2" xfId="10905"/>
    <cellStyle name="_Value Copy 11 30 05 gas 12 09 05 AURORA at 12 14 05_Power Costs - Comparison bx Rbtl-Staff-Jt-PC_Electric Rev Req Model (2009 GRC) Rebuttal REmoval of New  WH Solar AdjustMI 4" xfId="10906"/>
    <cellStyle name="_Value Copy 11 30 05 gas 12 09 05 AURORA at 12 14 05_Power Costs - Comparison bx Rbtl-Staff-Jt-PC_Electric Rev Req Model (2009 GRC) Rebuttal REmoval of New  WH Solar AdjustMI_DEM-WP(C) ENERG10C--ctn Mid-C_042010 2010GRC" xfId="10907"/>
    <cellStyle name="_Value Copy 11 30 05 gas 12 09 05 AURORA at 12 14 05_Power Costs - Comparison bx Rbtl-Staff-Jt-PC_Electric Rev Req Model (2009 GRC) Rebuttal REmoval of New  WH Solar AdjustMI_DEM-WP(C) ENERG10C--ctn Mid-C_042010 2010GRC 2" xfId="10908"/>
    <cellStyle name="_Value Copy 11 30 05 gas 12 09 05 AURORA at 12 14 05_Power Costs - Comparison bx Rbtl-Staff-Jt-PC_Electric Rev Req Model (2009 GRC) Revised 01-18-2010" xfId="10909"/>
    <cellStyle name="_Value Copy 11 30 05 gas 12 09 05 AURORA at 12 14 05_Power Costs - Comparison bx Rbtl-Staff-Jt-PC_Electric Rev Req Model (2009 GRC) Revised 01-18-2010 2" xfId="10910"/>
    <cellStyle name="_Value Copy 11 30 05 gas 12 09 05 AURORA at 12 14 05_Power Costs - Comparison bx Rbtl-Staff-Jt-PC_Electric Rev Req Model (2009 GRC) Revised 01-18-2010 2 2" xfId="10911"/>
    <cellStyle name="_Value Copy 11 30 05 gas 12 09 05 AURORA at 12 14 05_Power Costs - Comparison bx Rbtl-Staff-Jt-PC_Electric Rev Req Model (2009 GRC) Revised 01-18-2010 3" xfId="10912"/>
    <cellStyle name="_Value Copy 11 30 05 gas 12 09 05 AURORA at 12 14 05_Power Costs - Comparison bx Rbtl-Staff-Jt-PC_Electric Rev Req Model (2009 GRC) Revised 01-18-2010 3 2" xfId="10913"/>
    <cellStyle name="_Value Copy 11 30 05 gas 12 09 05 AURORA at 12 14 05_Power Costs - Comparison bx Rbtl-Staff-Jt-PC_Electric Rev Req Model (2009 GRC) Revised 01-18-2010 4" xfId="10914"/>
    <cellStyle name="_Value Copy 11 30 05 gas 12 09 05 AURORA at 12 14 05_Power Costs - Comparison bx Rbtl-Staff-Jt-PC_Electric Rev Req Model (2009 GRC) Revised 01-18-2010_DEM-WP(C) ENERG10C--ctn Mid-C_042010 2010GRC" xfId="10915"/>
    <cellStyle name="_Value Copy 11 30 05 gas 12 09 05 AURORA at 12 14 05_Power Costs - Comparison bx Rbtl-Staff-Jt-PC_Electric Rev Req Model (2009 GRC) Revised 01-18-2010_DEM-WP(C) ENERG10C--ctn Mid-C_042010 2010GRC 2" xfId="10916"/>
    <cellStyle name="_Value Copy 11 30 05 gas 12 09 05 AURORA at 12 14 05_Power Costs - Comparison bx Rbtl-Staff-Jt-PC_Final Order Electric EXHIBIT A-1" xfId="10917"/>
    <cellStyle name="_Value Copy 11 30 05 gas 12 09 05 AURORA at 12 14 05_Power Costs - Comparison bx Rbtl-Staff-Jt-PC_Final Order Electric EXHIBIT A-1 2" xfId="10918"/>
    <cellStyle name="_Value Copy 11 30 05 gas 12 09 05 AURORA at 12 14 05_Power Costs - Comparison bx Rbtl-Staff-Jt-PC_Final Order Electric EXHIBIT A-1 2 2" xfId="10919"/>
    <cellStyle name="_Value Copy 11 30 05 gas 12 09 05 AURORA at 12 14 05_Power Costs - Comparison bx Rbtl-Staff-Jt-PC_Final Order Electric EXHIBIT A-1 3" xfId="10920"/>
    <cellStyle name="_Value Copy 11 30 05 gas 12 09 05 AURORA at 12 14 05_Production Adj 4.37" xfId="21282"/>
    <cellStyle name="_Value Copy 11 30 05 gas 12 09 05 AURORA at 12 14 05_Purchased Power Adj 4.03" xfId="21283"/>
    <cellStyle name="_Value Copy 11 30 05 gas 12 09 05 AURORA at 12 14 05_Rebuttal Power Costs" xfId="10921"/>
    <cellStyle name="_Value Copy 11 30 05 gas 12 09 05 AURORA at 12 14 05_Rebuttal Power Costs 2" xfId="10922"/>
    <cellStyle name="_Value Copy 11 30 05 gas 12 09 05 AURORA at 12 14 05_Rebuttal Power Costs 2 2" xfId="10923"/>
    <cellStyle name="_Value Copy 11 30 05 gas 12 09 05 AURORA at 12 14 05_Rebuttal Power Costs 3" xfId="10924"/>
    <cellStyle name="_Value Copy 11 30 05 gas 12 09 05 AURORA at 12 14 05_Rebuttal Power Costs 3 2" xfId="10925"/>
    <cellStyle name="_Value Copy 11 30 05 gas 12 09 05 AURORA at 12 14 05_Rebuttal Power Costs 4" xfId="10926"/>
    <cellStyle name="_Value Copy 11 30 05 gas 12 09 05 AURORA at 12 14 05_Rebuttal Power Costs_Adj Bench DR 3 for Initial Briefs (Electric)" xfId="10927"/>
    <cellStyle name="_Value Copy 11 30 05 gas 12 09 05 AURORA at 12 14 05_Rebuttal Power Costs_Adj Bench DR 3 for Initial Briefs (Electric) 2" xfId="10928"/>
    <cellStyle name="_Value Copy 11 30 05 gas 12 09 05 AURORA at 12 14 05_Rebuttal Power Costs_Adj Bench DR 3 for Initial Briefs (Electric) 2 2" xfId="10929"/>
    <cellStyle name="_Value Copy 11 30 05 gas 12 09 05 AURORA at 12 14 05_Rebuttal Power Costs_Adj Bench DR 3 for Initial Briefs (Electric) 3" xfId="10930"/>
    <cellStyle name="_Value Copy 11 30 05 gas 12 09 05 AURORA at 12 14 05_Rebuttal Power Costs_Adj Bench DR 3 for Initial Briefs (Electric) 3 2" xfId="10931"/>
    <cellStyle name="_Value Copy 11 30 05 gas 12 09 05 AURORA at 12 14 05_Rebuttal Power Costs_Adj Bench DR 3 for Initial Briefs (Electric) 4" xfId="10932"/>
    <cellStyle name="_Value Copy 11 30 05 gas 12 09 05 AURORA at 12 14 05_Rebuttal Power Costs_Adj Bench DR 3 for Initial Briefs (Electric)_DEM-WP(C) ENERG10C--ctn Mid-C_042010 2010GRC" xfId="10933"/>
    <cellStyle name="_Value Copy 11 30 05 gas 12 09 05 AURORA at 12 14 05_Rebuttal Power Costs_Adj Bench DR 3 for Initial Briefs (Electric)_DEM-WP(C) ENERG10C--ctn Mid-C_042010 2010GRC 2" xfId="10934"/>
    <cellStyle name="_Value Copy 11 30 05 gas 12 09 05 AURORA at 12 14 05_Rebuttal Power Costs_DEM-WP(C) ENERG10C--ctn Mid-C_042010 2010GRC" xfId="10935"/>
    <cellStyle name="_Value Copy 11 30 05 gas 12 09 05 AURORA at 12 14 05_Rebuttal Power Costs_DEM-WP(C) ENERG10C--ctn Mid-C_042010 2010GRC 2" xfId="10936"/>
    <cellStyle name="_Value Copy 11 30 05 gas 12 09 05 AURORA at 12 14 05_Rebuttal Power Costs_Electric Rev Req Model (2009 GRC) Rebuttal" xfId="10937"/>
    <cellStyle name="_Value Copy 11 30 05 gas 12 09 05 AURORA at 12 14 05_Rebuttal Power Costs_Electric Rev Req Model (2009 GRC) Rebuttal 2" xfId="10938"/>
    <cellStyle name="_Value Copy 11 30 05 gas 12 09 05 AURORA at 12 14 05_Rebuttal Power Costs_Electric Rev Req Model (2009 GRC) Rebuttal 2 2" xfId="10939"/>
    <cellStyle name="_Value Copy 11 30 05 gas 12 09 05 AURORA at 12 14 05_Rebuttal Power Costs_Electric Rev Req Model (2009 GRC) Rebuttal 3" xfId="10940"/>
    <cellStyle name="_Value Copy 11 30 05 gas 12 09 05 AURORA at 12 14 05_Rebuttal Power Costs_Electric Rev Req Model (2009 GRC) Rebuttal REmoval of New  WH Solar AdjustMI" xfId="10941"/>
    <cellStyle name="_Value Copy 11 30 05 gas 12 09 05 AURORA at 12 14 05_Rebuttal Power Costs_Electric Rev Req Model (2009 GRC) Rebuttal REmoval of New  WH Solar AdjustMI 2" xfId="10942"/>
    <cellStyle name="_Value Copy 11 30 05 gas 12 09 05 AURORA at 12 14 05_Rebuttal Power Costs_Electric Rev Req Model (2009 GRC) Rebuttal REmoval of New  WH Solar AdjustMI 2 2" xfId="10943"/>
    <cellStyle name="_Value Copy 11 30 05 gas 12 09 05 AURORA at 12 14 05_Rebuttal Power Costs_Electric Rev Req Model (2009 GRC) Rebuttal REmoval of New  WH Solar AdjustMI 3" xfId="10944"/>
    <cellStyle name="_Value Copy 11 30 05 gas 12 09 05 AURORA at 12 14 05_Rebuttal Power Costs_Electric Rev Req Model (2009 GRC) Rebuttal REmoval of New  WH Solar AdjustMI 3 2" xfId="10945"/>
    <cellStyle name="_Value Copy 11 30 05 gas 12 09 05 AURORA at 12 14 05_Rebuttal Power Costs_Electric Rev Req Model (2009 GRC) Rebuttal REmoval of New  WH Solar AdjustMI 4" xfId="10946"/>
    <cellStyle name="_Value Copy 11 30 05 gas 12 09 05 AURORA at 12 14 05_Rebuttal Power Costs_Electric Rev Req Model (2009 GRC) Rebuttal REmoval of New  WH Solar AdjustMI_DEM-WP(C) ENERG10C--ctn Mid-C_042010 2010GRC" xfId="10947"/>
    <cellStyle name="_Value Copy 11 30 05 gas 12 09 05 AURORA at 12 14 05_Rebuttal Power Costs_Electric Rev Req Model (2009 GRC) Rebuttal REmoval of New  WH Solar AdjustMI_DEM-WP(C) ENERG10C--ctn Mid-C_042010 2010GRC 2" xfId="10948"/>
    <cellStyle name="_Value Copy 11 30 05 gas 12 09 05 AURORA at 12 14 05_Rebuttal Power Costs_Electric Rev Req Model (2009 GRC) Revised 01-18-2010" xfId="10949"/>
    <cellStyle name="_Value Copy 11 30 05 gas 12 09 05 AURORA at 12 14 05_Rebuttal Power Costs_Electric Rev Req Model (2009 GRC) Revised 01-18-2010 2" xfId="10950"/>
    <cellStyle name="_Value Copy 11 30 05 gas 12 09 05 AURORA at 12 14 05_Rebuttal Power Costs_Electric Rev Req Model (2009 GRC) Revised 01-18-2010 2 2" xfId="10951"/>
    <cellStyle name="_Value Copy 11 30 05 gas 12 09 05 AURORA at 12 14 05_Rebuttal Power Costs_Electric Rev Req Model (2009 GRC) Revised 01-18-2010 3" xfId="10952"/>
    <cellStyle name="_Value Copy 11 30 05 gas 12 09 05 AURORA at 12 14 05_Rebuttal Power Costs_Electric Rev Req Model (2009 GRC) Revised 01-18-2010 3 2" xfId="10953"/>
    <cellStyle name="_Value Copy 11 30 05 gas 12 09 05 AURORA at 12 14 05_Rebuttal Power Costs_Electric Rev Req Model (2009 GRC) Revised 01-18-2010 4" xfId="10954"/>
    <cellStyle name="_Value Copy 11 30 05 gas 12 09 05 AURORA at 12 14 05_Rebuttal Power Costs_Electric Rev Req Model (2009 GRC) Revised 01-18-2010_DEM-WP(C) ENERG10C--ctn Mid-C_042010 2010GRC" xfId="10955"/>
    <cellStyle name="_Value Copy 11 30 05 gas 12 09 05 AURORA at 12 14 05_Rebuttal Power Costs_Electric Rev Req Model (2009 GRC) Revised 01-18-2010_DEM-WP(C) ENERG10C--ctn Mid-C_042010 2010GRC 2" xfId="10956"/>
    <cellStyle name="_Value Copy 11 30 05 gas 12 09 05 AURORA at 12 14 05_Rebuttal Power Costs_Final Order Electric EXHIBIT A-1" xfId="10957"/>
    <cellStyle name="_Value Copy 11 30 05 gas 12 09 05 AURORA at 12 14 05_Rebuttal Power Costs_Final Order Electric EXHIBIT A-1 2" xfId="10958"/>
    <cellStyle name="_Value Copy 11 30 05 gas 12 09 05 AURORA at 12 14 05_Rebuttal Power Costs_Final Order Electric EXHIBIT A-1 2 2" xfId="10959"/>
    <cellStyle name="_Value Copy 11 30 05 gas 12 09 05 AURORA at 12 14 05_Rebuttal Power Costs_Final Order Electric EXHIBIT A-1 3" xfId="10960"/>
    <cellStyle name="_Value Copy 11 30 05 gas 12 09 05 AURORA at 12 14 05_ROR 5.02" xfId="21284"/>
    <cellStyle name="_Value Copy 11 30 05 gas 12 09 05 AURORA at 12 14 05_Sch 40 Interim Energy Rates " xfId="18250"/>
    <cellStyle name="_Value Copy 11 30 05 gas 12 09 05 AURORA at 12 14 05_Transmission Workbook for May BOD" xfId="10961"/>
    <cellStyle name="_Value Copy 11 30 05 gas 12 09 05 AURORA at 12 14 05_Transmission Workbook for May BOD 2" xfId="10962"/>
    <cellStyle name="_Value Copy 11 30 05 gas 12 09 05 AURORA at 12 14 05_Transmission Workbook for May BOD 2 2" xfId="10963"/>
    <cellStyle name="_Value Copy 11 30 05 gas 12 09 05 AURORA at 12 14 05_Transmission Workbook for May BOD 3" xfId="10964"/>
    <cellStyle name="_Value Copy 11 30 05 gas 12 09 05 AURORA at 12 14 05_Transmission Workbook for May BOD 3 2" xfId="10965"/>
    <cellStyle name="_Value Copy 11 30 05 gas 12 09 05 AURORA at 12 14 05_Transmission Workbook for May BOD 4" xfId="10966"/>
    <cellStyle name="_Value Copy 11 30 05 gas 12 09 05 AURORA at 12 14 05_Transmission Workbook for May BOD_DEM-WP(C) ENERG10C--ctn Mid-C_042010 2010GRC" xfId="10967"/>
    <cellStyle name="_Value Copy 11 30 05 gas 12 09 05 AURORA at 12 14 05_Transmission Workbook for May BOD_DEM-WP(C) ENERG10C--ctn Mid-C_042010 2010GRC 2" xfId="10968"/>
    <cellStyle name="_Value Copy 11 30 05 gas 12 09 05 AURORA at 12 14 05_Wind Integration 10GRC" xfId="10969"/>
    <cellStyle name="_Value Copy 11 30 05 gas 12 09 05 AURORA at 12 14 05_Wind Integration 10GRC 2" xfId="10970"/>
    <cellStyle name="_Value Copy 11 30 05 gas 12 09 05 AURORA at 12 14 05_Wind Integration 10GRC 2 2" xfId="10971"/>
    <cellStyle name="_Value Copy 11 30 05 gas 12 09 05 AURORA at 12 14 05_Wind Integration 10GRC 3" xfId="10972"/>
    <cellStyle name="_Value Copy 11 30 05 gas 12 09 05 AURORA at 12 14 05_Wind Integration 10GRC 3 2" xfId="10973"/>
    <cellStyle name="_Value Copy 11 30 05 gas 12 09 05 AURORA at 12 14 05_Wind Integration 10GRC 4" xfId="10974"/>
    <cellStyle name="_Value Copy 11 30 05 gas 12 09 05 AURORA at 12 14 05_Wind Integration 10GRC_DEM-WP(C) ENERG10C--ctn Mid-C_042010 2010GRC" xfId="10975"/>
    <cellStyle name="_Value Copy 11 30 05 gas 12 09 05 AURORA at 12 14 05_Wind Integration 10GRC_DEM-WP(C) ENERG10C--ctn Mid-C_042010 2010GRC 2" xfId="10976"/>
    <cellStyle name="_VC 2007GRC PC 10312007" xfId="10977"/>
    <cellStyle name="_VC 2007GRC PC 10312007 2" xfId="10978"/>
    <cellStyle name="_VC 6.15.06 update on 06GRC power costs.xls Chart 1" xfId="10979"/>
    <cellStyle name="_VC 6.15.06 update on 06GRC power costs.xls Chart 1 2" xfId="10980"/>
    <cellStyle name="_VC 6.15.06 update on 06GRC power costs.xls Chart 1 2 2" xfId="10981"/>
    <cellStyle name="_VC 6.15.06 update on 06GRC power costs.xls Chart 1 2 2 2" xfId="10982"/>
    <cellStyle name="_VC 6.15.06 update on 06GRC power costs.xls Chart 1 2 3" xfId="10983"/>
    <cellStyle name="_VC 6.15.06 update on 06GRC power costs.xls Chart 1 2 3 2" xfId="10984"/>
    <cellStyle name="_VC 6.15.06 update on 06GRC power costs.xls Chart 1 2 4" xfId="10985"/>
    <cellStyle name="_VC 6.15.06 update on 06GRC power costs.xls Chart 1 3" xfId="10986"/>
    <cellStyle name="_VC 6.15.06 update on 06GRC power costs.xls Chart 1 3 2" xfId="10987"/>
    <cellStyle name="_VC 6.15.06 update on 06GRC power costs.xls Chart 1 4" xfId="10988"/>
    <cellStyle name="_VC 6.15.06 update on 06GRC power costs.xls Chart 1 4 2" xfId="10989"/>
    <cellStyle name="_VC 6.15.06 update on 06GRC power costs.xls Chart 1 4 2 2" xfId="10990"/>
    <cellStyle name="_VC 6.15.06 update on 06GRC power costs.xls Chart 1 4 3" xfId="10991"/>
    <cellStyle name="_VC 6.15.06 update on 06GRC power costs.xls Chart 1 5" xfId="10992"/>
    <cellStyle name="_VC 6.15.06 update on 06GRC power costs.xls Chart 1 5 2" xfId="10993"/>
    <cellStyle name="_VC 6.15.06 update on 06GRC power costs.xls Chart 1 6" xfId="10994"/>
    <cellStyle name="_VC 6.15.06 update on 06GRC power costs.xls Chart 1 6 2" xfId="10995"/>
    <cellStyle name="_VC 6.15.06 update on 06GRC power costs.xls Chart 1 6 2 2" xfId="10996"/>
    <cellStyle name="_VC 6.15.06 update on 06GRC power costs.xls Chart 1 6 3" xfId="10997"/>
    <cellStyle name="_VC 6.15.06 update on 06GRC power costs.xls Chart 1 7" xfId="10998"/>
    <cellStyle name="_VC 6.15.06 update on 06GRC power costs.xls Chart 1 7 2" xfId="10999"/>
    <cellStyle name="_VC 6.15.06 update on 06GRC power costs.xls Chart 1 7 2 2" xfId="11000"/>
    <cellStyle name="_VC 6.15.06 update on 06GRC power costs.xls Chart 1 7 3" xfId="11001"/>
    <cellStyle name="_VC 6.15.06 update on 06GRC power costs.xls Chart 1 8" xfId="11002"/>
    <cellStyle name="_VC 6.15.06 update on 06GRC power costs.xls Chart 1_04 07E Wild Horse Wind Expansion (C) (2)" xfId="11003"/>
    <cellStyle name="_VC 6.15.06 update on 06GRC power costs.xls Chart 1_04 07E Wild Horse Wind Expansion (C) (2) 2" xfId="11004"/>
    <cellStyle name="_VC 6.15.06 update on 06GRC power costs.xls Chart 1_04 07E Wild Horse Wind Expansion (C) (2) 2 2" xfId="11005"/>
    <cellStyle name="_VC 6.15.06 update on 06GRC power costs.xls Chart 1_04 07E Wild Horse Wind Expansion (C) (2) 3" xfId="11006"/>
    <cellStyle name="_VC 6.15.06 update on 06GRC power costs.xls Chart 1_04 07E Wild Horse Wind Expansion (C) (2) 3 2" xfId="11007"/>
    <cellStyle name="_VC 6.15.06 update on 06GRC power costs.xls Chart 1_04 07E Wild Horse Wind Expansion (C) (2) 4" xfId="11008"/>
    <cellStyle name="_VC 6.15.06 update on 06GRC power costs.xls Chart 1_04 07E Wild Horse Wind Expansion (C) (2)_Adj Bench DR 3 for Initial Briefs (Electric)" xfId="11009"/>
    <cellStyle name="_VC 6.15.06 update on 06GRC power costs.xls Chart 1_04 07E Wild Horse Wind Expansion (C) (2)_Adj Bench DR 3 for Initial Briefs (Electric) 2" xfId="11010"/>
    <cellStyle name="_VC 6.15.06 update on 06GRC power costs.xls Chart 1_04 07E Wild Horse Wind Expansion (C) (2)_Adj Bench DR 3 for Initial Briefs (Electric) 2 2" xfId="11011"/>
    <cellStyle name="_VC 6.15.06 update on 06GRC power costs.xls Chart 1_04 07E Wild Horse Wind Expansion (C) (2)_Adj Bench DR 3 for Initial Briefs (Electric) 3" xfId="11012"/>
    <cellStyle name="_VC 6.15.06 update on 06GRC power costs.xls Chart 1_04 07E Wild Horse Wind Expansion (C) (2)_Adj Bench DR 3 for Initial Briefs (Electric) 3 2" xfId="11013"/>
    <cellStyle name="_VC 6.15.06 update on 06GRC power costs.xls Chart 1_04 07E Wild Horse Wind Expansion (C) (2)_Adj Bench DR 3 for Initial Briefs (Electric) 4" xfId="11014"/>
    <cellStyle name="_VC 6.15.06 update on 06GRC power costs.xls Chart 1_04 07E Wild Horse Wind Expansion (C) (2)_Adj Bench DR 3 for Initial Briefs (Electric)_DEM-WP(C) ENERG10C--ctn Mid-C_042010 2010GRC" xfId="11015"/>
    <cellStyle name="_VC 6.15.06 update on 06GRC power costs.xls Chart 1_04 07E Wild Horse Wind Expansion (C) (2)_Adj Bench DR 3 for Initial Briefs (Electric)_DEM-WP(C) ENERG10C--ctn Mid-C_042010 2010GRC 2" xfId="11016"/>
    <cellStyle name="_VC 6.15.06 update on 06GRC power costs.xls Chart 1_04 07E Wild Horse Wind Expansion (C) (2)_Book1" xfId="11017"/>
    <cellStyle name="_VC 6.15.06 update on 06GRC power costs.xls Chart 1_04 07E Wild Horse Wind Expansion (C) (2)_Book1 2" xfId="11018"/>
    <cellStyle name="_VC 6.15.06 update on 06GRC power costs.xls Chart 1_04 07E Wild Horse Wind Expansion (C) (2)_DEM-WP(C) ENERG10C--ctn Mid-C_042010 2010GRC" xfId="11019"/>
    <cellStyle name="_VC 6.15.06 update on 06GRC power costs.xls Chart 1_04 07E Wild Horse Wind Expansion (C) (2)_DEM-WP(C) ENERG10C--ctn Mid-C_042010 2010GRC 2" xfId="11020"/>
    <cellStyle name="_VC 6.15.06 update on 06GRC power costs.xls Chart 1_04 07E Wild Horse Wind Expansion (C) (2)_Electric Rev Req Model (2009 GRC) " xfId="11021"/>
    <cellStyle name="_VC 6.15.06 update on 06GRC power costs.xls Chart 1_04 07E Wild Horse Wind Expansion (C) (2)_Electric Rev Req Model (2009 GRC)  2" xfId="11022"/>
    <cellStyle name="_VC 6.15.06 update on 06GRC power costs.xls Chart 1_04 07E Wild Horse Wind Expansion (C) (2)_Electric Rev Req Model (2009 GRC)  2 2" xfId="11023"/>
    <cellStyle name="_VC 6.15.06 update on 06GRC power costs.xls Chart 1_04 07E Wild Horse Wind Expansion (C) (2)_Electric Rev Req Model (2009 GRC)  3" xfId="11024"/>
    <cellStyle name="_VC 6.15.06 update on 06GRC power costs.xls Chart 1_04 07E Wild Horse Wind Expansion (C) (2)_Electric Rev Req Model (2009 GRC)  3 2" xfId="11025"/>
    <cellStyle name="_VC 6.15.06 update on 06GRC power costs.xls Chart 1_04 07E Wild Horse Wind Expansion (C) (2)_Electric Rev Req Model (2009 GRC)  4" xfId="11026"/>
    <cellStyle name="_VC 6.15.06 update on 06GRC power costs.xls Chart 1_04 07E Wild Horse Wind Expansion (C) (2)_Electric Rev Req Model (2009 GRC) _DEM-WP(C) ENERG10C--ctn Mid-C_042010 2010GRC" xfId="11027"/>
    <cellStyle name="_VC 6.15.06 update on 06GRC power costs.xls Chart 1_04 07E Wild Horse Wind Expansion (C) (2)_Electric Rev Req Model (2009 GRC) _DEM-WP(C) ENERG10C--ctn Mid-C_042010 2010GRC 2" xfId="11028"/>
    <cellStyle name="_VC 6.15.06 update on 06GRC power costs.xls Chart 1_04 07E Wild Horse Wind Expansion (C) (2)_Electric Rev Req Model (2009 GRC) Rebuttal" xfId="11029"/>
    <cellStyle name="_VC 6.15.06 update on 06GRC power costs.xls Chart 1_04 07E Wild Horse Wind Expansion (C) (2)_Electric Rev Req Model (2009 GRC) Rebuttal 2" xfId="11030"/>
    <cellStyle name="_VC 6.15.06 update on 06GRC power costs.xls Chart 1_04 07E Wild Horse Wind Expansion (C) (2)_Electric Rev Req Model (2009 GRC) Rebuttal 2 2" xfId="11031"/>
    <cellStyle name="_VC 6.15.06 update on 06GRC power costs.xls Chart 1_04 07E Wild Horse Wind Expansion (C) (2)_Electric Rev Req Model (2009 GRC) Rebuttal 3" xfId="11032"/>
    <cellStyle name="_VC 6.15.06 update on 06GRC power costs.xls Chart 1_04 07E Wild Horse Wind Expansion (C) (2)_Electric Rev Req Model (2009 GRC) Rebuttal REmoval of New  WH Solar AdjustMI" xfId="11033"/>
    <cellStyle name="_VC 6.15.06 update on 06GRC power costs.xls Chart 1_04 07E Wild Horse Wind Expansion (C) (2)_Electric Rev Req Model (2009 GRC) Rebuttal REmoval of New  WH Solar AdjustMI 2" xfId="11034"/>
    <cellStyle name="_VC 6.15.06 update on 06GRC power costs.xls Chart 1_04 07E Wild Horse Wind Expansion (C) (2)_Electric Rev Req Model (2009 GRC) Rebuttal REmoval of New  WH Solar AdjustMI 2 2" xfId="11035"/>
    <cellStyle name="_VC 6.15.06 update on 06GRC power costs.xls Chart 1_04 07E Wild Horse Wind Expansion (C) (2)_Electric Rev Req Model (2009 GRC) Rebuttal REmoval of New  WH Solar AdjustMI 3" xfId="11036"/>
    <cellStyle name="_VC 6.15.06 update on 06GRC power costs.xls Chart 1_04 07E Wild Horse Wind Expansion (C) (2)_Electric Rev Req Model (2009 GRC) Rebuttal REmoval of New  WH Solar AdjustMI 3 2" xfId="11037"/>
    <cellStyle name="_VC 6.15.06 update on 06GRC power costs.xls Chart 1_04 07E Wild Horse Wind Expansion (C) (2)_Electric Rev Req Model (2009 GRC) Rebuttal REmoval of New  WH Solar AdjustMI 4" xfId="11038"/>
    <cellStyle name="_VC 6.15.06 update on 06GRC power costs.xls Chart 1_04 07E Wild Horse Wind Expansion (C) (2)_Electric Rev Req Model (2009 GRC) Rebuttal REmoval of New  WH Solar AdjustMI_DEM-WP(C) ENERG10C--ctn Mid-C_042010 2010GRC" xfId="11039"/>
    <cellStyle name="_VC 6.15.06 update on 06GRC power costs.xls Chart 1_04 07E Wild Horse Wind Expansion (C) (2)_Electric Rev Req Model (2009 GRC) Rebuttal REmoval of New  WH Solar AdjustMI_DEM-WP(C) ENERG10C--ctn Mid-C_042010 2010GRC 2" xfId="11040"/>
    <cellStyle name="_VC 6.15.06 update on 06GRC power costs.xls Chart 1_04 07E Wild Horse Wind Expansion (C) (2)_Electric Rev Req Model (2009 GRC) Revised 01-18-2010" xfId="11041"/>
    <cellStyle name="_VC 6.15.06 update on 06GRC power costs.xls Chart 1_04 07E Wild Horse Wind Expansion (C) (2)_Electric Rev Req Model (2009 GRC) Revised 01-18-2010 2" xfId="11042"/>
    <cellStyle name="_VC 6.15.06 update on 06GRC power costs.xls Chart 1_04 07E Wild Horse Wind Expansion (C) (2)_Electric Rev Req Model (2009 GRC) Revised 01-18-2010 2 2" xfId="11043"/>
    <cellStyle name="_VC 6.15.06 update on 06GRC power costs.xls Chart 1_04 07E Wild Horse Wind Expansion (C) (2)_Electric Rev Req Model (2009 GRC) Revised 01-18-2010 3" xfId="11044"/>
    <cellStyle name="_VC 6.15.06 update on 06GRC power costs.xls Chart 1_04 07E Wild Horse Wind Expansion (C) (2)_Electric Rev Req Model (2009 GRC) Revised 01-18-2010 3 2" xfId="11045"/>
    <cellStyle name="_VC 6.15.06 update on 06GRC power costs.xls Chart 1_04 07E Wild Horse Wind Expansion (C) (2)_Electric Rev Req Model (2009 GRC) Revised 01-18-2010 4" xfId="11046"/>
    <cellStyle name="_VC 6.15.06 update on 06GRC power costs.xls Chart 1_04 07E Wild Horse Wind Expansion (C) (2)_Electric Rev Req Model (2009 GRC) Revised 01-18-2010_DEM-WP(C) ENERG10C--ctn Mid-C_042010 2010GRC" xfId="11047"/>
    <cellStyle name="_VC 6.15.06 update on 06GRC power costs.xls Chart 1_04 07E Wild Horse Wind Expansion (C) (2)_Electric Rev Req Model (2009 GRC) Revised 01-18-2010_DEM-WP(C) ENERG10C--ctn Mid-C_042010 2010GRC 2" xfId="11048"/>
    <cellStyle name="_VC 6.15.06 update on 06GRC power costs.xls Chart 1_04 07E Wild Horse Wind Expansion (C) (2)_Electric Rev Req Model (2010 GRC)" xfId="11049"/>
    <cellStyle name="_VC 6.15.06 update on 06GRC power costs.xls Chart 1_04 07E Wild Horse Wind Expansion (C) (2)_Electric Rev Req Model (2010 GRC) 2" xfId="11050"/>
    <cellStyle name="_VC 6.15.06 update on 06GRC power costs.xls Chart 1_04 07E Wild Horse Wind Expansion (C) (2)_Electric Rev Req Model (2010 GRC) SF" xfId="11051"/>
    <cellStyle name="_VC 6.15.06 update on 06GRC power costs.xls Chart 1_04 07E Wild Horse Wind Expansion (C) (2)_Electric Rev Req Model (2010 GRC) SF 2" xfId="11052"/>
    <cellStyle name="_VC 6.15.06 update on 06GRC power costs.xls Chart 1_04 07E Wild Horse Wind Expansion (C) (2)_Final Order Electric EXHIBIT A-1" xfId="11053"/>
    <cellStyle name="_VC 6.15.06 update on 06GRC power costs.xls Chart 1_04 07E Wild Horse Wind Expansion (C) (2)_Final Order Electric EXHIBIT A-1 2" xfId="11054"/>
    <cellStyle name="_VC 6.15.06 update on 06GRC power costs.xls Chart 1_04 07E Wild Horse Wind Expansion (C) (2)_Final Order Electric EXHIBIT A-1 2 2" xfId="11055"/>
    <cellStyle name="_VC 6.15.06 update on 06GRC power costs.xls Chart 1_04 07E Wild Horse Wind Expansion (C) (2)_Final Order Electric EXHIBIT A-1 3" xfId="11056"/>
    <cellStyle name="_VC 6.15.06 update on 06GRC power costs.xls Chart 1_04 07E Wild Horse Wind Expansion (C) (2)_TENASKA REGULATORY ASSET" xfId="11057"/>
    <cellStyle name="_VC 6.15.06 update on 06GRC power costs.xls Chart 1_04 07E Wild Horse Wind Expansion (C) (2)_TENASKA REGULATORY ASSET 2" xfId="11058"/>
    <cellStyle name="_VC 6.15.06 update on 06GRC power costs.xls Chart 1_04 07E Wild Horse Wind Expansion (C) (2)_TENASKA REGULATORY ASSET 2 2" xfId="11059"/>
    <cellStyle name="_VC 6.15.06 update on 06GRC power costs.xls Chart 1_04 07E Wild Horse Wind Expansion (C) (2)_TENASKA REGULATORY ASSET 3" xfId="11060"/>
    <cellStyle name="_VC 6.15.06 update on 06GRC power costs.xls Chart 1_16.37E Wild Horse Expansion DeferralRevwrkingfile SF" xfId="11061"/>
    <cellStyle name="_VC 6.15.06 update on 06GRC power costs.xls Chart 1_16.37E Wild Horse Expansion DeferralRevwrkingfile SF 2" xfId="11062"/>
    <cellStyle name="_VC 6.15.06 update on 06GRC power costs.xls Chart 1_16.37E Wild Horse Expansion DeferralRevwrkingfile SF 2 2" xfId="11063"/>
    <cellStyle name="_VC 6.15.06 update on 06GRC power costs.xls Chart 1_16.37E Wild Horse Expansion DeferralRevwrkingfile SF 3" xfId="11064"/>
    <cellStyle name="_VC 6.15.06 update on 06GRC power costs.xls Chart 1_16.37E Wild Horse Expansion DeferralRevwrkingfile SF 3 2" xfId="11065"/>
    <cellStyle name="_VC 6.15.06 update on 06GRC power costs.xls Chart 1_16.37E Wild Horse Expansion DeferralRevwrkingfile SF 4" xfId="11066"/>
    <cellStyle name="_VC 6.15.06 update on 06GRC power costs.xls Chart 1_16.37E Wild Horse Expansion DeferralRevwrkingfile SF_DEM-WP(C) ENERG10C--ctn Mid-C_042010 2010GRC" xfId="11067"/>
    <cellStyle name="_VC 6.15.06 update on 06GRC power costs.xls Chart 1_16.37E Wild Horse Expansion DeferralRevwrkingfile SF_DEM-WP(C) ENERG10C--ctn Mid-C_042010 2010GRC 2" xfId="11068"/>
    <cellStyle name="_VC 6.15.06 update on 06GRC power costs.xls Chart 1_2009 Compliance Filing PCA Exhibits for GRC" xfId="11069"/>
    <cellStyle name="_VC 6.15.06 update on 06GRC power costs.xls Chart 1_2009 Compliance Filing PCA Exhibits for GRC 2" xfId="11070"/>
    <cellStyle name="_VC 6.15.06 update on 06GRC power costs.xls Chart 1_2009 Compliance Filing PCA Exhibits for GRC 2 2" xfId="11071"/>
    <cellStyle name="_VC 6.15.06 update on 06GRC power costs.xls Chart 1_2009 Compliance Filing PCA Exhibits for GRC 3" xfId="11072"/>
    <cellStyle name="_VC 6.15.06 update on 06GRC power costs.xls Chart 1_2009 GRC Compl Filing - Exhibit D" xfId="11073"/>
    <cellStyle name="_VC 6.15.06 update on 06GRC power costs.xls Chart 1_2009 GRC Compl Filing - Exhibit D 2" xfId="11074"/>
    <cellStyle name="_VC 6.15.06 update on 06GRC power costs.xls Chart 1_2009 GRC Compl Filing - Exhibit D 2 2" xfId="11075"/>
    <cellStyle name="_VC 6.15.06 update on 06GRC power costs.xls Chart 1_2009 GRC Compl Filing - Exhibit D 3" xfId="11076"/>
    <cellStyle name="_VC 6.15.06 update on 06GRC power costs.xls Chart 1_2009 GRC Compl Filing - Exhibit D 3 2" xfId="11077"/>
    <cellStyle name="_VC 6.15.06 update on 06GRC power costs.xls Chart 1_2009 GRC Compl Filing - Exhibit D 4" xfId="11078"/>
    <cellStyle name="_VC 6.15.06 update on 06GRC power costs.xls Chart 1_2009 GRC Compl Filing - Exhibit D_DEM-WP(C) ENERG10C--ctn Mid-C_042010 2010GRC" xfId="11079"/>
    <cellStyle name="_VC 6.15.06 update on 06GRC power costs.xls Chart 1_2009 GRC Compl Filing - Exhibit D_DEM-WP(C) ENERG10C--ctn Mid-C_042010 2010GRC 2" xfId="11080"/>
    <cellStyle name="_VC 6.15.06 update on 06GRC power costs.xls Chart 1_3.01 Income Statement" xfId="11081"/>
    <cellStyle name="_VC 6.15.06 update on 06GRC power costs.xls Chart 1_4 31 Regulatory Assets and Liabilities  7 06- Exhibit D" xfId="11082"/>
    <cellStyle name="_VC 6.15.06 update on 06GRC power costs.xls Chart 1_4 31 Regulatory Assets and Liabilities  7 06- Exhibit D 2" xfId="11083"/>
    <cellStyle name="_VC 6.15.06 update on 06GRC power costs.xls Chart 1_4 31 Regulatory Assets and Liabilities  7 06- Exhibit D 2 2" xfId="11084"/>
    <cellStyle name="_VC 6.15.06 update on 06GRC power costs.xls Chart 1_4 31 Regulatory Assets and Liabilities  7 06- Exhibit D 3" xfId="11085"/>
    <cellStyle name="_VC 6.15.06 update on 06GRC power costs.xls Chart 1_4 31 Regulatory Assets and Liabilities  7 06- Exhibit D 3 2" xfId="11086"/>
    <cellStyle name="_VC 6.15.06 update on 06GRC power costs.xls Chart 1_4 31 Regulatory Assets and Liabilities  7 06- Exhibit D 4" xfId="11087"/>
    <cellStyle name="_VC 6.15.06 update on 06GRC power costs.xls Chart 1_4 31 Regulatory Assets and Liabilities  7 06- Exhibit D_DEM-WP(C) ENERG10C--ctn Mid-C_042010 2010GRC" xfId="11088"/>
    <cellStyle name="_VC 6.15.06 update on 06GRC power costs.xls Chart 1_4 31 Regulatory Assets and Liabilities  7 06- Exhibit D_DEM-WP(C) ENERG10C--ctn Mid-C_042010 2010GRC 2" xfId="11089"/>
    <cellStyle name="_VC 6.15.06 update on 06GRC power costs.xls Chart 1_4 31 Regulatory Assets and Liabilities  7 06- Exhibit D_NIM Summary" xfId="11090"/>
    <cellStyle name="_VC 6.15.06 update on 06GRC power costs.xls Chart 1_4 31 Regulatory Assets and Liabilities  7 06- Exhibit D_NIM Summary 2" xfId="11091"/>
    <cellStyle name="_VC 6.15.06 update on 06GRC power costs.xls Chart 1_4 31 Regulatory Assets and Liabilities  7 06- Exhibit D_NIM Summary 2 2" xfId="11092"/>
    <cellStyle name="_VC 6.15.06 update on 06GRC power costs.xls Chart 1_4 31 Regulatory Assets and Liabilities  7 06- Exhibit D_NIM Summary 3" xfId="11093"/>
    <cellStyle name="_VC 6.15.06 update on 06GRC power costs.xls Chart 1_4 31 Regulatory Assets and Liabilities  7 06- Exhibit D_NIM Summary 3 2" xfId="11094"/>
    <cellStyle name="_VC 6.15.06 update on 06GRC power costs.xls Chart 1_4 31 Regulatory Assets and Liabilities  7 06- Exhibit D_NIM Summary 4" xfId="11095"/>
    <cellStyle name="_VC 6.15.06 update on 06GRC power costs.xls Chart 1_4 31 Regulatory Assets and Liabilities  7 06- Exhibit D_NIM Summary_DEM-WP(C) ENERG10C--ctn Mid-C_042010 2010GRC" xfId="11096"/>
    <cellStyle name="_VC 6.15.06 update on 06GRC power costs.xls Chart 1_4 31 Regulatory Assets and Liabilities  7 06- Exhibit D_NIM Summary_DEM-WP(C) ENERG10C--ctn Mid-C_042010 2010GRC 2" xfId="11097"/>
    <cellStyle name="_VC 6.15.06 update on 06GRC power costs.xls Chart 1_4 31E Reg Asset  Liab and EXH D" xfId="11098"/>
    <cellStyle name="_VC 6.15.06 update on 06GRC power costs.xls Chart 1_4 31E Reg Asset  Liab and EXH D _ Aug 10 Filing (2)" xfId="11099"/>
    <cellStyle name="_VC 6.15.06 update on 06GRC power costs.xls Chart 1_4 31E Reg Asset  Liab and EXH D _ Aug 10 Filing (2) 2" xfId="11100"/>
    <cellStyle name="_VC 6.15.06 update on 06GRC power costs.xls Chart 1_4 31E Reg Asset  Liab and EXH D 2" xfId="11101"/>
    <cellStyle name="_VC 6.15.06 update on 06GRC power costs.xls Chart 1_4 31E Reg Asset  Liab and EXH D 3" xfId="11102"/>
    <cellStyle name="_VC 6.15.06 update on 06GRC power costs.xls Chart 1_4 32 Regulatory Assets and Liabilities  7 06- Exhibit D" xfId="11103"/>
    <cellStyle name="_VC 6.15.06 update on 06GRC power costs.xls Chart 1_4 32 Regulatory Assets and Liabilities  7 06- Exhibit D 2" xfId="11104"/>
    <cellStyle name="_VC 6.15.06 update on 06GRC power costs.xls Chart 1_4 32 Regulatory Assets and Liabilities  7 06- Exhibit D 2 2" xfId="11105"/>
    <cellStyle name="_VC 6.15.06 update on 06GRC power costs.xls Chart 1_4 32 Regulatory Assets and Liabilities  7 06- Exhibit D 3" xfId="11106"/>
    <cellStyle name="_VC 6.15.06 update on 06GRC power costs.xls Chart 1_4 32 Regulatory Assets and Liabilities  7 06- Exhibit D 3 2" xfId="11107"/>
    <cellStyle name="_VC 6.15.06 update on 06GRC power costs.xls Chart 1_4 32 Regulatory Assets and Liabilities  7 06- Exhibit D 4" xfId="11108"/>
    <cellStyle name="_VC 6.15.06 update on 06GRC power costs.xls Chart 1_4 32 Regulatory Assets and Liabilities  7 06- Exhibit D_DEM-WP(C) ENERG10C--ctn Mid-C_042010 2010GRC" xfId="11109"/>
    <cellStyle name="_VC 6.15.06 update on 06GRC power costs.xls Chart 1_4 32 Regulatory Assets and Liabilities  7 06- Exhibit D_DEM-WP(C) ENERG10C--ctn Mid-C_042010 2010GRC 2" xfId="11110"/>
    <cellStyle name="_VC 6.15.06 update on 06GRC power costs.xls Chart 1_4 32 Regulatory Assets and Liabilities  7 06- Exhibit D_NIM Summary" xfId="11111"/>
    <cellStyle name="_VC 6.15.06 update on 06GRC power costs.xls Chart 1_4 32 Regulatory Assets and Liabilities  7 06- Exhibit D_NIM Summary 2" xfId="11112"/>
    <cellStyle name="_VC 6.15.06 update on 06GRC power costs.xls Chart 1_4 32 Regulatory Assets and Liabilities  7 06- Exhibit D_NIM Summary 2 2" xfId="11113"/>
    <cellStyle name="_VC 6.15.06 update on 06GRC power costs.xls Chart 1_4 32 Regulatory Assets and Liabilities  7 06- Exhibit D_NIM Summary 3" xfId="11114"/>
    <cellStyle name="_VC 6.15.06 update on 06GRC power costs.xls Chart 1_4 32 Regulatory Assets and Liabilities  7 06- Exhibit D_NIM Summary 3 2" xfId="11115"/>
    <cellStyle name="_VC 6.15.06 update on 06GRC power costs.xls Chart 1_4 32 Regulatory Assets and Liabilities  7 06- Exhibit D_NIM Summary 4" xfId="11116"/>
    <cellStyle name="_VC 6.15.06 update on 06GRC power costs.xls Chart 1_4 32 Regulatory Assets and Liabilities  7 06- Exhibit D_NIM Summary_DEM-WP(C) ENERG10C--ctn Mid-C_042010 2010GRC" xfId="11117"/>
    <cellStyle name="_VC 6.15.06 update on 06GRC power costs.xls Chart 1_4 32 Regulatory Assets and Liabilities  7 06- Exhibit D_NIM Summary_DEM-WP(C) ENERG10C--ctn Mid-C_042010 2010GRC 2" xfId="11118"/>
    <cellStyle name="_VC 6.15.06 update on 06GRC power costs.xls Chart 1_AURORA Total New" xfId="11119"/>
    <cellStyle name="_VC 6.15.06 update on 06GRC power costs.xls Chart 1_AURORA Total New 2" xfId="11120"/>
    <cellStyle name="_VC 6.15.06 update on 06GRC power costs.xls Chart 1_AURORA Total New 2 2" xfId="11121"/>
    <cellStyle name="_VC 6.15.06 update on 06GRC power costs.xls Chart 1_AURORA Total New 3" xfId="11122"/>
    <cellStyle name="_VC 6.15.06 update on 06GRC power costs.xls Chart 1_Book2" xfId="11123"/>
    <cellStyle name="_VC 6.15.06 update on 06GRC power costs.xls Chart 1_Book2 2" xfId="11124"/>
    <cellStyle name="_VC 6.15.06 update on 06GRC power costs.xls Chart 1_Book2 2 2" xfId="11125"/>
    <cellStyle name="_VC 6.15.06 update on 06GRC power costs.xls Chart 1_Book2 3" xfId="11126"/>
    <cellStyle name="_VC 6.15.06 update on 06GRC power costs.xls Chart 1_Book2 3 2" xfId="11127"/>
    <cellStyle name="_VC 6.15.06 update on 06GRC power costs.xls Chart 1_Book2 4" xfId="11128"/>
    <cellStyle name="_VC 6.15.06 update on 06GRC power costs.xls Chart 1_Book2_Adj Bench DR 3 for Initial Briefs (Electric)" xfId="11129"/>
    <cellStyle name="_VC 6.15.06 update on 06GRC power costs.xls Chart 1_Book2_Adj Bench DR 3 for Initial Briefs (Electric) 2" xfId="11130"/>
    <cellStyle name="_VC 6.15.06 update on 06GRC power costs.xls Chart 1_Book2_Adj Bench DR 3 for Initial Briefs (Electric) 2 2" xfId="11131"/>
    <cellStyle name="_VC 6.15.06 update on 06GRC power costs.xls Chart 1_Book2_Adj Bench DR 3 for Initial Briefs (Electric) 3" xfId="11132"/>
    <cellStyle name="_VC 6.15.06 update on 06GRC power costs.xls Chart 1_Book2_Adj Bench DR 3 for Initial Briefs (Electric) 3 2" xfId="11133"/>
    <cellStyle name="_VC 6.15.06 update on 06GRC power costs.xls Chart 1_Book2_Adj Bench DR 3 for Initial Briefs (Electric) 4" xfId="11134"/>
    <cellStyle name="_VC 6.15.06 update on 06GRC power costs.xls Chart 1_Book2_Adj Bench DR 3 for Initial Briefs (Electric)_DEM-WP(C) ENERG10C--ctn Mid-C_042010 2010GRC" xfId="11135"/>
    <cellStyle name="_VC 6.15.06 update on 06GRC power costs.xls Chart 1_Book2_Adj Bench DR 3 for Initial Briefs (Electric)_DEM-WP(C) ENERG10C--ctn Mid-C_042010 2010GRC 2" xfId="11136"/>
    <cellStyle name="_VC 6.15.06 update on 06GRC power costs.xls Chart 1_Book2_DEM-WP(C) ENERG10C--ctn Mid-C_042010 2010GRC" xfId="11137"/>
    <cellStyle name="_VC 6.15.06 update on 06GRC power costs.xls Chart 1_Book2_DEM-WP(C) ENERG10C--ctn Mid-C_042010 2010GRC 2" xfId="11138"/>
    <cellStyle name="_VC 6.15.06 update on 06GRC power costs.xls Chart 1_Book2_Electric Rev Req Model (2009 GRC) Rebuttal" xfId="11139"/>
    <cellStyle name="_VC 6.15.06 update on 06GRC power costs.xls Chart 1_Book2_Electric Rev Req Model (2009 GRC) Rebuttal 2" xfId="11140"/>
    <cellStyle name="_VC 6.15.06 update on 06GRC power costs.xls Chart 1_Book2_Electric Rev Req Model (2009 GRC) Rebuttal 2 2" xfId="11141"/>
    <cellStyle name="_VC 6.15.06 update on 06GRC power costs.xls Chart 1_Book2_Electric Rev Req Model (2009 GRC) Rebuttal 3" xfId="11142"/>
    <cellStyle name="_VC 6.15.06 update on 06GRC power costs.xls Chart 1_Book2_Electric Rev Req Model (2009 GRC) Rebuttal REmoval of New  WH Solar AdjustMI" xfId="11143"/>
    <cellStyle name="_VC 6.15.06 update on 06GRC power costs.xls Chart 1_Book2_Electric Rev Req Model (2009 GRC) Rebuttal REmoval of New  WH Solar AdjustMI 2" xfId="11144"/>
    <cellStyle name="_VC 6.15.06 update on 06GRC power costs.xls Chart 1_Book2_Electric Rev Req Model (2009 GRC) Rebuttal REmoval of New  WH Solar AdjustMI 2 2" xfId="11145"/>
    <cellStyle name="_VC 6.15.06 update on 06GRC power costs.xls Chart 1_Book2_Electric Rev Req Model (2009 GRC) Rebuttal REmoval of New  WH Solar AdjustMI 3" xfId="11146"/>
    <cellStyle name="_VC 6.15.06 update on 06GRC power costs.xls Chart 1_Book2_Electric Rev Req Model (2009 GRC) Rebuttal REmoval of New  WH Solar AdjustMI 3 2" xfId="11147"/>
    <cellStyle name="_VC 6.15.06 update on 06GRC power costs.xls Chart 1_Book2_Electric Rev Req Model (2009 GRC) Rebuttal REmoval of New  WH Solar AdjustMI 4" xfId="11148"/>
    <cellStyle name="_VC 6.15.06 update on 06GRC power costs.xls Chart 1_Book2_Electric Rev Req Model (2009 GRC) Rebuttal REmoval of New  WH Solar AdjustMI_DEM-WP(C) ENERG10C--ctn Mid-C_042010 2010GRC" xfId="11149"/>
    <cellStyle name="_VC 6.15.06 update on 06GRC power costs.xls Chart 1_Book2_Electric Rev Req Model (2009 GRC) Rebuttal REmoval of New  WH Solar AdjustMI_DEM-WP(C) ENERG10C--ctn Mid-C_042010 2010GRC 2" xfId="11150"/>
    <cellStyle name="_VC 6.15.06 update on 06GRC power costs.xls Chart 1_Book2_Electric Rev Req Model (2009 GRC) Revised 01-18-2010" xfId="11151"/>
    <cellStyle name="_VC 6.15.06 update on 06GRC power costs.xls Chart 1_Book2_Electric Rev Req Model (2009 GRC) Revised 01-18-2010 2" xfId="11152"/>
    <cellStyle name="_VC 6.15.06 update on 06GRC power costs.xls Chart 1_Book2_Electric Rev Req Model (2009 GRC) Revised 01-18-2010 2 2" xfId="11153"/>
    <cellStyle name="_VC 6.15.06 update on 06GRC power costs.xls Chart 1_Book2_Electric Rev Req Model (2009 GRC) Revised 01-18-2010 3" xfId="11154"/>
    <cellStyle name="_VC 6.15.06 update on 06GRC power costs.xls Chart 1_Book2_Electric Rev Req Model (2009 GRC) Revised 01-18-2010 3 2" xfId="11155"/>
    <cellStyle name="_VC 6.15.06 update on 06GRC power costs.xls Chart 1_Book2_Electric Rev Req Model (2009 GRC) Revised 01-18-2010 4" xfId="11156"/>
    <cellStyle name="_VC 6.15.06 update on 06GRC power costs.xls Chart 1_Book2_Electric Rev Req Model (2009 GRC) Revised 01-18-2010_DEM-WP(C) ENERG10C--ctn Mid-C_042010 2010GRC" xfId="11157"/>
    <cellStyle name="_VC 6.15.06 update on 06GRC power costs.xls Chart 1_Book2_Electric Rev Req Model (2009 GRC) Revised 01-18-2010_DEM-WP(C) ENERG10C--ctn Mid-C_042010 2010GRC 2" xfId="11158"/>
    <cellStyle name="_VC 6.15.06 update on 06GRC power costs.xls Chart 1_Book2_Final Order Electric EXHIBIT A-1" xfId="11159"/>
    <cellStyle name="_VC 6.15.06 update on 06GRC power costs.xls Chart 1_Book2_Final Order Electric EXHIBIT A-1 2" xfId="11160"/>
    <cellStyle name="_VC 6.15.06 update on 06GRC power costs.xls Chart 1_Book2_Final Order Electric EXHIBIT A-1 2 2" xfId="11161"/>
    <cellStyle name="_VC 6.15.06 update on 06GRC power costs.xls Chart 1_Book2_Final Order Electric EXHIBIT A-1 3" xfId="11162"/>
    <cellStyle name="_VC 6.15.06 update on 06GRC power costs.xls Chart 1_Book4" xfId="11163"/>
    <cellStyle name="_VC 6.15.06 update on 06GRC power costs.xls Chart 1_Book4 2" xfId="11164"/>
    <cellStyle name="_VC 6.15.06 update on 06GRC power costs.xls Chart 1_Book4 2 2" xfId="11165"/>
    <cellStyle name="_VC 6.15.06 update on 06GRC power costs.xls Chart 1_Book4 3" xfId="11166"/>
    <cellStyle name="_VC 6.15.06 update on 06GRC power costs.xls Chart 1_Book4 3 2" xfId="11167"/>
    <cellStyle name="_VC 6.15.06 update on 06GRC power costs.xls Chart 1_Book4 4" xfId="11168"/>
    <cellStyle name="_VC 6.15.06 update on 06GRC power costs.xls Chart 1_Book4_DEM-WP(C) ENERG10C--ctn Mid-C_042010 2010GRC" xfId="11169"/>
    <cellStyle name="_VC 6.15.06 update on 06GRC power costs.xls Chart 1_Book4_DEM-WP(C) ENERG10C--ctn Mid-C_042010 2010GRC 2" xfId="11170"/>
    <cellStyle name="_VC 6.15.06 update on 06GRC power costs.xls Chart 1_Book9" xfId="11171"/>
    <cellStyle name="_VC 6.15.06 update on 06GRC power costs.xls Chart 1_Book9 2" xfId="11172"/>
    <cellStyle name="_VC 6.15.06 update on 06GRC power costs.xls Chart 1_Book9 2 2" xfId="11173"/>
    <cellStyle name="_VC 6.15.06 update on 06GRC power costs.xls Chart 1_Book9 3" xfId="11174"/>
    <cellStyle name="_VC 6.15.06 update on 06GRC power costs.xls Chart 1_Book9 3 2" xfId="11175"/>
    <cellStyle name="_VC 6.15.06 update on 06GRC power costs.xls Chart 1_Book9 4" xfId="11176"/>
    <cellStyle name="_VC 6.15.06 update on 06GRC power costs.xls Chart 1_Book9_DEM-WP(C) ENERG10C--ctn Mid-C_042010 2010GRC" xfId="11177"/>
    <cellStyle name="_VC 6.15.06 update on 06GRC power costs.xls Chart 1_Book9_DEM-WP(C) ENERG10C--ctn Mid-C_042010 2010GRC 2" xfId="11178"/>
    <cellStyle name="_VC 6.15.06 update on 06GRC power costs.xls Chart 1_Chelan PUD Power Costs (8-10)" xfId="11179"/>
    <cellStyle name="_VC 6.15.06 update on 06GRC power costs.xls Chart 1_Chelan PUD Power Costs (8-10) 2" xfId="11180"/>
    <cellStyle name="_VC 6.15.06 update on 06GRC power costs.xls Chart 1_DEM-WP(C) Chelan Power Costs" xfId="11181"/>
    <cellStyle name="_VC 6.15.06 update on 06GRC power costs.xls Chart 1_DEM-WP(C) Chelan Power Costs 2" xfId="11182"/>
    <cellStyle name="_VC 6.15.06 update on 06GRC power costs.xls Chart 1_DEM-WP(C) ENERG10C--ctn Mid-C_042010 2010GRC" xfId="11183"/>
    <cellStyle name="_VC 6.15.06 update on 06GRC power costs.xls Chart 1_DEM-WP(C) ENERG10C--ctn Mid-C_042010 2010GRC 2" xfId="11184"/>
    <cellStyle name="_VC 6.15.06 update on 06GRC power costs.xls Chart 1_DEM-WP(C) Gas Transport 2010GRC" xfId="11185"/>
    <cellStyle name="_VC 6.15.06 update on 06GRC power costs.xls Chart 1_DEM-WP(C) Gas Transport 2010GRC 2" xfId="11186"/>
    <cellStyle name="_VC 6.15.06 update on 06GRC power costs.xls Chart 1_Exh A-1 resulting from UE-112050 effective Jan 1 2012" xfId="11187"/>
    <cellStyle name="_VC 6.15.06 update on 06GRC power costs.xls Chart 1_Exh A-1 resulting from UE-112050 effective Jan 1 2012 2" xfId="11188"/>
    <cellStyle name="_VC 6.15.06 update on 06GRC power costs.xls Chart 1_Exhibit A-1 effective 4-1-11 fr S Free 12-11" xfId="11189"/>
    <cellStyle name="_VC 6.15.06 update on 06GRC power costs.xls Chart 1_Exhibit A-1 effective 4-1-11 fr S Free 12-11 2" xfId="11190"/>
    <cellStyle name="_VC 6.15.06 update on 06GRC power costs.xls Chart 1_Mint Farm Generation BPA" xfId="11191"/>
    <cellStyle name="_VC 6.15.06 update on 06GRC power costs.xls Chart 1_NIM Summary" xfId="11192"/>
    <cellStyle name="_VC 6.15.06 update on 06GRC power costs.xls Chart 1_NIM Summary 09GRC" xfId="11193"/>
    <cellStyle name="_VC 6.15.06 update on 06GRC power costs.xls Chart 1_NIM Summary 09GRC 2" xfId="11194"/>
    <cellStyle name="_VC 6.15.06 update on 06GRC power costs.xls Chart 1_NIM Summary 09GRC 2 2" xfId="11195"/>
    <cellStyle name="_VC 6.15.06 update on 06GRC power costs.xls Chart 1_NIM Summary 09GRC 3" xfId="11196"/>
    <cellStyle name="_VC 6.15.06 update on 06GRC power costs.xls Chart 1_NIM Summary 09GRC 3 2" xfId="11197"/>
    <cellStyle name="_VC 6.15.06 update on 06GRC power costs.xls Chart 1_NIM Summary 09GRC 4" xfId="11198"/>
    <cellStyle name="_VC 6.15.06 update on 06GRC power costs.xls Chart 1_NIM Summary 09GRC_DEM-WP(C) ENERG10C--ctn Mid-C_042010 2010GRC" xfId="11199"/>
    <cellStyle name="_VC 6.15.06 update on 06GRC power costs.xls Chart 1_NIM Summary 09GRC_DEM-WP(C) ENERG10C--ctn Mid-C_042010 2010GRC 2" xfId="11200"/>
    <cellStyle name="_VC 6.15.06 update on 06GRC power costs.xls Chart 1_NIM Summary 10" xfId="11201"/>
    <cellStyle name="_VC 6.15.06 update on 06GRC power costs.xls Chart 1_NIM Summary 10 2" xfId="11202"/>
    <cellStyle name="_VC 6.15.06 update on 06GRC power costs.xls Chart 1_NIM Summary 11" xfId="11203"/>
    <cellStyle name="_VC 6.15.06 update on 06GRC power costs.xls Chart 1_NIM Summary 11 2" xfId="11204"/>
    <cellStyle name="_VC 6.15.06 update on 06GRC power costs.xls Chart 1_NIM Summary 12" xfId="11205"/>
    <cellStyle name="_VC 6.15.06 update on 06GRC power costs.xls Chart 1_NIM Summary 12 2" xfId="11206"/>
    <cellStyle name="_VC 6.15.06 update on 06GRC power costs.xls Chart 1_NIM Summary 13" xfId="11207"/>
    <cellStyle name="_VC 6.15.06 update on 06GRC power costs.xls Chart 1_NIM Summary 13 2" xfId="11208"/>
    <cellStyle name="_VC 6.15.06 update on 06GRC power costs.xls Chart 1_NIM Summary 14" xfId="11209"/>
    <cellStyle name="_VC 6.15.06 update on 06GRC power costs.xls Chart 1_NIM Summary 14 2" xfId="11210"/>
    <cellStyle name="_VC 6.15.06 update on 06GRC power costs.xls Chart 1_NIM Summary 15" xfId="11211"/>
    <cellStyle name="_VC 6.15.06 update on 06GRC power costs.xls Chart 1_NIM Summary 15 2" xfId="11212"/>
    <cellStyle name="_VC 6.15.06 update on 06GRC power costs.xls Chart 1_NIM Summary 16" xfId="11213"/>
    <cellStyle name="_VC 6.15.06 update on 06GRC power costs.xls Chart 1_NIM Summary 16 2" xfId="11214"/>
    <cellStyle name="_VC 6.15.06 update on 06GRC power costs.xls Chart 1_NIM Summary 17" xfId="11215"/>
    <cellStyle name="_VC 6.15.06 update on 06GRC power costs.xls Chart 1_NIM Summary 17 2" xfId="11216"/>
    <cellStyle name="_VC 6.15.06 update on 06GRC power costs.xls Chart 1_NIM Summary 18" xfId="11217"/>
    <cellStyle name="_VC 6.15.06 update on 06GRC power costs.xls Chart 1_NIM Summary 18 2" xfId="11218"/>
    <cellStyle name="_VC 6.15.06 update on 06GRC power costs.xls Chart 1_NIM Summary 19" xfId="11219"/>
    <cellStyle name="_VC 6.15.06 update on 06GRC power costs.xls Chart 1_NIM Summary 19 2" xfId="11220"/>
    <cellStyle name="_VC 6.15.06 update on 06GRC power costs.xls Chart 1_NIM Summary 2" xfId="11221"/>
    <cellStyle name="_VC 6.15.06 update on 06GRC power costs.xls Chart 1_NIM Summary 2 2" xfId="11222"/>
    <cellStyle name="_VC 6.15.06 update on 06GRC power costs.xls Chart 1_NIM Summary 20" xfId="11223"/>
    <cellStyle name="_VC 6.15.06 update on 06GRC power costs.xls Chart 1_NIM Summary 20 2" xfId="11224"/>
    <cellStyle name="_VC 6.15.06 update on 06GRC power costs.xls Chart 1_NIM Summary 21" xfId="11225"/>
    <cellStyle name="_VC 6.15.06 update on 06GRC power costs.xls Chart 1_NIM Summary 21 2" xfId="11226"/>
    <cellStyle name="_VC 6.15.06 update on 06GRC power costs.xls Chart 1_NIM Summary 22" xfId="11227"/>
    <cellStyle name="_VC 6.15.06 update on 06GRC power costs.xls Chart 1_NIM Summary 22 2" xfId="11228"/>
    <cellStyle name="_VC 6.15.06 update on 06GRC power costs.xls Chart 1_NIM Summary 23" xfId="11229"/>
    <cellStyle name="_VC 6.15.06 update on 06GRC power costs.xls Chart 1_NIM Summary 23 2" xfId="11230"/>
    <cellStyle name="_VC 6.15.06 update on 06GRC power costs.xls Chart 1_NIM Summary 24" xfId="11231"/>
    <cellStyle name="_VC 6.15.06 update on 06GRC power costs.xls Chart 1_NIM Summary 24 2" xfId="11232"/>
    <cellStyle name="_VC 6.15.06 update on 06GRC power costs.xls Chart 1_NIM Summary 25" xfId="11233"/>
    <cellStyle name="_VC 6.15.06 update on 06GRC power costs.xls Chart 1_NIM Summary 25 2" xfId="11234"/>
    <cellStyle name="_VC 6.15.06 update on 06GRC power costs.xls Chart 1_NIM Summary 26" xfId="11235"/>
    <cellStyle name="_VC 6.15.06 update on 06GRC power costs.xls Chart 1_NIM Summary 26 2" xfId="11236"/>
    <cellStyle name="_VC 6.15.06 update on 06GRC power costs.xls Chart 1_NIM Summary 27" xfId="11237"/>
    <cellStyle name="_VC 6.15.06 update on 06GRC power costs.xls Chart 1_NIM Summary 27 2" xfId="11238"/>
    <cellStyle name="_VC 6.15.06 update on 06GRC power costs.xls Chart 1_NIM Summary 28" xfId="11239"/>
    <cellStyle name="_VC 6.15.06 update on 06GRC power costs.xls Chart 1_NIM Summary 28 2" xfId="11240"/>
    <cellStyle name="_VC 6.15.06 update on 06GRC power costs.xls Chart 1_NIM Summary 29" xfId="11241"/>
    <cellStyle name="_VC 6.15.06 update on 06GRC power costs.xls Chart 1_NIM Summary 29 2" xfId="11242"/>
    <cellStyle name="_VC 6.15.06 update on 06GRC power costs.xls Chart 1_NIM Summary 3" xfId="11243"/>
    <cellStyle name="_VC 6.15.06 update on 06GRC power costs.xls Chart 1_NIM Summary 3 2" xfId="11244"/>
    <cellStyle name="_VC 6.15.06 update on 06GRC power costs.xls Chart 1_NIM Summary 30" xfId="11245"/>
    <cellStyle name="_VC 6.15.06 update on 06GRC power costs.xls Chart 1_NIM Summary 30 2" xfId="11246"/>
    <cellStyle name="_VC 6.15.06 update on 06GRC power costs.xls Chart 1_NIM Summary 31" xfId="11247"/>
    <cellStyle name="_VC 6.15.06 update on 06GRC power costs.xls Chart 1_NIM Summary 31 2" xfId="11248"/>
    <cellStyle name="_VC 6.15.06 update on 06GRC power costs.xls Chart 1_NIM Summary 32" xfId="11249"/>
    <cellStyle name="_VC 6.15.06 update on 06GRC power costs.xls Chart 1_NIM Summary 32 2" xfId="11250"/>
    <cellStyle name="_VC 6.15.06 update on 06GRC power costs.xls Chart 1_NIM Summary 33" xfId="11251"/>
    <cellStyle name="_VC 6.15.06 update on 06GRC power costs.xls Chart 1_NIM Summary 33 2" xfId="11252"/>
    <cellStyle name="_VC 6.15.06 update on 06GRC power costs.xls Chart 1_NIM Summary 34" xfId="11253"/>
    <cellStyle name="_VC 6.15.06 update on 06GRC power costs.xls Chart 1_NIM Summary 34 2" xfId="11254"/>
    <cellStyle name="_VC 6.15.06 update on 06GRC power costs.xls Chart 1_NIM Summary 35" xfId="11255"/>
    <cellStyle name="_VC 6.15.06 update on 06GRC power costs.xls Chart 1_NIM Summary 35 2" xfId="11256"/>
    <cellStyle name="_VC 6.15.06 update on 06GRC power costs.xls Chart 1_NIM Summary 36" xfId="11257"/>
    <cellStyle name="_VC 6.15.06 update on 06GRC power costs.xls Chart 1_NIM Summary 36 2" xfId="11258"/>
    <cellStyle name="_VC 6.15.06 update on 06GRC power costs.xls Chart 1_NIM Summary 37" xfId="11259"/>
    <cellStyle name="_VC 6.15.06 update on 06GRC power costs.xls Chart 1_NIM Summary 37 2" xfId="11260"/>
    <cellStyle name="_VC 6.15.06 update on 06GRC power costs.xls Chart 1_NIM Summary 38" xfId="11261"/>
    <cellStyle name="_VC 6.15.06 update on 06GRC power costs.xls Chart 1_NIM Summary 38 2" xfId="11262"/>
    <cellStyle name="_VC 6.15.06 update on 06GRC power costs.xls Chart 1_NIM Summary 39" xfId="11263"/>
    <cellStyle name="_VC 6.15.06 update on 06GRC power costs.xls Chart 1_NIM Summary 39 2" xfId="11264"/>
    <cellStyle name="_VC 6.15.06 update on 06GRC power costs.xls Chart 1_NIM Summary 4" xfId="11265"/>
    <cellStyle name="_VC 6.15.06 update on 06GRC power costs.xls Chart 1_NIM Summary 4 2" xfId="11266"/>
    <cellStyle name="_VC 6.15.06 update on 06GRC power costs.xls Chart 1_NIM Summary 40" xfId="11267"/>
    <cellStyle name="_VC 6.15.06 update on 06GRC power costs.xls Chart 1_NIM Summary 40 2" xfId="11268"/>
    <cellStyle name="_VC 6.15.06 update on 06GRC power costs.xls Chart 1_NIM Summary 41" xfId="11269"/>
    <cellStyle name="_VC 6.15.06 update on 06GRC power costs.xls Chart 1_NIM Summary 41 2" xfId="11270"/>
    <cellStyle name="_VC 6.15.06 update on 06GRC power costs.xls Chart 1_NIM Summary 42" xfId="11271"/>
    <cellStyle name="_VC 6.15.06 update on 06GRC power costs.xls Chart 1_NIM Summary 42 2" xfId="11272"/>
    <cellStyle name="_VC 6.15.06 update on 06GRC power costs.xls Chart 1_NIM Summary 43" xfId="11273"/>
    <cellStyle name="_VC 6.15.06 update on 06GRC power costs.xls Chart 1_NIM Summary 43 2" xfId="11274"/>
    <cellStyle name="_VC 6.15.06 update on 06GRC power costs.xls Chart 1_NIM Summary 44" xfId="11275"/>
    <cellStyle name="_VC 6.15.06 update on 06GRC power costs.xls Chart 1_NIM Summary 44 2" xfId="11276"/>
    <cellStyle name="_VC 6.15.06 update on 06GRC power costs.xls Chart 1_NIM Summary 45" xfId="11277"/>
    <cellStyle name="_VC 6.15.06 update on 06GRC power costs.xls Chart 1_NIM Summary 45 2" xfId="11278"/>
    <cellStyle name="_VC 6.15.06 update on 06GRC power costs.xls Chart 1_NIM Summary 46" xfId="11279"/>
    <cellStyle name="_VC 6.15.06 update on 06GRC power costs.xls Chart 1_NIM Summary 46 2" xfId="11280"/>
    <cellStyle name="_VC 6.15.06 update on 06GRC power costs.xls Chart 1_NIM Summary 47" xfId="11281"/>
    <cellStyle name="_VC 6.15.06 update on 06GRC power costs.xls Chart 1_NIM Summary 47 2" xfId="11282"/>
    <cellStyle name="_VC 6.15.06 update on 06GRC power costs.xls Chart 1_NIM Summary 48" xfId="11283"/>
    <cellStyle name="_VC 6.15.06 update on 06GRC power costs.xls Chart 1_NIM Summary 49" xfId="11284"/>
    <cellStyle name="_VC 6.15.06 update on 06GRC power costs.xls Chart 1_NIM Summary 5" xfId="11285"/>
    <cellStyle name="_VC 6.15.06 update on 06GRC power costs.xls Chart 1_NIM Summary 5 2" xfId="11286"/>
    <cellStyle name="_VC 6.15.06 update on 06GRC power costs.xls Chart 1_NIM Summary 50" xfId="11287"/>
    <cellStyle name="_VC 6.15.06 update on 06GRC power costs.xls Chart 1_NIM Summary 51" xfId="11288"/>
    <cellStyle name="_VC 6.15.06 update on 06GRC power costs.xls Chart 1_NIM Summary 52" xfId="11289"/>
    <cellStyle name="_VC 6.15.06 update on 06GRC power costs.xls Chart 1_NIM Summary 6" xfId="11290"/>
    <cellStyle name="_VC 6.15.06 update on 06GRC power costs.xls Chart 1_NIM Summary 6 2" xfId="11291"/>
    <cellStyle name="_VC 6.15.06 update on 06GRC power costs.xls Chart 1_NIM Summary 7" xfId="11292"/>
    <cellStyle name="_VC 6.15.06 update on 06GRC power costs.xls Chart 1_NIM Summary 7 2" xfId="11293"/>
    <cellStyle name="_VC 6.15.06 update on 06GRC power costs.xls Chart 1_NIM Summary 8" xfId="11294"/>
    <cellStyle name="_VC 6.15.06 update on 06GRC power costs.xls Chart 1_NIM Summary 8 2" xfId="11295"/>
    <cellStyle name="_VC 6.15.06 update on 06GRC power costs.xls Chart 1_NIM Summary 9" xfId="11296"/>
    <cellStyle name="_VC 6.15.06 update on 06GRC power costs.xls Chart 1_NIM Summary 9 2" xfId="11297"/>
    <cellStyle name="_VC 6.15.06 update on 06GRC power costs.xls Chart 1_NIM Summary_DEM-WP(C) ENERG10C--ctn Mid-C_042010 2010GRC" xfId="11298"/>
    <cellStyle name="_VC 6.15.06 update on 06GRC power costs.xls Chart 1_NIM Summary_DEM-WP(C) ENERG10C--ctn Mid-C_042010 2010GRC 2" xfId="11299"/>
    <cellStyle name="_VC 6.15.06 update on 06GRC power costs.xls Chart 1_PCA 10 -  Exhibit D Dec 2011" xfId="11300"/>
    <cellStyle name="_VC 6.15.06 update on 06GRC power costs.xls Chart 1_PCA 10 -  Exhibit D Dec 2011 2" xfId="11301"/>
    <cellStyle name="_VC 6.15.06 update on 06GRC power costs.xls Chart 1_PCA 10 -  Exhibit D from A Kellogg Jan 2011" xfId="11302"/>
    <cellStyle name="_VC 6.15.06 update on 06GRC power costs.xls Chart 1_PCA 10 -  Exhibit D from A Kellogg Jan 2011 2" xfId="11303"/>
    <cellStyle name="_VC 6.15.06 update on 06GRC power costs.xls Chart 1_PCA 10 -  Exhibit D from A Kellogg July 2011" xfId="11304"/>
    <cellStyle name="_VC 6.15.06 update on 06GRC power costs.xls Chart 1_PCA 10 -  Exhibit D from A Kellogg July 2011 2" xfId="11305"/>
    <cellStyle name="_VC 6.15.06 update on 06GRC power costs.xls Chart 1_PCA 10 -  Exhibit D from S Free Rcv'd 12-11" xfId="11306"/>
    <cellStyle name="_VC 6.15.06 update on 06GRC power costs.xls Chart 1_PCA 10 -  Exhibit D from S Free Rcv'd 12-11 2" xfId="11307"/>
    <cellStyle name="_VC 6.15.06 update on 06GRC power costs.xls Chart 1_PCA 11 -  Exhibit D Jan 2012 fr A Kellogg" xfId="11308"/>
    <cellStyle name="_VC 6.15.06 update on 06GRC power costs.xls Chart 1_PCA 11 -  Exhibit D Jan 2012 fr A Kellogg 2" xfId="11309"/>
    <cellStyle name="_VC 6.15.06 update on 06GRC power costs.xls Chart 1_PCA 11 -  Exhibit D Jan 2012 WF" xfId="11310"/>
    <cellStyle name="_VC 6.15.06 update on 06GRC power costs.xls Chart 1_PCA 11 -  Exhibit D Jan 2012 WF 2" xfId="11311"/>
    <cellStyle name="_VC 6.15.06 update on 06GRC power costs.xls Chart 1_PCA 9 -  Exhibit D April 2010" xfId="11312"/>
    <cellStyle name="_VC 6.15.06 update on 06GRC power costs.xls Chart 1_PCA 9 -  Exhibit D April 2010 (3)" xfId="11313"/>
    <cellStyle name="_VC 6.15.06 update on 06GRC power costs.xls Chart 1_PCA 9 -  Exhibit D April 2010 (3) 2" xfId="11314"/>
    <cellStyle name="_VC 6.15.06 update on 06GRC power costs.xls Chart 1_PCA 9 -  Exhibit D April 2010 (3) 2 2" xfId="11315"/>
    <cellStyle name="_VC 6.15.06 update on 06GRC power costs.xls Chart 1_PCA 9 -  Exhibit D April 2010 (3) 3" xfId="11316"/>
    <cellStyle name="_VC 6.15.06 update on 06GRC power costs.xls Chart 1_PCA 9 -  Exhibit D April 2010 (3) 3 2" xfId="11317"/>
    <cellStyle name="_VC 6.15.06 update on 06GRC power costs.xls Chart 1_PCA 9 -  Exhibit D April 2010 (3) 4" xfId="11318"/>
    <cellStyle name="_VC 6.15.06 update on 06GRC power costs.xls Chart 1_PCA 9 -  Exhibit D April 2010 (3)_DEM-WP(C) ENERG10C--ctn Mid-C_042010 2010GRC" xfId="11319"/>
    <cellStyle name="_VC 6.15.06 update on 06GRC power costs.xls Chart 1_PCA 9 -  Exhibit D April 2010 (3)_DEM-WP(C) ENERG10C--ctn Mid-C_042010 2010GRC 2" xfId="11320"/>
    <cellStyle name="_VC 6.15.06 update on 06GRC power costs.xls Chart 1_PCA 9 -  Exhibit D April 2010 2" xfId="11321"/>
    <cellStyle name="_VC 6.15.06 update on 06GRC power costs.xls Chart 1_PCA 9 -  Exhibit D April 2010 2 2" xfId="11322"/>
    <cellStyle name="_VC 6.15.06 update on 06GRC power costs.xls Chart 1_PCA 9 -  Exhibit D April 2010 3" xfId="11323"/>
    <cellStyle name="_VC 6.15.06 update on 06GRC power costs.xls Chart 1_PCA 9 -  Exhibit D April 2010 3 2" xfId="11324"/>
    <cellStyle name="_VC 6.15.06 update on 06GRC power costs.xls Chart 1_PCA 9 -  Exhibit D April 2010 4" xfId="11325"/>
    <cellStyle name="_VC 6.15.06 update on 06GRC power costs.xls Chart 1_PCA 9 -  Exhibit D April 2010 4 2" xfId="11326"/>
    <cellStyle name="_VC 6.15.06 update on 06GRC power costs.xls Chart 1_PCA 9 -  Exhibit D April 2010 5" xfId="11327"/>
    <cellStyle name="_VC 6.15.06 update on 06GRC power costs.xls Chart 1_PCA 9 -  Exhibit D April 2010 5 2" xfId="11328"/>
    <cellStyle name="_VC 6.15.06 update on 06GRC power costs.xls Chart 1_PCA 9 -  Exhibit D April 2010 6" xfId="11329"/>
    <cellStyle name="_VC 6.15.06 update on 06GRC power costs.xls Chart 1_PCA 9 -  Exhibit D April 2010 6 2" xfId="11330"/>
    <cellStyle name="_VC 6.15.06 update on 06GRC power costs.xls Chart 1_PCA 9 -  Exhibit D April 2010 7" xfId="11331"/>
    <cellStyle name="_VC 6.15.06 update on 06GRC power costs.xls Chart 1_PCA 9 -  Exhibit D Nov 2010" xfId="11332"/>
    <cellStyle name="_VC 6.15.06 update on 06GRC power costs.xls Chart 1_PCA 9 -  Exhibit D Nov 2010 2" xfId="11333"/>
    <cellStyle name="_VC 6.15.06 update on 06GRC power costs.xls Chart 1_PCA 9 -  Exhibit D Nov 2010 2 2" xfId="11334"/>
    <cellStyle name="_VC 6.15.06 update on 06GRC power costs.xls Chart 1_PCA 9 -  Exhibit D Nov 2010 3" xfId="11335"/>
    <cellStyle name="_VC 6.15.06 update on 06GRC power costs.xls Chart 1_PCA 9 - Exhibit D at August 2010" xfId="11336"/>
    <cellStyle name="_VC 6.15.06 update on 06GRC power costs.xls Chart 1_PCA 9 - Exhibit D at August 2010 2" xfId="11337"/>
    <cellStyle name="_VC 6.15.06 update on 06GRC power costs.xls Chart 1_PCA 9 - Exhibit D at August 2010 2 2" xfId="11338"/>
    <cellStyle name="_VC 6.15.06 update on 06GRC power costs.xls Chart 1_PCA 9 - Exhibit D at August 2010 3" xfId="11339"/>
    <cellStyle name="_VC 6.15.06 update on 06GRC power costs.xls Chart 1_PCA 9 - Exhibit D June 2010 GRC" xfId="11340"/>
    <cellStyle name="_VC 6.15.06 update on 06GRC power costs.xls Chart 1_PCA 9 - Exhibit D June 2010 GRC 2" xfId="11341"/>
    <cellStyle name="_VC 6.15.06 update on 06GRC power costs.xls Chart 1_PCA 9 - Exhibit D June 2010 GRC 2 2" xfId="11342"/>
    <cellStyle name="_VC 6.15.06 update on 06GRC power costs.xls Chart 1_PCA 9 - Exhibit D June 2010 GRC 3" xfId="11343"/>
    <cellStyle name="_VC 6.15.06 update on 06GRC power costs.xls Chart 1_Power Costs - Comparison bx Rbtl-Staff-Jt-PC" xfId="11344"/>
    <cellStyle name="_VC 6.15.06 update on 06GRC power costs.xls Chart 1_Power Costs - Comparison bx Rbtl-Staff-Jt-PC 2" xfId="11345"/>
    <cellStyle name="_VC 6.15.06 update on 06GRC power costs.xls Chart 1_Power Costs - Comparison bx Rbtl-Staff-Jt-PC 2 2" xfId="11346"/>
    <cellStyle name="_VC 6.15.06 update on 06GRC power costs.xls Chart 1_Power Costs - Comparison bx Rbtl-Staff-Jt-PC 3" xfId="11347"/>
    <cellStyle name="_VC 6.15.06 update on 06GRC power costs.xls Chart 1_Power Costs - Comparison bx Rbtl-Staff-Jt-PC 3 2" xfId="11348"/>
    <cellStyle name="_VC 6.15.06 update on 06GRC power costs.xls Chart 1_Power Costs - Comparison bx Rbtl-Staff-Jt-PC 4" xfId="11349"/>
    <cellStyle name="_VC 6.15.06 update on 06GRC power costs.xls Chart 1_Power Costs - Comparison bx Rbtl-Staff-Jt-PC_Adj Bench DR 3 for Initial Briefs (Electric)" xfId="11350"/>
    <cellStyle name="_VC 6.15.06 update on 06GRC power costs.xls Chart 1_Power Costs - Comparison bx Rbtl-Staff-Jt-PC_Adj Bench DR 3 for Initial Briefs (Electric) 2" xfId="11351"/>
    <cellStyle name="_VC 6.15.06 update on 06GRC power costs.xls Chart 1_Power Costs - Comparison bx Rbtl-Staff-Jt-PC_Adj Bench DR 3 for Initial Briefs (Electric) 2 2" xfId="11352"/>
    <cellStyle name="_VC 6.15.06 update on 06GRC power costs.xls Chart 1_Power Costs - Comparison bx Rbtl-Staff-Jt-PC_Adj Bench DR 3 for Initial Briefs (Electric) 3" xfId="11353"/>
    <cellStyle name="_VC 6.15.06 update on 06GRC power costs.xls Chart 1_Power Costs - Comparison bx Rbtl-Staff-Jt-PC_Adj Bench DR 3 for Initial Briefs (Electric) 3 2" xfId="11354"/>
    <cellStyle name="_VC 6.15.06 update on 06GRC power costs.xls Chart 1_Power Costs - Comparison bx Rbtl-Staff-Jt-PC_Adj Bench DR 3 for Initial Briefs (Electric) 4" xfId="11355"/>
    <cellStyle name="_VC 6.15.06 update on 06GRC power costs.xls Chart 1_Power Costs - Comparison bx Rbtl-Staff-Jt-PC_Adj Bench DR 3 for Initial Briefs (Electric)_DEM-WP(C) ENERG10C--ctn Mid-C_042010 2010GRC" xfId="11356"/>
    <cellStyle name="_VC 6.15.06 update on 06GRC power costs.xls Chart 1_Power Costs - Comparison bx Rbtl-Staff-Jt-PC_Adj Bench DR 3 for Initial Briefs (Electric)_DEM-WP(C) ENERG10C--ctn Mid-C_042010 2010GRC 2" xfId="11357"/>
    <cellStyle name="_VC 6.15.06 update on 06GRC power costs.xls Chart 1_Power Costs - Comparison bx Rbtl-Staff-Jt-PC_DEM-WP(C) ENERG10C--ctn Mid-C_042010 2010GRC" xfId="11358"/>
    <cellStyle name="_VC 6.15.06 update on 06GRC power costs.xls Chart 1_Power Costs - Comparison bx Rbtl-Staff-Jt-PC_DEM-WP(C) ENERG10C--ctn Mid-C_042010 2010GRC 2" xfId="11359"/>
    <cellStyle name="_VC 6.15.06 update on 06GRC power costs.xls Chart 1_Power Costs - Comparison bx Rbtl-Staff-Jt-PC_Electric Rev Req Model (2009 GRC) Rebuttal" xfId="11360"/>
    <cellStyle name="_VC 6.15.06 update on 06GRC power costs.xls Chart 1_Power Costs - Comparison bx Rbtl-Staff-Jt-PC_Electric Rev Req Model (2009 GRC) Rebuttal 2" xfId="11361"/>
    <cellStyle name="_VC 6.15.06 update on 06GRC power costs.xls Chart 1_Power Costs - Comparison bx Rbtl-Staff-Jt-PC_Electric Rev Req Model (2009 GRC) Rebuttal 2 2" xfId="11362"/>
    <cellStyle name="_VC 6.15.06 update on 06GRC power costs.xls Chart 1_Power Costs - Comparison bx Rbtl-Staff-Jt-PC_Electric Rev Req Model (2009 GRC) Rebuttal 3" xfId="11363"/>
    <cellStyle name="_VC 6.15.06 update on 06GRC power costs.xls Chart 1_Power Costs - Comparison bx Rbtl-Staff-Jt-PC_Electric Rev Req Model (2009 GRC) Rebuttal REmoval of New  WH Solar AdjustMI" xfId="11364"/>
    <cellStyle name="_VC 6.15.06 update on 06GRC power costs.xls Chart 1_Power Costs - Comparison bx Rbtl-Staff-Jt-PC_Electric Rev Req Model (2009 GRC) Rebuttal REmoval of New  WH Solar AdjustMI 2" xfId="11365"/>
    <cellStyle name="_VC 6.15.06 update on 06GRC power costs.xls Chart 1_Power Costs - Comparison bx Rbtl-Staff-Jt-PC_Electric Rev Req Model (2009 GRC) Rebuttal REmoval of New  WH Solar AdjustMI 2 2" xfId="11366"/>
    <cellStyle name="_VC 6.15.06 update on 06GRC power costs.xls Chart 1_Power Costs - Comparison bx Rbtl-Staff-Jt-PC_Electric Rev Req Model (2009 GRC) Rebuttal REmoval of New  WH Solar AdjustMI 3" xfId="11367"/>
    <cellStyle name="_VC 6.15.06 update on 06GRC power costs.xls Chart 1_Power Costs - Comparison bx Rbtl-Staff-Jt-PC_Electric Rev Req Model (2009 GRC) Rebuttal REmoval of New  WH Solar AdjustMI 3 2" xfId="11368"/>
    <cellStyle name="_VC 6.15.06 update on 06GRC power costs.xls Chart 1_Power Costs - Comparison bx Rbtl-Staff-Jt-PC_Electric Rev Req Model (2009 GRC) Rebuttal REmoval of New  WH Solar AdjustMI 4" xfId="11369"/>
    <cellStyle name="_VC 6.15.06 update on 06GRC power costs.xls Chart 1_Power Costs - Comparison bx Rbtl-Staff-Jt-PC_Electric Rev Req Model (2009 GRC) Rebuttal REmoval of New  WH Solar AdjustMI_DEM-WP(C) ENERG10C--ctn Mid-C_042010 2010GRC" xfId="11370"/>
    <cellStyle name="_VC 6.15.06 update on 06GRC power costs.xls Chart 1_Power Costs - Comparison bx Rbtl-Staff-Jt-PC_Electric Rev Req Model (2009 GRC) Rebuttal REmoval of New  WH Solar AdjustMI_DEM-WP(C) ENERG10C--ctn Mid-C_042010 2010GRC 2" xfId="11371"/>
    <cellStyle name="_VC 6.15.06 update on 06GRC power costs.xls Chart 1_Power Costs - Comparison bx Rbtl-Staff-Jt-PC_Electric Rev Req Model (2009 GRC) Revised 01-18-2010" xfId="11372"/>
    <cellStyle name="_VC 6.15.06 update on 06GRC power costs.xls Chart 1_Power Costs - Comparison bx Rbtl-Staff-Jt-PC_Electric Rev Req Model (2009 GRC) Revised 01-18-2010 2" xfId="11373"/>
    <cellStyle name="_VC 6.15.06 update on 06GRC power costs.xls Chart 1_Power Costs - Comparison bx Rbtl-Staff-Jt-PC_Electric Rev Req Model (2009 GRC) Revised 01-18-2010 2 2" xfId="11374"/>
    <cellStyle name="_VC 6.15.06 update on 06GRC power costs.xls Chart 1_Power Costs - Comparison bx Rbtl-Staff-Jt-PC_Electric Rev Req Model (2009 GRC) Revised 01-18-2010 3" xfId="11375"/>
    <cellStyle name="_VC 6.15.06 update on 06GRC power costs.xls Chart 1_Power Costs - Comparison bx Rbtl-Staff-Jt-PC_Electric Rev Req Model (2009 GRC) Revised 01-18-2010 3 2" xfId="11376"/>
    <cellStyle name="_VC 6.15.06 update on 06GRC power costs.xls Chart 1_Power Costs - Comparison bx Rbtl-Staff-Jt-PC_Electric Rev Req Model (2009 GRC) Revised 01-18-2010 4" xfId="11377"/>
    <cellStyle name="_VC 6.15.06 update on 06GRC power costs.xls Chart 1_Power Costs - Comparison bx Rbtl-Staff-Jt-PC_Electric Rev Req Model (2009 GRC) Revised 01-18-2010_DEM-WP(C) ENERG10C--ctn Mid-C_042010 2010GRC" xfId="11378"/>
    <cellStyle name="_VC 6.15.06 update on 06GRC power costs.xls Chart 1_Power Costs - Comparison bx Rbtl-Staff-Jt-PC_Electric Rev Req Model (2009 GRC) Revised 01-18-2010_DEM-WP(C) ENERG10C--ctn Mid-C_042010 2010GRC 2" xfId="11379"/>
    <cellStyle name="_VC 6.15.06 update on 06GRC power costs.xls Chart 1_Power Costs - Comparison bx Rbtl-Staff-Jt-PC_Final Order Electric EXHIBIT A-1" xfId="11380"/>
    <cellStyle name="_VC 6.15.06 update on 06GRC power costs.xls Chart 1_Power Costs - Comparison bx Rbtl-Staff-Jt-PC_Final Order Electric EXHIBIT A-1 2" xfId="11381"/>
    <cellStyle name="_VC 6.15.06 update on 06GRC power costs.xls Chart 1_Power Costs - Comparison bx Rbtl-Staff-Jt-PC_Final Order Electric EXHIBIT A-1 2 2" xfId="11382"/>
    <cellStyle name="_VC 6.15.06 update on 06GRC power costs.xls Chart 1_Power Costs - Comparison bx Rbtl-Staff-Jt-PC_Final Order Electric EXHIBIT A-1 3" xfId="11383"/>
    <cellStyle name="_VC 6.15.06 update on 06GRC power costs.xls Chart 1_Production Adj 4.37" xfId="21285"/>
    <cellStyle name="_VC 6.15.06 update on 06GRC power costs.xls Chart 1_Purchased Power Adj 4.03" xfId="21286"/>
    <cellStyle name="_VC 6.15.06 update on 06GRC power costs.xls Chart 1_Rebuttal Power Costs" xfId="11384"/>
    <cellStyle name="_VC 6.15.06 update on 06GRC power costs.xls Chart 1_Rebuttal Power Costs 2" xfId="11385"/>
    <cellStyle name="_VC 6.15.06 update on 06GRC power costs.xls Chart 1_Rebuttal Power Costs 2 2" xfId="11386"/>
    <cellStyle name="_VC 6.15.06 update on 06GRC power costs.xls Chart 1_Rebuttal Power Costs 3" xfId="11387"/>
    <cellStyle name="_VC 6.15.06 update on 06GRC power costs.xls Chart 1_Rebuttal Power Costs 3 2" xfId="11388"/>
    <cellStyle name="_VC 6.15.06 update on 06GRC power costs.xls Chart 1_Rebuttal Power Costs 4" xfId="11389"/>
    <cellStyle name="_VC 6.15.06 update on 06GRC power costs.xls Chart 1_Rebuttal Power Costs_Adj Bench DR 3 for Initial Briefs (Electric)" xfId="11390"/>
    <cellStyle name="_VC 6.15.06 update on 06GRC power costs.xls Chart 1_Rebuttal Power Costs_Adj Bench DR 3 for Initial Briefs (Electric) 2" xfId="11391"/>
    <cellStyle name="_VC 6.15.06 update on 06GRC power costs.xls Chart 1_Rebuttal Power Costs_Adj Bench DR 3 for Initial Briefs (Electric) 2 2" xfId="11392"/>
    <cellStyle name="_VC 6.15.06 update on 06GRC power costs.xls Chart 1_Rebuttal Power Costs_Adj Bench DR 3 for Initial Briefs (Electric) 3" xfId="11393"/>
    <cellStyle name="_VC 6.15.06 update on 06GRC power costs.xls Chart 1_Rebuttal Power Costs_Adj Bench DR 3 for Initial Briefs (Electric) 3 2" xfId="11394"/>
    <cellStyle name="_VC 6.15.06 update on 06GRC power costs.xls Chart 1_Rebuttal Power Costs_Adj Bench DR 3 for Initial Briefs (Electric) 4" xfId="11395"/>
    <cellStyle name="_VC 6.15.06 update on 06GRC power costs.xls Chart 1_Rebuttal Power Costs_Adj Bench DR 3 for Initial Briefs (Electric)_DEM-WP(C) ENERG10C--ctn Mid-C_042010 2010GRC" xfId="11396"/>
    <cellStyle name="_VC 6.15.06 update on 06GRC power costs.xls Chart 1_Rebuttal Power Costs_Adj Bench DR 3 for Initial Briefs (Electric)_DEM-WP(C) ENERG10C--ctn Mid-C_042010 2010GRC 2" xfId="11397"/>
    <cellStyle name="_VC 6.15.06 update on 06GRC power costs.xls Chart 1_Rebuttal Power Costs_DEM-WP(C) ENERG10C--ctn Mid-C_042010 2010GRC" xfId="11398"/>
    <cellStyle name="_VC 6.15.06 update on 06GRC power costs.xls Chart 1_Rebuttal Power Costs_DEM-WP(C) ENERG10C--ctn Mid-C_042010 2010GRC 2" xfId="11399"/>
    <cellStyle name="_VC 6.15.06 update on 06GRC power costs.xls Chart 1_Rebuttal Power Costs_Electric Rev Req Model (2009 GRC) Rebuttal" xfId="11400"/>
    <cellStyle name="_VC 6.15.06 update on 06GRC power costs.xls Chart 1_Rebuttal Power Costs_Electric Rev Req Model (2009 GRC) Rebuttal 2" xfId="11401"/>
    <cellStyle name="_VC 6.15.06 update on 06GRC power costs.xls Chart 1_Rebuttal Power Costs_Electric Rev Req Model (2009 GRC) Rebuttal 2 2" xfId="11402"/>
    <cellStyle name="_VC 6.15.06 update on 06GRC power costs.xls Chart 1_Rebuttal Power Costs_Electric Rev Req Model (2009 GRC) Rebuttal 3" xfId="11403"/>
    <cellStyle name="_VC 6.15.06 update on 06GRC power costs.xls Chart 1_Rebuttal Power Costs_Electric Rev Req Model (2009 GRC) Rebuttal REmoval of New  WH Solar AdjustMI" xfId="11404"/>
    <cellStyle name="_VC 6.15.06 update on 06GRC power costs.xls Chart 1_Rebuttal Power Costs_Electric Rev Req Model (2009 GRC) Rebuttal REmoval of New  WH Solar AdjustMI 2" xfId="11405"/>
    <cellStyle name="_VC 6.15.06 update on 06GRC power costs.xls Chart 1_Rebuttal Power Costs_Electric Rev Req Model (2009 GRC) Rebuttal REmoval of New  WH Solar AdjustMI 2 2" xfId="11406"/>
    <cellStyle name="_VC 6.15.06 update on 06GRC power costs.xls Chart 1_Rebuttal Power Costs_Electric Rev Req Model (2009 GRC) Rebuttal REmoval of New  WH Solar AdjustMI 3" xfId="11407"/>
    <cellStyle name="_VC 6.15.06 update on 06GRC power costs.xls Chart 1_Rebuttal Power Costs_Electric Rev Req Model (2009 GRC) Rebuttal REmoval of New  WH Solar AdjustMI 3 2" xfId="11408"/>
    <cellStyle name="_VC 6.15.06 update on 06GRC power costs.xls Chart 1_Rebuttal Power Costs_Electric Rev Req Model (2009 GRC) Rebuttal REmoval of New  WH Solar AdjustMI 4" xfId="11409"/>
    <cellStyle name="_VC 6.15.06 update on 06GRC power costs.xls Chart 1_Rebuttal Power Costs_Electric Rev Req Model (2009 GRC) Rebuttal REmoval of New  WH Solar AdjustMI_DEM-WP(C) ENERG10C--ctn Mid-C_042010 2010GRC" xfId="11410"/>
    <cellStyle name="_VC 6.15.06 update on 06GRC power costs.xls Chart 1_Rebuttal Power Costs_Electric Rev Req Model (2009 GRC) Rebuttal REmoval of New  WH Solar AdjustMI_DEM-WP(C) ENERG10C--ctn Mid-C_042010 2010GRC 2" xfId="11411"/>
    <cellStyle name="_VC 6.15.06 update on 06GRC power costs.xls Chart 1_Rebuttal Power Costs_Electric Rev Req Model (2009 GRC) Revised 01-18-2010" xfId="11412"/>
    <cellStyle name="_VC 6.15.06 update on 06GRC power costs.xls Chart 1_Rebuttal Power Costs_Electric Rev Req Model (2009 GRC) Revised 01-18-2010 2" xfId="11413"/>
    <cellStyle name="_VC 6.15.06 update on 06GRC power costs.xls Chart 1_Rebuttal Power Costs_Electric Rev Req Model (2009 GRC) Revised 01-18-2010 2 2" xfId="11414"/>
    <cellStyle name="_VC 6.15.06 update on 06GRC power costs.xls Chart 1_Rebuttal Power Costs_Electric Rev Req Model (2009 GRC) Revised 01-18-2010 3" xfId="11415"/>
    <cellStyle name="_VC 6.15.06 update on 06GRC power costs.xls Chart 1_Rebuttal Power Costs_Electric Rev Req Model (2009 GRC) Revised 01-18-2010 3 2" xfId="11416"/>
    <cellStyle name="_VC 6.15.06 update on 06GRC power costs.xls Chart 1_Rebuttal Power Costs_Electric Rev Req Model (2009 GRC) Revised 01-18-2010 4" xfId="11417"/>
    <cellStyle name="_VC 6.15.06 update on 06GRC power costs.xls Chart 1_Rebuttal Power Costs_Electric Rev Req Model (2009 GRC) Revised 01-18-2010_DEM-WP(C) ENERG10C--ctn Mid-C_042010 2010GRC" xfId="11418"/>
    <cellStyle name="_VC 6.15.06 update on 06GRC power costs.xls Chart 1_Rebuttal Power Costs_Electric Rev Req Model (2009 GRC) Revised 01-18-2010_DEM-WP(C) ENERG10C--ctn Mid-C_042010 2010GRC 2" xfId="11419"/>
    <cellStyle name="_VC 6.15.06 update on 06GRC power costs.xls Chart 1_Rebuttal Power Costs_Final Order Electric EXHIBIT A-1" xfId="11420"/>
    <cellStyle name="_VC 6.15.06 update on 06GRC power costs.xls Chart 1_Rebuttal Power Costs_Final Order Electric EXHIBIT A-1 2" xfId="11421"/>
    <cellStyle name="_VC 6.15.06 update on 06GRC power costs.xls Chart 1_Rebuttal Power Costs_Final Order Electric EXHIBIT A-1 2 2" xfId="11422"/>
    <cellStyle name="_VC 6.15.06 update on 06GRC power costs.xls Chart 1_Rebuttal Power Costs_Final Order Electric EXHIBIT A-1 3" xfId="11423"/>
    <cellStyle name="_VC 6.15.06 update on 06GRC power costs.xls Chart 1_ROR 5.02" xfId="21287"/>
    <cellStyle name="_VC 6.15.06 update on 06GRC power costs.xls Chart 1_Wind Integration 10GRC" xfId="11424"/>
    <cellStyle name="_VC 6.15.06 update on 06GRC power costs.xls Chart 1_Wind Integration 10GRC 2" xfId="11425"/>
    <cellStyle name="_VC 6.15.06 update on 06GRC power costs.xls Chart 1_Wind Integration 10GRC 2 2" xfId="11426"/>
    <cellStyle name="_VC 6.15.06 update on 06GRC power costs.xls Chart 1_Wind Integration 10GRC 3" xfId="11427"/>
    <cellStyle name="_VC 6.15.06 update on 06GRC power costs.xls Chart 1_Wind Integration 10GRC 3 2" xfId="11428"/>
    <cellStyle name="_VC 6.15.06 update on 06GRC power costs.xls Chart 1_Wind Integration 10GRC 4" xfId="11429"/>
    <cellStyle name="_VC 6.15.06 update on 06GRC power costs.xls Chart 1_Wind Integration 10GRC_DEM-WP(C) ENERG10C--ctn Mid-C_042010 2010GRC" xfId="11430"/>
    <cellStyle name="_VC 6.15.06 update on 06GRC power costs.xls Chart 1_Wind Integration 10GRC_DEM-WP(C) ENERG10C--ctn Mid-C_042010 2010GRC 2" xfId="11431"/>
    <cellStyle name="_VC 6.15.06 update on 06GRC power costs.xls Chart 2" xfId="11432"/>
    <cellStyle name="_VC 6.15.06 update on 06GRC power costs.xls Chart 2 2" xfId="11433"/>
    <cellStyle name="_VC 6.15.06 update on 06GRC power costs.xls Chart 2 2 2" xfId="11434"/>
    <cellStyle name="_VC 6.15.06 update on 06GRC power costs.xls Chart 2 2 2 2" xfId="11435"/>
    <cellStyle name="_VC 6.15.06 update on 06GRC power costs.xls Chart 2 2 3" xfId="11436"/>
    <cellStyle name="_VC 6.15.06 update on 06GRC power costs.xls Chart 2 2 3 2" xfId="11437"/>
    <cellStyle name="_VC 6.15.06 update on 06GRC power costs.xls Chart 2 2 4" xfId="11438"/>
    <cellStyle name="_VC 6.15.06 update on 06GRC power costs.xls Chart 2 3" xfId="11439"/>
    <cellStyle name="_VC 6.15.06 update on 06GRC power costs.xls Chart 2 3 2" xfId="11440"/>
    <cellStyle name="_VC 6.15.06 update on 06GRC power costs.xls Chart 2 4" xfId="11441"/>
    <cellStyle name="_VC 6.15.06 update on 06GRC power costs.xls Chart 2 4 2" xfId="11442"/>
    <cellStyle name="_VC 6.15.06 update on 06GRC power costs.xls Chart 2 4 2 2" xfId="11443"/>
    <cellStyle name="_VC 6.15.06 update on 06GRC power costs.xls Chart 2 4 3" xfId="11444"/>
    <cellStyle name="_VC 6.15.06 update on 06GRC power costs.xls Chart 2 5" xfId="11445"/>
    <cellStyle name="_VC 6.15.06 update on 06GRC power costs.xls Chart 2 5 2" xfId="11446"/>
    <cellStyle name="_VC 6.15.06 update on 06GRC power costs.xls Chart 2 6" xfId="11447"/>
    <cellStyle name="_VC 6.15.06 update on 06GRC power costs.xls Chart 2 6 2" xfId="11448"/>
    <cellStyle name="_VC 6.15.06 update on 06GRC power costs.xls Chart 2 6 2 2" xfId="11449"/>
    <cellStyle name="_VC 6.15.06 update on 06GRC power costs.xls Chart 2 6 3" xfId="11450"/>
    <cellStyle name="_VC 6.15.06 update on 06GRC power costs.xls Chart 2 7" xfId="11451"/>
    <cellStyle name="_VC 6.15.06 update on 06GRC power costs.xls Chart 2 7 2" xfId="11452"/>
    <cellStyle name="_VC 6.15.06 update on 06GRC power costs.xls Chart 2 7 2 2" xfId="11453"/>
    <cellStyle name="_VC 6.15.06 update on 06GRC power costs.xls Chart 2 7 3" xfId="11454"/>
    <cellStyle name="_VC 6.15.06 update on 06GRC power costs.xls Chart 2 8" xfId="11455"/>
    <cellStyle name="_VC 6.15.06 update on 06GRC power costs.xls Chart 2_04 07E Wild Horse Wind Expansion (C) (2)" xfId="11456"/>
    <cellStyle name="_VC 6.15.06 update on 06GRC power costs.xls Chart 2_04 07E Wild Horse Wind Expansion (C) (2) 2" xfId="11457"/>
    <cellStyle name="_VC 6.15.06 update on 06GRC power costs.xls Chart 2_04 07E Wild Horse Wind Expansion (C) (2) 2 2" xfId="11458"/>
    <cellStyle name="_VC 6.15.06 update on 06GRC power costs.xls Chart 2_04 07E Wild Horse Wind Expansion (C) (2) 3" xfId="11459"/>
    <cellStyle name="_VC 6.15.06 update on 06GRC power costs.xls Chart 2_04 07E Wild Horse Wind Expansion (C) (2) 3 2" xfId="11460"/>
    <cellStyle name="_VC 6.15.06 update on 06GRC power costs.xls Chart 2_04 07E Wild Horse Wind Expansion (C) (2) 4" xfId="11461"/>
    <cellStyle name="_VC 6.15.06 update on 06GRC power costs.xls Chart 2_04 07E Wild Horse Wind Expansion (C) (2)_Adj Bench DR 3 for Initial Briefs (Electric)" xfId="11462"/>
    <cellStyle name="_VC 6.15.06 update on 06GRC power costs.xls Chart 2_04 07E Wild Horse Wind Expansion (C) (2)_Adj Bench DR 3 for Initial Briefs (Electric) 2" xfId="11463"/>
    <cellStyle name="_VC 6.15.06 update on 06GRC power costs.xls Chart 2_04 07E Wild Horse Wind Expansion (C) (2)_Adj Bench DR 3 for Initial Briefs (Electric) 2 2" xfId="11464"/>
    <cellStyle name="_VC 6.15.06 update on 06GRC power costs.xls Chart 2_04 07E Wild Horse Wind Expansion (C) (2)_Adj Bench DR 3 for Initial Briefs (Electric) 3" xfId="11465"/>
    <cellStyle name="_VC 6.15.06 update on 06GRC power costs.xls Chart 2_04 07E Wild Horse Wind Expansion (C) (2)_Adj Bench DR 3 for Initial Briefs (Electric) 3 2" xfId="11466"/>
    <cellStyle name="_VC 6.15.06 update on 06GRC power costs.xls Chart 2_04 07E Wild Horse Wind Expansion (C) (2)_Adj Bench DR 3 for Initial Briefs (Electric) 4" xfId="11467"/>
    <cellStyle name="_VC 6.15.06 update on 06GRC power costs.xls Chart 2_04 07E Wild Horse Wind Expansion (C) (2)_Adj Bench DR 3 for Initial Briefs (Electric)_DEM-WP(C) ENERG10C--ctn Mid-C_042010 2010GRC" xfId="11468"/>
    <cellStyle name="_VC 6.15.06 update on 06GRC power costs.xls Chart 2_04 07E Wild Horse Wind Expansion (C) (2)_Adj Bench DR 3 for Initial Briefs (Electric)_DEM-WP(C) ENERG10C--ctn Mid-C_042010 2010GRC 2" xfId="11469"/>
    <cellStyle name="_VC 6.15.06 update on 06GRC power costs.xls Chart 2_04 07E Wild Horse Wind Expansion (C) (2)_Book1" xfId="11470"/>
    <cellStyle name="_VC 6.15.06 update on 06GRC power costs.xls Chart 2_04 07E Wild Horse Wind Expansion (C) (2)_Book1 2" xfId="11471"/>
    <cellStyle name="_VC 6.15.06 update on 06GRC power costs.xls Chart 2_04 07E Wild Horse Wind Expansion (C) (2)_DEM-WP(C) ENERG10C--ctn Mid-C_042010 2010GRC" xfId="11472"/>
    <cellStyle name="_VC 6.15.06 update on 06GRC power costs.xls Chart 2_04 07E Wild Horse Wind Expansion (C) (2)_DEM-WP(C) ENERG10C--ctn Mid-C_042010 2010GRC 2" xfId="11473"/>
    <cellStyle name="_VC 6.15.06 update on 06GRC power costs.xls Chart 2_04 07E Wild Horse Wind Expansion (C) (2)_Electric Rev Req Model (2009 GRC) " xfId="11474"/>
    <cellStyle name="_VC 6.15.06 update on 06GRC power costs.xls Chart 2_04 07E Wild Horse Wind Expansion (C) (2)_Electric Rev Req Model (2009 GRC)  2" xfId="11475"/>
    <cellStyle name="_VC 6.15.06 update on 06GRC power costs.xls Chart 2_04 07E Wild Horse Wind Expansion (C) (2)_Electric Rev Req Model (2009 GRC)  2 2" xfId="11476"/>
    <cellStyle name="_VC 6.15.06 update on 06GRC power costs.xls Chart 2_04 07E Wild Horse Wind Expansion (C) (2)_Electric Rev Req Model (2009 GRC)  3" xfId="11477"/>
    <cellStyle name="_VC 6.15.06 update on 06GRC power costs.xls Chart 2_04 07E Wild Horse Wind Expansion (C) (2)_Electric Rev Req Model (2009 GRC)  3 2" xfId="11478"/>
    <cellStyle name="_VC 6.15.06 update on 06GRC power costs.xls Chart 2_04 07E Wild Horse Wind Expansion (C) (2)_Electric Rev Req Model (2009 GRC)  4" xfId="11479"/>
    <cellStyle name="_VC 6.15.06 update on 06GRC power costs.xls Chart 2_04 07E Wild Horse Wind Expansion (C) (2)_Electric Rev Req Model (2009 GRC) _DEM-WP(C) ENERG10C--ctn Mid-C_042010 2010GRC" xfId="11480"/>
    <cellStyle name="_VC 6.15.06 update on 06GRC power costs.xls Chart 2_04 07E Wild Horse Wind Expansion (C) (2)_Electric Rev Req Model (2009 GRC) _DEM-WP(C) ENERG10C--ctn Mid-C_042010 2010GRC 2" xfId="11481"/>
    <cellStyle name="_VC 6.15.06 update on 06GRC power costs.xls Chart 2_04 07E Wild Horse Wind Expansion (C) (2)_Electric Rev Req Model (2009 GRC) Rebuttal" xfId="11482"/>
    <cellStyle name="_VC 6.15.06 update on 06GRC power costs.xls Chart 2_04 07E Wild Horse Wind Expansion (C) (2)_Electric Rev Req Model (2009 GRC) Rebuttal 2" xfId="11483"/>
    <cellStyle name="_VC 6.15.06 update on 06GRC power costs.xls Chart 2_04 07E Wild Horse Wind Expansion (C) (2)_Electric Rev Req Model (2009 GRC) Rebuttal 2 2" xfId="11484"/>
    <cellStyle name="_VC 6.15.06 update on 06GRC power costs.xls Chart 2_04 07E Wild Horse Wind Expansion (C) (2)_Electric Rev Req Model (2009 GRC) Rebuttal 3" xfId="11485"/>
    <cellStyle name="_VC 6.15.06 update on 06GRC power costs.xls Chart 2_04 07E Wild Horse Wind Expansion (C) (2)_Electric Rev Req Model (2009 GRC) Rebuttal REmoval of New  WH Solar AdjustMI" xfId="11486"/>
    <cellStyle name="_VC 6.15.06 update on 06GRC power costs.xls Chart 2_04 07E Wild Horse Wind Expansion (C) (2)_Electric Rev Req Model (2009 GRC) Rebuttal REmoval of New  WH Solar AdjustMI 2" xfId="11487"/>
    <cellStyle name="_VC 6.15.06 update on 06GRC power costs.xls Chart 2_04 07E Wild Horse Wind Expansion (C) (2)_Electric Rev Req Model (2009 GRC) Rebuttal REmoval of New  WH Solar AdjustMI 2 2" xfId="11488"/>
    <cellStyle name="_VC 6.15.06 update on 06GRC power costs.xls Chart 2_04 07E Wild Horse Wind Expansion (C) (2)_Electric Rev Req Model (2009 GRC) Rebuttal REmoval of New  WH Solar AdjustMI 3" xfId="11489"/>
    <cellStyle name="_VC 6.15.06 update on 06GRC power costs.xls Chart 2_04 07E Wild Horse Wind Expansion (C) (2)_Electric Rev Req Model (2009 GRC) Rebuttal REmoval of New  WH Solar AdjustMI 3 2" xfId="11490"/>
    <cellStyle name="_VC 6.15.06 update on 06GRC power costs.xls Chart 2_04 07E Wild Horse Wind Expansion (C) (2)_Electric Rev Req Model (2009 GRC) Rebuttal REmoval of New  WH Solar AdjustMI 4" xfId="11491"/>
    <cellStyle name="_VC 6.15.06 update on 06GRC power costs.xls Chart 2_04 07E Wild Horse Wind Expansion (C) (2)_Electric Rev Req Model (2009 GRC) Rebuttal REmoval of New  WH Solar AdjustMI_DEM-WP(C) ENERG10C--ctn Mid-C_042010 2010GRC" xfId="11492"/>
    <cellStyle name="_VC 6.15.06 update on 06GRC power costs.xls Chart 2_04 07E Wild Horse Wind Expansion (C) (2)_Electric Rev Req Model (2009 GRC) Rebuttal REmoval of New  WH Solar AdjustMI_DEM-WP(C) ENERG10C--ctn Mid-C_042010 2010GRC 2" xfId="11493"/>
    <cellStyle name="_VC 6.15.06 update on 06GRC power costs.xls Chart 2_04 07E Wild Horse Wind Expansion (C) (2)_Electric Rev Req Model (2009 GRC) Revised 01-18-2010" xfId="11494"/>
    <cellStyle name="_VC 6.15.06 update on 06GRC power costs.xls Chart 2_04 07E Wild Horse Wind Expansion (C) (2)_Electric Rev Req Model (2009 GRC) Revised 01-18-2010 2" xfId="11495"/>
    <cellStyle name="_VC 6.15.06 update on 06GRC power costs.xls Chart 2_04 07E Wild Horse Wind Expansion (C) (2)_Electric Rev Req Model (2009 GRC) Revised 01-18-2010 2 2" xfId="11496"/>
    <cellStyle name="_VC 6.15.06 update on 06GRC power costs.xls Chart 2_04 07E Wild Horse Wind Expansion (C) (2)_Electric Rev Req Model (2009 GRC) Revised 01-18-2010 3" xfId="11497"/>
    <cellStyle name="_VC 6.15.06 update on 06GRC power costs.xls Chart 2_04 07E Wild Horse Wind Expansion (C) (2)_Electric Rev Req Model (2009 GRC) Revised 01-18-2010 3 2" xfId="11498"/>
    <cellStyle name="_VC 6.15.06 update on 06GRC power costs.xls Chart 2_04 07E Wild Horse Wind Expansion (C) (2)_Electric Rev Req Model (2009 GRC) Revised 01-18-2010 4" xfId="11499"/>
    <cellStyle name="_VC 6.15.06 update on 06GRC power costs.xls Chart 2_04 07E Wild Horse Wind Expansion (C) (2)_Electric Rev Req Model (2009 GRC) Revised 01-18-2010_DEM-WP(C) ENERG10C--ctn Mid-C_042010 2010GRC" xfId="11500"/>
    <cellStyle name="_VC 6.15.06 update on 06GRC power costs.xls Chart 2_04 07E Wild Horse Wind Expansion (C) (2)_Electric Rev Req Model (2009 GRC) Revised 01-18-2010_DEM-WP(C) ENERG10C--ctn Mid-C_042010 2010GRC 2" xfId="11501"/>
    <cellStyle name="_VC 6.15.06 update on 06GRC power costs.xls Chart 2_04 07E Wild Horse Wind Expansion (C) (2)_Electric Rev Req Model (2010 GRC)" xfId="11502"/>
    <cellStyle name="_VC 6.15.06 update on 06GRC power costs.xls Chart 2_04 07E Wild Horse Wind Expansion (C) (2)_Electric Rev Req Model (2010 GRC) 2" xfId="11503"/>
    <cellStyle name="_VC 6.15.06 update on 06GRC power costs.xls Chart 2_04 07E Wild Horse Wind Expansion (C) (2)_Electric Rev Req Model (2010 GRC) SF" xfId="11504"/>
    <cellStyle name="_VC 6.15.06 update on 06GRC power costs.xls Chart 2_04 07E Wild Horse Wind Expansion (C) (2)_Electric Rev Req Model (2010 GRC) SF 2" xfId="11505"/>
    <cellStyle name="_VC 6.15.06 update on 06GRC power costs.xls Chart 2_04 07E Wild Horse Wind Expansion (C) (2)_Final Order Electric EXHIBIT A-1" xfId="11506"/>
    <cellStyle name="_VC 6.15.06 update on 06GRC power costs.xls Chart 2_04 07E Wild Horse Wind Expansion (C) (2)_Final Order Electric EXHIBIT A-1 2" xfId="11507"/>
    <cellStyle name="_VC 6.15.06 update on 06GRC power costs.xls Chart 2_04 07E Wild Horse Wind Expansion (C) (2)_Final Order Electric EXHIBIT A-1 2 2" xfId="11508"/>
    <cellStyle name="_VC 6.15.06 update on 06GRC power costs.xls Chart 2_04 07E Wild Horse Wind Expansion (C) (2)_Final Order Electric EXHIBIT A-1 3" xfId="11509"/>
    <cellStyle name="_VC 6.15.06 update on 06GRC power costs.xls Chart 2_04 07E Wild Horse Wind Expansion (C) (2)_TENASKA REGULATORY ASSET" xfId="11510"/>
    <cellStyle name="_VC 6.15.06 update on 06GRC power costs.xls Chart 2_04 07E Wild Horse Wind Expansion (C) (2)_TENASKA REGULATORY ASSET 2" xfId="11511"/>
    <cellStyle name="_VC 6.15.06 update on 06GRC power costs.xls Chart 2_04 07E Wild Horse Wind Expansion (C) (2)_TENASKA REGULATORY ASSET 2 2" xfId="11512"/>
    <cellStyle name="_VC 6.15.06 update on 06GRC power costs.xls Chart 2_04 07E Wild Horse Wind Expansion (C) (2)_TENASKA REGULATORY ASSET 3" xfId="11513"/>
    <cellStyle name="_VC 6.15.06 update on 06GRC power costs.xls Chart 2_16.37E Wild Horse Expansion DeferralRevwrkingfile SF" xfId="11514"/>
    <cellStyle name="_VC 6.15.06 update on 06GRC power costs.xls Chart 2_16.37E Wild Horse Expansion DeferralRevwrkingfile SF 2" xfId="11515"/>
    <cellStyle name="_VC 6.15.06 update on 06GRC power costs.xls Chart 2_16.37E Wild Horse Expansion DeferralRevwrkingfile SF 2 2" xfId="11516"/>
    <cellStyle name="_VC 6.15.06 update on 06GRC power costs.xls Chart 2_16.37E Wild Horse Expansion DeferralRevwrkingfile SF 3" xfId="11517"/>
    <cellStyle name="_VC 6.15.06 update on 06GRC power costs.xls Chart 2_16.37E Wild Horse Expansion DeferralRevwrkingfile SF 3 2" xfId="11518"/>
    <cellStyle name="_VC 6.15.06 update on 06GRC power costs.xls Chart 2_16.37E Wild Horse Expansion DeferralRevwrkingfile SF 4" xfId="11519"/>
    <cellStyle name="_VC 6.15.06 update on 06GRC power costs.xls Chart 2_16.37E Wild Horse Expansion DeferralRevwrkingfile SF_DEM-WP(C) ENERG10C--ctn Mid-C_042010 2010GRC" xfId="11520"/>
    <cellStyle name="_VC 6.15.06 update on 06GRC power costs.xls Chart 2_16.37E Wild Horse Expansion DeferralRevwrkingfile SF_DEM-WP(C) ENERG10C--ctn Mid-C_042010 2010GRC 2" xfId="11521"/>
    <cellStyle name="_VC 6.15.06 update on 06GRC power costs.xls Chart 2_2009 Compliance Filing PCA Exhibits for GRC" xfId="11522"/>
    <cellStyle name="_VC 6.15.06 update on 06GRC power costs.xls Chart 2_2009 Compliance Filing PCA Exhibits for GRC 2" xfId="11523"/>
    <cellStyle name="_VC 6.15.06 update on 06GRC power costs.xls Chart 2_2009 Compliance Filing PCA Exhibits for GRC 2 2" xfId="11524"/>
    <cellStyle name="_VC 6.15.06 update on 06GRC power costs.xls Chart 2_2009 Compliance Filing PCA Exhibits for GRC 3" xfId="11525"/>
    <cellStyle name="_VC 6.15.06 update on 06GRC power costs.xls Chart 2_2009 GRC Compl Filing - Exhibit D" xfId="11526"/>
    <cellStyle name="_VC 6.15.06 update on 06GRC power costs.xls Chart 2_2009 GRC Compl Filing - Exhibit D 2" xfId="11527"/>
    <cellStyle name="_VC 6.15.06 update on 06GRC power costs.xls Chart 2_2009 GRC Compl Filing - Exhibit D 2 2" xfId="11528"/>
    <cellStyle name="_VC 6.15.06 update on 06GRC power costs.xls Chart 2_2009 GRC Compl Filing - Exhibit D 3" xfId="11529"/>
    <cellStyle name="_VC 6.15.06 update on 06GRC power costs.xls Chart 2_2009 GRC Compl Filing - Exhibit D 3 2" xfId="11530"/>
    <cellStyle name="_VC 6.15.06 update on 06GRC power costs.xls Chart 2_2009 GRC Compl Filing - Exhibit D 4" xfId="11531"/>
    <cellStyle name="_VC 6.15.06 update on 06GRC power costs.xls Chart 2_2009 GRC Compl Filing - Exhibit D_DEM-WP(C) ENERG10C--ctn Mid-C_042010 2010GRC" xfId="11532"/>
    <cellStyle name="_VC 6.15.06 update on 06GRC power costs.xls Chart 2_2009 GRC Compl Filing - Exhibit D_DEM-WP(C) ENERG10C--ctn Mid-C_042010 2010GRC 2" xfId="11533"/>
    <cellStyle name="_VC 6.15.06 update on 06GRC power costs.xls Chart 2_3.01 Income Statement" xfId="11534"/>
    <cellStyle name="_VC 6.15.06 update on 06GRC power costs.xls Chart 2_4 31 Regulatory Assets and Liabilities  7 06- Exhibit D" xfId="11535"/>
    <cellStyle name="_VC 6.15.06 update on 06GRC power costs.xls Chart 2_4 31 Regulatory Assets and Liabilities  7 06- Exhibit D 2" xfId="11536"/>
    <cellStyle name="_VC 6.15.06 update on 06GRC power costs.xls Chart 2_4 31 Regulatory Assets and Liabilities  7 06- Exhibit D 2 2" xfId="11537"/>
    <cellStyle name="_VC 6.15.06 update on 06GRC power costs.xls Chart 2_4 31 Regulatory Assets and Liabilities  7 06- Exhibit D 3" xfId="11538"/>
    <cellStyle name="_VC 6.15.06 update on 06GRC power costs.xls Chart 2_4 31 Regulatory Assets and Liabilities  7 06- Exhibit D 3 2" xfId="11539"/>
    <cellStyle name="_VC 6.15.06 update on 06GRC power costs.xls Chart 2_4 31 Regulatory Assets and Liabilities  7 06- Exhibit D 4" xfId="11540"/>
    <cellStyle name="_VC 6.15.06 update on 06GRC power costs.xls Chart 2_4 31 Regulatory Assets and Liabilities  7 06- Exhibit D_DEM-WP(C) ENERG10C--ctn Mid-C_042010 2010GRC" xfId="11541"/>
    <cellStyle name="_VC 6.15.06 update on 06GRC power costs.xls Chart 2_4 31 Regulatory Assets and Liabilities  7 06- Exhibit D_DEM-WP(C) ENERG10C--ctn Mid-C_042010 2010GRC 2" xfId="11542"/>
    <cellStyle name="_VC 6.15.06 update on 06GRC power costs.xls Chart 2_4 31 Regulatory Assets and Liabilities  7 06- Exhibit D_NIM Summary" xfId="11543"/>
    <cellStyle name="_VC 6.15.06 update on 06GRC power costs.xls Chart 2_4 31 Regulatory Assets and Liabilities  7 06- Exhibit D_NIM Summary 2" xfId="11544"/>
    <cellStyle name="_VC 6.15.06 update on 06GRC power costs.xls Chart 2_4 31 Regulatory Assets and Liabilities  7 06- Exhibit D_NIM Summary 2 2" xfId="11545"/>
    <cellStyle name="_VC 6.15.06 update on 06GRC power costs.xls Chart 2_4 31 Regulatory Assets and Liabilities  7 06- Exhibit D_NIM Summary 3" xfId="11546"/>
    <cellStyle name="_VC 6.15.06 update on 06GRC power costs.xls Chart 2_4 31 Regulatory Assets and Liabilities  7 06- Exhibit D_NIM Summary 3 2" xfId="11547"/>
    <cellStyle name="_VC 6.15.06 update on 06GRC power costs.xls Chart 2_4 31 Regulatory Assets and Liabilities  7 06- Exhibit D_NIM Summary 4" xfId="11548"/>
    <cellStyle name="_VC 6.15.06 update on 06GRC power costs.xls Chart 2_4 31 Regulatory Assets and Liabilities  7 06- Exhibit D_NIM Summary_DEM-WP(C) ENERG10C--ctn Mid-C_042010 2010GRC" xfId="11549"/>
    <cellStyle name="_VC 6.15.06 update on 06GRC power costs.xls Chart 2_4 31 Regulatory Assets and Liabilities  7 06- Exhibit D_NIM Summary_DEM-WP(C) ENERG10C--ctn Mid-C_042010 2010GRC 2" xfId="11550"/>
    <cellStyle name="_VC 6.15.06 update on 06GRC power costs.xls Chart 2_4 31E Reg Asset  Liab and EXH D" xfId="11551"/>
    <cellStyle name="_VC 6.15.06 update on 06GRC power costs.xls Chart 2_4 31E Reg Asset  Liab and EXH D _ Aug 10 Filing (2)" xfId="11552"/>
    <cellStyle name="_VC 6.15.06 update on 06GRC power costs.xls Chart 2_4 31E Reg Asset  Liab and EXH D _ Aug 10 Filing (2) 2" xfId="11553"/>
    <cellStyle name="_VC 6.15.06 update on 06GRC power costs.xls Chart 2_4 31E Reg Asset  Liab and EXH D 2" xfId="11554"/>
    <cellStyle name="_VC 6.15.06 update on 06GRC power costs.xls Chart 2_4 31E Reg Asset  Liab and EXH D 3" xfId="11555"/>
    <cellStyle name="_VC 6.15.06 update on 06GRC power costs.xls Chart 2_4 32 Regulatory Assets and Liabilities  7 06- Exhibit D" xfId="11556"/>
    <cellStyle name="_VC 6.15.06 update on 06GRC power costs.xls Chart 2_4 32 Regulatory Assets and Liabilities  7 06- Exhibit D 2" xfId="11557"/>
    <cellStyle name="_VC 6.15.06 update on 06GRC power costs.xls Chart 2_4 32 Regulatory Assets and Liabilities  7 06- Exhibit D 2 2" xfId="11558"/>
    <cellStyle name="_VC 6.15.06 update on 06GRC power costs.xls Chart 2_4 32 Regulatory Assets and Liabilities  7 06- Exhibit D 3" xfId="11559"/>
    <cellStyle name="_VC 6.15.06 update on 06GRC power costs.xls Chart 2_4 32 Regulatory Assets and Liabilities  7 06- Exhibit D 3 2" xfId="11560"/>
    <cellStyle name="_VC 6.15.06 update on 06GRC power costs.xls Chart 2_4 32 Regulatory Assets and Liabilities  7 06- Exhibit D 4" xfId="11561"/>
    <cellStyle name="_VC 6.15.06 update on 06GRC power costs.xls Chart 2_4 32 Regulatory Assets and Liabilities  7 06- Exhibit D_DEM-WP(C) ENERG10C--ctn Mid-C_042010 2010GRC" xfId="11562"/>
    <cellStyle name="_VC 6.15.06 update on 06GRC power costs.xls Chart 2_4 32 Regulatory Assets and Liabilities  7 06- Exhibit D_DEM-WP(C) ENERG10C--ctn Mid-C_042010 2010GRC 2" xfId="11563"/>
    <cellStyle name="_VC 6.15.06 update on 06GRC power costs.xls Chart 2_4 32 Regulatory Assets and Liabilities  7 06- Exhibit D_NIM Summary" xfId="11564"/>
    <cellStyle name="_VC 6.15.06 update on 06GRC power costs.xls Chart 2_4 32 Regulatory Assets and Liabilities  7 06- Exhibit D_NIM Summary 2" xfId="11565"/>
    <cellStyle name="_VC 6.15.06 update on 06GRC power costs.xls Chart 2_4 32 Regulatory Assets and Liabilities  7 06- Exhibit D_NIM Summary 2 2" xfId="11566"/>
    <cellStyle name="_VC 6.15.06 update on 06GRC power costs.xls Chart 2_4 32 Regulatory Assets and Liabilities  7 06- Exhibit D_NIM Summary 3" xfId="11567"/>
    <cellStyle name="_VC 6.15.06 update on 06GRC power costs.xls Chart 2_4 32 Regulatory Assets and Liabilities  7 06- Exhibit D_NIM Summary 3 2" xfId="11568"/>
    <cellStyle name="_VC 6.15.06 update on 06GRC power costs.xls Chart 2_4 32 Regulatory Assets and Liabilities  7 06- Exhibit D_NIM Summary 4" xfId="11569"/>
    <cellStyle name="_VC 6.15.06 update on 06GRC power costs.xls Chart 2_4 32 Regulatory Assets and Liabilities  7 06- Exhibit D_NIM Summary_DEM-WP(C) ENERG10C--ctn Mid-C_042010 2010GRC" xfId="11570"/>
    <cellStyle name="_VC 6.15.06 update on 06GRC power costs.xls Chart 2_4 32 Regulatory Assets and Liabilities  7 06- Exhibit D_NIM Summary_DEM-WP(C) ENERG10C--ctn Mid-C_042010 2010GRC 2" xfId="11571"/>
    <cellStyle name="_VC 6.15.06 update on 06GRC power costs.xls Chart 2_AURORA Total New" xfId="11572"/>
    <cellStyle name="_VC 6.15.06 update on 06GRC power costs.xls Chart 2_AURORA Total New 2" xfId="11573"/>
    <cellStyle name="_VC 6.15.06 update on 06GRC power costs.xls Chart 2_AURORA Total New 2 2" xfId="11574"/>
    <cellStyle name="_VC 6.15.06 update on 06GRC power costs.xls Chart 2_AURORA Total New 3" xfId="11575"/>
    <cellStyle name="_VC 6.15.06 update on 06GRC power costs.xls Chart 2_Book2" xfId="11576"/>
    <cellStyle name="_VC 6.15.06 update on 06GRC power costs.xls Chart 2_Book2 2" xfId="11577"/>
    <cellStyle name="_VC 6.15.06 update on 06GRC power costs.xls Chart 2_Book2 2 2" xfId="11578"/>
    <cellStyle name="_VC 6.15.06 update on 06GRC power costs.xls Chart 2_Book2 3" xfId="11579"/>
    <cellStyle name="_VC 6.15.06 update on 06GRC power costs.xls Chart 2_Book2 3 2" xfId="11580"/>
    <cellStyle name="_VC 6.15.06 update on 06GRC power costs.xls Chart 2_Book2 4" xfId="11581"/>
    <cellStyle name="_VC 6.15.06 update on 06GRC power costs.xls Chart 2_Book2_Adj Bench DR 3 for Initial Briefs (Electric)" xfId="11582"/>
    <cellStyle name="_VC 6.15.06 update on 06GRC power costs.xls Chart 2_Book2_Adj Bench DR 3 for Initial Briefs (Electric) 2" xfId="11583"/>
    <cellStyle name="_VC 6.15.06 update on 06GRC power costs.xls Chart 2_Book2_Adj Bench DR 3 for Initial Briefs (Electric) 2 2" xfId="11584"/>
    <cellStyle name="_VC 6.15.06 update on 06GRC power costs.xls Chart 2_Book2_Adj Bench DR 3 for Initial Briefs (Electric) 3" xfId="11585"/>
    <cellStyle name="_VC 6.15.06 update on 06GRC power costs.xls Chart 2_Book2_Adj Bench DR 3 for Initial Briefs (Electric) 3 2" xfId="11586"/>
    <cellStyle name="_VC 6.15.06 update on 06GRC power costs.xls Chart 2_Book2_Adj Bench DR 3 for Initial Briefs (Electric) 4" xfId="11587"/>
    <cellStyle name="_VC 6.15.06 update on 06GRC power costs.xls Chart 2_Book2_Adj Bench DR 3 for Initial Briefs (Electric)_DEM-WP(C) ENERG10C--ctn Mid-C_042010 2010GRC" xfId="11588"/>
    <cellStyle name="_VC 6.15.06 update on 06GRC power costs.xls Chart 2_Book2_Adj Bench DR 3 for Initial Briefs (Electric)_DEM-WP(C) ENERG10C--ctn Mid-C_042010 2010GRC 2" xfId="11589"/>
    <cellStyle name="_VC 6.15.06 update on 06GRC power costs.xls Chart 2_Book2_DEM-WP(C) ENERG10C--ctn Mid-C_042010 2010GRC" xfId="11590"/>
    <cellStyle name="_VC 6.15.06 update on 06GRC power costs.xls Chart 2_Book2_DEM-WP(C) ENERG10C--ctn Mid-C_042010 2010GRC 2" xfId="11591"/>
    <cellStyle name="_VC 6.15.06 update on 06GRC power costs.xls Chart 2_Book2_Electric Rev Req Model (2009 GRC) Rebuttal" xfId="11592"/>
    <cellStyle name="_VC 6.15.06 update on 06GRC power costs.xls Chart 2_Book2_Electric Rev Req Model (2009 GRC) Rebuttal 2" xfId="11593"/>
    <cellStyle name="_VC 6.15.06 update on 06GRC power costs.xls Chart 2_Book2_Electric Rev Req Model (2009 GRC) Rebuttal 2 2" xfId="11594"/>
    <cellStyle name="_VC 6.15.06 update on 06GRC power costs.xls Chart 2_Book2_Electric Rev Req Model (2009 GRC) Rebuttal 3" xfId="11595"/>
    <cellStyle name="_VC 6.15.06 update on 06GRC power costs.xls Chart 2_Book2_Electric Rev Req Model (2009 GRC) Rebuttal REmoval of New  WH Solar AdjustMI" xfId="11596"/>
    <cellStyle name="_VC 6.15.06 update on 06GRC power costs.xls Chart 2_Book2_Electric Rev Req Model (2009 GRC) Rebuttal REmoval of New  WH Solar AdjustMI 2" xfId="11597"/>
    <cellStyle name="_VC 6.15.06 update on 06GRC power costs.xls Chart 2_Book2_Electric Rev Req Model (2009 GRC) Rebuttal REmoval of New  WH Solar AdjustMI 2 2" xfId="11598"/>
    <cellStyle name="_VC 6.15.06 update on 06GRC power costs.xls Chart 2_Book2_Electric Rev Req Model (2009 GRC) Rebuttal REmoval of New  WH Solar AdjustMI 3" xfId="11599"/>
    <cellStyle name="_VC 6.15.06 update on 06GRC power costs.xls Chart 2_Book2_Electric Rev Req Model (2009 GRC) Rebuttal REmoval of New  WH Solar AdjustMI 3 2" xfId="11600"/>
    <cellStyle name="_VC 6.15.06 update on 06GRC power costs.xls Chart 2_Book2_Electric Rev Req Model (2009 GRC) Rebuttal REmoval of New  WH Solar AdjustMI 4" xfId="11601"/>
    <cellStyle name="_VC 6.15.06 update on 06GRC power costs.xls Chart 2_Book2_Electric Rev Req Model (2009 GRC) Rebuttal REmoval of New  WH Solar AdjustMI_DEM-WP(C) ENERG10C--ctn Mid-C_042010 2010GRC" xfId="11602"/>
    <cellStyle name="_VC 6.15.06 update on 06GRC power costs.xls Chart 2_Book2_Electric Rev Req Model (2009 GRC) Rebuttal REmoval of New  WH Solar AdjustMI_DEM-WP(C) ENERG10C--ctn Mid-C_042010 2010GRC 2" xfId="11603"/>
    <cellStyle name="_VC 6.15.06 update on 06GRC power costs.xls Chart 2_Book2_Electric Rev Req Model (2009 GRC) Revised 01-18-2010" xfId="11604"/>
    <cellStyle name="_VC 6.15.06 update on 06GRC power costs.xls Chart 2_Book2_Electric Rev Req Model (2009 GRC) Revised 01-18-2010 2" xfId="11605"/>
    <cellStyle name="_VC 6.15.06 update on 06GRC power costs.xls Chart 2_Book2_Electric Rev Req Model (2009 GRC) Revised 01-18-2010 2 2" xfId="11606"/>
    <cellStyle name="_VC 6.15.06 update on 06GRC power costs.xls Chart 2_Book2_Electric Rev Req Model (2009 GRC) Revised 01-18-2010 3" xfId="11607"/>
    <cellStyle name="_VC 6.15.06 update on 06GRC power costs.xls Chart 2_Book2_Electric Rev Req Model (2009 GRC) Revised 01-18-2010 3 2" xfId="11608"/>
    <cellStyle name="_VC 6.15.06 update on 06GRC power costs.xls Chart 2_Book2_Electric Rev Req Model (2009 GRC) Revised 01-18-2010 4" xfId="11609"/>
    <cellStyle name="_VC 6.15.06 update on 06GRC power costs.xls Chart 2_Book2_Electric Rev Req Model (2009 GRC) Revised 01-18-2010_DEM-WP(C) ENERG10C--ctn Mid-C_042010 2010GRC" xfId="11610"/>
    <cellStyle name="_VC 6.15.06 update on 06GRC power costs.xls Chart 2_Book2_Electric Rev Req Model (2009 GRC) Revised 01-18-2010_DEM-WP(C) ENERG10C--ctn Mid-C_042010 2010GRC 2" xfId="11611"/>
    <cellStyle name="_VC 6.15.06 update on 06GRC power costs.xls Chart 2_Book2_Final Order Electric EXHIBIT A-1" xfId="11612"/>
    <cellStyle name="_VC 6.15.06 update on 06GRC power costs.xls Chart 2_Book2_Final Order Electric EXHIBIT A-1 2" xfId="11613"/>
    <cellStyle name="_VC 6.15.06 update on 06GRC power costs.xls Chart 2_Book2_Final Order Electric EXHIBIT A-1 2 2" xfId="11614"/>
    <cellStyle name="_VC 6.15.06 update on 06GRC power costs.xls Chart 2_Book2_Final Order Electric EXHIBIT A-1 3" xfId="11615"/>
    <cellStyle name="_VC 6.15.06 update on 06GRC power costs.xls Chart 2_Book4" xfId="11616"/>
    <cellStyle name="_VC 6.15.06 update on 06GRC power costs.xls Chart 2_Book4 2" xfId="11617"/>
    <cellStyle name="_VC 6.15.06 update on 06GRC power costs.xls Chart 2_Book4 2 2" xfId="11618"/>
    <cellStyle name="_VC 6.15.06 update on 06GRC power costs.xls Chart 2_Book4 3" xfId="11619"/>
    <cellStyle name="_VC 6.15.06 update on 06GRC power costs.xls Chart 2_Book4 3 2" xfId="11620"/>
    <cellStyle name="_VC 6.15.06 update on 06GRC power costs.xls Chart 2_Book4 4" xfId="11621"/>
    <cellStyle name="_VC 6.15.06 update on 06GRC power costs.xls Chart 2_Book4_DEM-WP(C) ENERG10C--ctn Mid-C_042010 2010GRC" xfId="11622"/>
    <cellStyle name="_VC 6.15.06 update on 06GRC power costs.xls Chart 2_Book4_DEM-WP(C) ENERG10C--ctn Mid-C_042010 2010GRC 2" xfId="11623"/>
    <cellStyle name="_VC 6.15.06 update on 06GRC power costs.xls Chart 2_Book9" xfId="11624"/>
    <cellStyle name="_VC 6.15.06 update on 06GRC power costs.xls Chart 2_Book9 2" xfId="11625"/>
    <cellStyle name="_VC 6.15.06 update on 06GRC power costs.xls Chart 2_Book9 2 2" xfId="11626"/>
    <cellStyle name="_VC 6.15.06 update on 06GRC power costs.xls Chart 2_Book9 3" xfId="11627"/>
    <cellStyle name="_VC 6.15.06 update on 06GRC power costs.xls Chart 2_Book9 3 2" xfId="11628"/>
    <cellStyle name="_VC 6.15.06 update on 06GRC power costs.xls Chart 2_Book9 4" xfId="11629"/>
    <cellStyle name="_VC 6.15.06 update on 06GRC power costs.xls Chart 2_Book9_DEM-WP(C) ENERG10C--ctn Mid-C_042010 2010GRC" xfId="11630"/>
    <cellStyle name="_VC 6.15.06 update on 06GRC power costs.xls Chart 2_Book9_DEM-WP(C) ENERG10C--ctn Mid-C_042010 2010GRC 2" xfId="11631"/>
    <cellStyle name="_VC 6.15.06 update on 06GRC power costs.xls Chart 2_Chelan PUD Power Costs (8-10)" xfId="11632"/>
    <cellStyle name="_VC 6.15.06 update on 06GRC power costs.xls Chart 2_Chelan PUD Power Costs (8-10) 2" xfId="11633"/>
    <cellStyle name="_VC 6.15.06 update on 06GRC power costs.xls Chart 2_DEM-WP(C) Chelan Power Costs" xfId="11634"/>
    <cellStyle name="_VC 6.15.06 update on 06GRC power costs.xls Chart 2_DEM-WP(C) Chelan Power Costs 2" xfId="11635"/>
    <cellStyle name="_VC 6.15.06 update on 06GRC power costs.xls Chart 2_DEM-WP(C) ENERG10C--ctn Mid-C_042010 2010GRC" xfId="11636"/>
    <cellStyle name="_VC 6.15.06 update on 06GRC power costs.xls Chart 2_DEM-WP(C) ENERG10C--ctn Mid-C_042010 2010GRC 2" xfId="11637"/>
    <cellStyle name="_VC 6.15.06 update on 06GRC power costs.xls Chart 2_DEM-WP(C) Gas Transport 2010GRC" xfId="11638"/>
    <cellStyle name="_VC 6.15.06 update on 06GRC power costs.xls Chart 2_DEM-WP(C) Gas Transport 2010GRC 2" xfId="11639"/>
    <cellStyle name="_VC 6.15.06 update on 06GRC power costs.xls Chart 2_Exh A-1 resulting from UE-112050 effective Jan 1 2012" xfId="11640"/>
    <cellStyle name="_VC 6.15.06 update on 06GRC power costs.xls Chart 2_Exh A-1 resulting from UE-112050 effective Jan 1 2012 2" xfId="11641"/>
    <cellStyle name="_VC 6.15.06 update on 06GRC power costs.xls Chart 2_Exhibit A-1 effective 4-1-11 fr S Free 12-11" xfId="11642"/>
    <cellStyle name="_VC 6.15.06 update on 06GRC power costs.xls Chart 2_Exhibit A-1 effective 4-1-11 fr S Free 12-11 2" xfId="11643"/>
    <cellStyle name="_VC 6.15.06 update on 06GRC power costs.xls Chart 2_Mint Farm Generation BPA" xfId="11644"/>
    <cellStyle name="_VC 6.15.06 update on 06GRC power costs.xls Chart 2_NIM Summary" xfId="11645"/>
    <cellStyle name="_VC 6.15.06 update on 06GRC power costs.xls Chart 2_NIM Summary 09GRC" xfId="11646"/>
    <cellStyle name="_VC 6.15.06 update on 06GRC power costs.xls Chart 2_NIM Summary 09GRC 2" xfId="11647"/>
    <cellStyle name="_VC 6.15.06 update on 06GRC power costs.xls Chart 2_NIM Summary 09GRC 2 2" xfId="11648"/>
    <cellStyle name="_VC 6.15.06 update on 06GRC power costs.xls Chart 2_NIM Summary 09GRC 3" xfId="11649"/>
    <cellStyle name="_VC 6.15.06 update on 06GRC power costs.xls Chart 2_NIM Summary 09GRC 3 2" xfId="11650"/>
    <cellStyle name="_VC 6.15.06 update on 06GRC power costs.xls Chart 2_NIM Summary 09GRC 4" xfId="11651"/>
    <cellStyle name="_VC 6.15.06 update on 06GRC power costs.xls Chart 2_NIM Summary 09GRC_DEM-WP(C) ENERG10C--ctn Mid-C_042010 2010GRC" xfId="11652"/>
    <cellStyle name="_VC 6.15.06 update on 06GRC power costs.xls Chart 2_NIM Summary 09GRC_DEM-WP(C) ENERG10C--ctn Mid-C_042010 2010GRC 2" xfId="11653"/>
    <cellStyle name="_VC 6.15.06 update on 06GRC power costs.xls Chart 2_NIM Summary 10" xfId="11654"/>
    <cellStyle name="_VC 6.15.06 update on 06GRC power costs.xls Chart 2_NIM Summary 10 2" xfId="11655"/>
    <cellStyle name="_VC 6.15.06 update on 06GRC power costs.xls Chart 2_NIM Summary 11" xfId="11656"/>
    <cellStyle name="_VC 6.15.06 update on 06GRC power costs.xls Chart 2_NIM Summary 11 2" xfId="11657"/>
    <cellStyle name="_VC 6.15.06 update on 06GRC power costs.xls Chart 2_NIM Summary 12" xfId="11658"/>
    <cellStyle name="_VC 6.15.06 update on 06GRC power costs.xls Chart 2_NIM Summary 12 2" xfId="11659"/>
    <cellStyle name="_VC 6.15.06 update on 06GRC power costs.xls Chart 2_NIM Summary 13" xfId="11660"/>
    <cellStyle name="_VC 6.15.06 update on 06GRC power costs.xls Chart 2_NIM Summary 13 2" xfId="11661"/>
    <cellStyle name="_VC 6.15.06 update on 06GRC power costs.xls Chart 2_NIM Summary 14" xfId="11662"/>
    <cellStyle name="_VC 6.15.06 update on 06GRC power costs.xls Chart 2_NIM Summary 14 2" xfId="11663"/>
    <cellStyle name="_VC 6.15.06 update on 06GRC power costs.xls Chart 2_NIM Summary 15" xfId="11664"/>
    <cellStyle name="_VC 6.15.06 update on 06GRC power costs.xls Chart 2_NIM Summary 15 2" xfId="11665"/>
    <cellStyle name="_VC 6.15.06 update on 06GRC power costs.xls Chart 2_NIM Summary 16" xfId="11666"/>
    <cellStyle name="_VC 6.15.06 update on 06GRC power costs.xls Chart 2_NIM Summary 16 2" xfId="11667"/>
    <cellStyle name="_VC 6.15.06 update on 06GRC power costs.xls Chart 2_NIM Summary 17" xfId="11668"/>
    <cellStyle name="_VC 6.15.06 update on 06GRC power costs.xls Chart 2_NIM Summary 17 2" xfId="11669"/>
    <cellStyle name="_VC 6.15.06 update on 06GRC power costs.xls Chart 2_NIM Summary 18" xfId="11670"/>
    <cellStyle name="_VC 6.15.06 update on 06GRC power costs.xls Chart 2_NIM Summary 18 2" xfId="11671"/>
    <cellStyle name="_VC 6.15.06 update on 06GRC power costs.xls Chart 2_NIM Summary 19" xfId="11672"/>
    <cellStyle name="_VC 6.15.06 update on 06GRC power costs.xls Chart 2_NIM Summary 19 2" xfId="11673"/>
    <cellStyle name="_VC 6.15.06 update on 06GRC power costs.xls Chart 2_NIM Summary 2" xfId="11674"/>
    <cellStyle name="_VC 6.15.06 update on 06GRC power costs.xls Chart 2_NIM Summary 2 2" xfId="11675"/>
    <cellStyle name="_VC 6.15.06 update on 06GRC power costs.xls Chart 2_NIM Summary 20" xfId="11676"/>
    <cellStyle name="_VC 6.15.06 update on 06GRC power costs.xls Chart 2_NIM Summary 20 2" xfId="11677"/>
    <cellStyle name="_VC 6.15.06 update on 06GRC power costs.xls Chart 2_NIM Summary 21" xfId="11678"/>
    <cellStyle name="_VC 6.15.06 update on 06GRC power costs.xls Chart 2_NIM Summary 21 2" xfId="11679"/>
    <cellStyle name="_VC 6.15.06 update on 06GRC power costs.xls Chart 2_NIM Summary 22" xfId="11680"/>
    <cellStyle name="_VC 6.15.06 update on 06GRC power costs.xls Chart 2_NIM Summary 22 2" xfId="11681"/>
    <cellStyle name="_VC 6.15.06 update on 06GRC power costs.xls Chart 2_NIM Summary 23" xfId="11682"/>
    <cellStyle name="_VC 6.15.06 update on 06GRC power costs.xls Chart 2_NIM Summary 23 2" xfId="11683"/>
    <cellStyle name="_VC 6.15.06 update on 06GRC power costs.xls Chart 2_NIM Summary 24" xfId="11684"/>
    <cellStyle name="_VC 6.15.06 update on 06GRC power costs.xls Chart 2_NIM Summary 24 2" xfId="11685"/>
    <cellStyle name="_VC 6.15.06 update on 06GRC power costs.xls Chart 2_NIM Summary 25" xfId="11686"/>
    <cellStyle name="_VC 6.15.06 update on 06GRC power costs.xls Chart 2_NIM Summary 25 2" xfId="11687"/>
    <cellStyle name="_VC 6.15.06 update on 06GRC power costs.xls Chart 2_NIM Summary 26" xfId="11688"/>
    <cellStyle name="_VC 6.15.06 update on 06GRC power costs.xls Chart 2_NIM Summary 26 2" xfId="11689"/>
    <cellStyle name="_VC 6.15.06 update on 06GRC power costs.xls Chart 2_NIM Summary 27" xfId="11690"/>
    <cellStyle name="_VC 6.15.06 update on 06GRC power costs.xls Chart 2_NIM Summary 27 2" xfId="11691"/>
    <cellStyle name="_VC 6.15.06 update on 06GRC power costs.xls Chart 2_NIM Summary 28" xfId="11692"/>
    <cellStyle name="_VC 6.15.06 update on 06GRC power costs.xls Chart 2_NIM Summary 28 2" xfId="11693"/>
    <cellStyle name="_VC 6.15.06 update on 06GRC power costs.xls Chart 2_NIM Summary 29" xfId="11694"/>
    <cellStyle name="_VC 6.15.06 update on 06GRC power costs.xls Chart 2_NIM Summary 29 2" xfId="11695"/>
    <cellStyle name="_VC 6.15.06 update on 06GRC power costs.xls Chart 2_NIM Summary 3" xfId="11696"/>
    <cellStyle name="_VC 6.15.06 update on 06GRC power costs.xls Chart 2_NIM Summary 3 2" xfId="11697"/>
    <cellStyle name="_VC 6.15.06 update on 06GRC power costs.xls Chart 2_NIM Summary 30" xfId="11698"/>
    <cellStyle name="_VC 6.15.06 update on 06GRC power costs.xls Chart 2_NIM Summary 30 2" xfId="11699"/>
    <cellStyle name="_VC 6.15.06 update on 06GRC power costs.xls Chart 2_NIM Summary 31" xfId="11700"/>
    <cellStyle name="_VC 6.15.06 update on 06GRC power costs.xls Chart 2_NIM Summary 31 2" xfId="11701"/>
    <cellStyle name="_VC 6.15.06 update on 06GRC power costs.xls Chart 2_NIM Summary 32" xfId="11702"/>
    <cellStyle name="_VC 6.15.06 update on 06GRC power costs.xls Chart 2_NIM Summary 32 2" xfId="11703"/>
    <cellStyle name="_VC 6.15.06 update on 06GRC power costs.xls Chart 2_NIM Summary 33" xfId="11704"/>
    <cellStyle name="_VC 6.15.06 update on 06GRC power costs.xls Chart 2_NIM Summary 33 2" xfId="11705"/>
    <cellStyle name="_VC 6.15.06 update on 06GRC power costs.xls Chart 2_NIM Summary 34" xfId="11706"/>
    <cellStyle name="_VC 6.15.06 update on 06GRC power costs.xls Chart 2_NIM Summary 34 2" xfId="11707"/>
    <cellStyle name="_VC 6.15.06 update on 06GRC power costs.xls Chart 2_NIM Summary 35" xfId="11708"/>
    <cellStyle name="_VC 6.15.06 update on 06GRC power costs.xls Chart 2_NIM Summary 35 2" xfId="11709"/>
    <cellStyle name="_VC 6.15.06 update on 06GRC power costs.xls Chart 2_NIM Summary 36" xfId="11710"/>
    <cellStyle name="_VC 6.15.06 update on 06GRC power costs.xls Chart 2_NIM Summary 36 2" xfId="11711"/>
    <cellStyle name="_VC 6.15.06 update on 06GRC power costs.xls Chart 2_NIM Summary 37" xfId="11712"/>
    <cellStyle name="_VC 6.15.06 update on 06GRC power costs.xls Chart 2_NIM Summary 37 2" xfId="11713"/>
    <cellStyle name="_VC 6.15.06 update on 06GRC power costs.xls Chart 2_NIM Summary 38" xfId="11714"/>
    <cellStyle name="_VC 6.15.06 update on 06GRC power costs.xls Chart 2_NIM Summary 38 2" xfId="11715"/>
    <cellStyle name="_VC 6.15.06 update on 06GRC power costs.xls Chart 2_NIM Summary 39" xfId="11716"/>
    <cellStyle name="_VC 6.15.06 update on 06GRC power costs.xls Chart 2_NIM Summary 39 2" xfId="11717"/>
    <cellStyle name="_VC 6.15.06 update on 06GRC power costs.xls Chart 2_NIM Summary 4" xfId="11718"/>
    <cellStyle name="_VC 6.15.06 update on 06GRC power costs.xls Chart 2_NIM Summary 4 2" xfId="11719"/>
    <cellStyle name="_VC 6.15.06 update on 06GRC power costs.xls Chart 2_NIM Summary 40" xfId="11720"/>
    <cellStyle name="_VC 6.15.06 update on 06GRC power costs.xls Chart 2_NIM Summary 40 2" xfId="11721"/>
    <cellStyle name="_VC 6.15.06 update on 06GRC power costs.xls Chart 2_NIM Summary 41" xfId="11722"/>
    <cellStyle name="_VC 6.15.06 update on 06GRC power costs.xls Chart 2_NIM Summary 41 2" xfId="11723"/>
    <cellStyle name="_VC 6.15.06 update on 06GRC power costs.xls Chart 2_NIM Summary 42" xfId="11724"/>
    <cellStyle name="_VC 6.15.06 update on 06GRC power costs.xls Chart 2_NIM Summary 42 2" xfId="11725"/>
    <cellStyle name="_VC 6.15.06 update on 06GRC power costs.xls Chart 2_NIM Summary 43" xfId="11726"/>
    <cellStyle name="_VC 6.15.06 update on 06GRC power costs.xls Chart 2_NIM Summary 43 2" xfId="11727"/>
    <cellStyle name="_VC 6.15.06 update on 06GRC power costs.xls Chart 2_NIM Summary 44" xfId="11728"/>
    <cellStyle name="_VC 6.15.06 update on 06GRC power costs.xls Chart 2_NIM Summary 44 2" xfId="11729"/>
    <cellStyle name="_VC 6.15.06 update on 06GRC power costs.xls Chart 2_NIM Summary 45" xfId="11730"/>
    <cellStyle name="_VC 6.15.06 update on 06GRC power costs.xls Chart 2_NIM Summary 45 2" xfId="11731"/>
    <cellStyle name="_VC 6.15.06 update on 06GRC power costs.xls Chart 2_NIM Summary 46" xfId="11732"/>
    <cellStyle name="_VC 6.15.06 update on 06GRC power costs.xls Chart 2_NIM Summary 46 2" xfId="11733"/>
    <cellStyle name="_VC 6.15.06 update on 06GRC power costs.xls Chart 2_NIM Summary 47" xfId="11734"/>
    <cellStyle name="_VC 6.15.06 update on 06GRC power costs.xls Chart 2_NIM Summary 47 2" xfId="11735"/>
    <cellStyle name="_VC 6.15.06 update on 06GRC power costs.xls Chart 2_NIM Summary 48" xfId="11736"/>
    <cellStyle name="_VC 6.15.06 update on 06GRC power costs.xls Chart 2_NIM Summary 49" xfId="11737"/>
    <cellStyle name="_VC 6.15.06 update on 06GRC power costs.xls Chart 2_NIM Summary 5" xfId="11738"/>
    <cellStyle name="_VC 6.15.06 update on 06GRC power costs.xls Chart 2_NIM Summary 5 2" xfId="11739"/>
    <cellStyle name="_VC 6.15.06 update on 06GRC power costs.xls Chart 2_NIM Summary 50" xfId="11740"/>
    <cellStyle name="_VC 6.15.06 update on 06GRC power costs.xls Chart 2_NIM Summary 51" xfId="11741"/>
    <cellStyle name="_VC 6.15.06 update on 06GRC power costs.xls Chart 2_NIM Summary 52" xfId="11742"/>
    <cellStyle name="_VC 6.15.06 update on 06GRC power costs.xls Chart 2_NIM Summary 6" xfId="11743"/>
    <cellStyle name="_VC 6.15.06 update on 06GRC power costs.xls Chart 2_NIM Summary 6 2" xfId="11744"/>
    <cellStyle name="_VC 6.15.06 update on 06GRC power costs.xls Chart 2_NIM Summary 7" xfId="11745"/>
    <cellStyle name="_VC 6.15.06 update on 06GRC power costs.xls Chart 2_NIM Summary 7 2" xfId="11746"/>
    <cellStyle name="_VC 6.15.06 update on 06GRC power costs.xls Chart 2_NIM Summary 8" xfId="11747"/>
    <cellStyle name="_VC 6.15.06 update on 06GRC power costs.xls Chart 2_NIM Summary 8 2" xfId="11748"/>
    <cellStyle name="_VC 6.15.06 update on 06GRC power costs.xls Chart 2_NIM Summary 9" xfId="11749"/>
    <cellStyle name="_VC 6.15.06 update on 06GRC power costs.xls Chart 2_NIM Summary 9 2" xfId="11750"/>
    <cellStyle name="_VC 6.15.06 update on 06GRC power costs.xls Chart 2_NIM Summary_DEM-WP(C) ENERG10C--ctn Mid-C_042010 2010GRC" xfId="11751"/>
    <cellStyle name="_VC 6.15.06 update on 06GRC power costs.xls Chart 2_NIM Summary_DEM-WP(C) ENERG10C--ctn Mid-C_042010 2010GRC 2" xfId="11752"/>
    <cellStyle name="_VC 6.15.06 update on 06GRC power costs.xls Chart 2_PCA 10 -  Exhibit D Dec 2011" xfId="11753"/>
    <cellStyle name="_VC 6.15.06 update on 06GRC power costs.xls Chart 2_PCA 10 -  Exhibit D Dec 2011 2" xfId="11754"/>
    <cellStyle name="_VC 6.15.06 update on 06GRC power costs.xls Chart 2_PCA 10 -  Exhibit D from A Kellogg Jan 2011" xfId="11755"/>
    <cellStyle name="_VC 6.15.06 update on 06GRC power costs.xls Chart 2_PCA 10 -  Exhibit D from A Kellogg Jan 2011 2" xfId="11756"/>
    <cellStyle name="_VC 6.15.06 update on 06GRC power costs.xls Chart 2_PCA 10 -  Exhibit D from A Kellogg July 2011" xfId="11757"/>
    <cellStyle name="_VC 6.15.06 update on 06GRC power costs.xls Chart 2_PCA 10 -  Exhibit D from A Kellogg July 2011 2" xfId="11758"/>
    <cellStyle name="_VC 6.15.06 update on 06GRC power costs.xls Chart 2_PCA 10 -  Exhibit D from S Free Rcv'd 12-11" xfId="11759"/>
    <cellStyle name="_VC 6.15.06 update on 06GRC power costs.xls Chart 2_PCA 10 -  Exhibit D from S Free Rcv'd 12-11 2" xfId="11760"/>
    <cellStyle name="_VC 6.15.06 update on 06GRC power costs.xls Chart 2_PCA 11 -  Exhibit D Jan 2012 fr A Kellogg" xfId="11761"/>
    <cellStyle name="_VC 6.15.06 update on 06GRC power costs.xls Chart 2_PCA 11 -  Exhibit D Jan 2012 fr A Kellogg 2" xfId="11762"/>
    <cellStyle name="_VC 6.15.06 update on 06GRC power costs.xls Chart 2_PCA 11 -  Exhibit D Jan 2012 WF" xfId="11763"/>
    <cellStyle name="_VC 6.15.06 update on 06GRC power costs.xls Chart 2_PCA 11 -  Exhibit D Jan 2012 WF 2" xfId="11764"/>
    <cellStyle name="_VC 6.15.06 update on 06GRC power costs.xls Chart 2_PCA 9 -  Exhibit D April 2010" xfId="11765"/>
    <cellStyle name="_VC 6.15.06 update on 06GRC power costs.xls Chart 2_PCA 9 -  Exhibit D April 2010 (3)" xfId="11766"/>
    <cellStyle name="_VC 6.15.06 update on 06GRC power costs.xls Chart 2_PCA 9 -  Exhibit D April 2010 (3) 2" xfId="11767"/>
    <cellStyle name="_VC 6.15.06 update on 06GRC power costs.xls Chart 2_PCA 9 -  Exhibit D April 2010 (3) 2 2" xfId="11768"/>
    <cellStyle name="_VC 6.15.06 update on 06GRC power costs.xls Chart 2_PCA 9 -  Exhibit D April 2010 (3) 3" xfId="11769"/>
    <cellStyle name="_VC 6.15.06 update on 06GRC power costs.xls Chart 2_PCA 9 -  Exhibit D April 2010 (3) 3 2" xfId="11770"/>
    <cellStyle name="_VC 6.15.06 update on 06GRC power costs.xls Chart 2_PCA 9 -  Exhibit D April 2010 (3) 4" xfId="11771"/>
    <cellStyle name="_VC 6.15.06 update on 06GRC power costs.xls Chart 2_PCA 9 -  Exhibit D April 2010 (3)_DEM-WP(C) ENERG10C--ctn Mid-C_042010 2010GRC" xfId="11772"/>
    <cellStyle name="_VC 6.15.06 update on 06GRC power costs.xls Chart 2_PCA 9 -  Exhibit D April 2010 (3)_DEM-WP(C) ENERG10C--ctn Mid-C_042010 2010GRC 2" xfId="11773"/>
    <cellStyle name="_VC 6.15.06 update on 06GRC power costs.xls Chart 2_PCA 9 -  Exhibit D April 2010 2" xfId="11774"/>
    <cellStyle name="_VC 6.15.06 update on 06GRC power costs.xls Chart 2_PCA 9 -  Exhibit D April 2010 2 2" xfId="11775"/>
    <cellStyle name="_VC 6.15.06 update on 06GRC power costs.xls Chart 2_PCA 9 -  Exhibit D April 2010 3" xfId="11776"/>
    <cellStyle name="_VC 6.15.06 update on 06GRC power costs.xls Chart 2_PCA 9 -  Exhibit D April 2010 3 2" xfId="11777"/>
    <cellStyle name="_VC 6.15.06 update on 06GRC power costs.xls Chart 2_PCA 9 -  Exhibit D April 2010 4" xfId="11778"/>
    <cellStyle name="_VC 6.15.06 update on 06GRC power costs.xls Chart 2_PCA 9 -  Exhibit D April 2010 4 2" xfId="11779"/>
    <cellStyle name="_VC 6.15.06 update on 06GRC power costs.xls Chart 2_PCA 9 -  Exhibit D April 2010 5" xfId="11780"/>
    <cellStyle name="_VC 6.15.06 update on 06GRC power costs.xls Chart 2_PCA 9 -  Exhibit D April 2010 5 2" xfId="11781"/>
    <cellStyle name="_VC 6.15.06 update on 06GRC power costs.xls Chart 2_PCA 9 -  Exhibit D April 2010 6" xfId="11782"/>
    <cellStyle name="_VC 6.15.06 update on 06GRC power costs.xls Chart 2_PCA 9 -  Exhibit D April 2010 6 2" xfId="11783"/>
    <cellStyle name="_VC 6.15.06 update on 06GRC power costs.xls Chart 2_PCA 9 -  Exhibit D April 2010 7" xfId="11784"/>
    <cellStyle name="_VC 6.15.06 update on 06GRC power costs.xls Chart 2_PCA 9 -  Exhibit D Nov 2010" xfId="11785"/>
    <cellStyle name="_VC 6.15.06 update on 06GRC power costs.xls Chart 2_PCA 9 -  Exhibit D Nov 2010 2" xfId="11786"/>
    <cellStyle name="_VC 6.15.06 update on 06GRC power costs.xls Chart 2_PCA 9 -  Exhibit D Nov 2010 2 2" xfId="11787"/>
    <cellStyle name="_VC 6.15.06 update on 06GRC power costs.xls Chart 2_PCA 9 -  Exhibit D Nov 2010 3" xfId="11788"/>
    <cellStyle name="_VC 6.15.06 update on 06GRC power costs.xls Chart 2_PCA 9 - Exhibit D at August 2010" xfId="11789"/>
    <cellStyle name="_VC 6.15.06 update on 06GRC power costs.xls Chart 2_PCA 9 - Exhibit D at August 2010 2" xfId="11790"/>
    <cellStyle name="_VC 6.15.06 update on 06GRC power costs.xls Chart 2_PCA 9 - Exhibit D at August 2010 2 2" xfId="11791"/>
    <cellStyle name="_VC 6.15.06 update on 06GRC power costs.xls Chart 2_PCA 9 - Exhibit D at August 2010 3" xfId="11792"/>
    <cellStyle name="_VC 6.15.06 update on 06GRC power costs.xls Chart 2_PCA 9 - Exhibit D June 2010 GRC" xfId="11793"/>
    <cellStyle name="_VC 6.15.06 update on 06GRC power costs.xls Chart 2_PCA 9 - Exhibit D June 2010 GRC 2" xfId="11794"/>
    <cellStyle name="_VC 6.15.06 update on 06GRC power costs.xls Chart 2_PCA 9 - Exhibit D June 2010 GRC 2 2" xfId="11795"/>
    <cellStyle name="_VC 6.15.06 update on 06GRC power costs.xls Chart 2_PCA 9 - Exhibit D June 2010 GRC 3" xfId="11796"/>
    <cellStyle name="_VC 6.15.06 update on 06GRC power costs.xls Chart 2_Power Costs - Comparison bx Rbtl-Staff-Jt-PC" xfId="11797"/>
    <cellStyle name="_VC 6.15.06 update on 06GRC power costs.xls Chart 2_Power Costs - Comparison bx Rbtl-Staff-Jt-PC 2" xfId="11798"/>
    <cellStyle name="_VC 6.15.06 update on 06GRC power costs.xls Chart 2_Power Costs - Comparison bx Rbtl-Staff-Jt-PC 2 2" xfId="11799"/>
    <cellStyle name="_VC 6.15.06 update on 06GRC power costs.xls Chart 2_Power Costs - Comparison bx Rbtl-Staff-Jt-PC 3" xfId="11800"/>
    <cellStyle name="_VC 6.15.06 update on 06GRC power costs.xls Chart 2_Power Costs - Comparison bx Rbtl-Staff-Jt-PC 3 2" xfId="11801"/>
    <cellStyle name="_VC 6.15.06 update on 06GRC power costs.xls Chart 2_Power Costs - Comparison bx Rbtl-Staff-Jt-PC 4" xfId="11802"/>
    <cellStyle name="_VC 6.15.06 update on 06GRC power costs.xls Chart 2_Power Costs - Comparison bx Rbtl-Staff-Jt-PC_Adj Bench DR 3 for Initial Briefs (Electric)" xfId="11803"/>
    <cellStyle name="_VC 6.15.06 update on 06GRC power costs.xls Chart 2_Power Costs - Comparison bx Rbtl-Staff-Jt-PC_Adj Bench DR 3 for Initial Briefs (Electric) 2" xfId="11804"/>
    <cellStyle name="_VC 6.15.06 update on 06GRC power costs.xls Chart 2_Power Costs - Comparison bx Rbtl-Staff-Jt-PC_Adj Bench DR 3 for Initial Briefs (Electric) 2 2" xfId="11805"/>
    <cellStyle name="_VC 6.15.06 update on 06GRC power costs.xls Chart 2_Power Costs - Comparison bx Rbtl-Staff-Jt-PC_Adj Bench DR 3 for Initial Briefs (Electric) 3" xfId="11806"/>
    <cellStyle name="_VC 6.15.06 update on 06GRC power costs.xls Chart 2_Power Costs - Comparison bx Rbtl-Staff-Jt-PC_Adj Bench DR 3 for Initial Briefs (Electric) 3 2" xfId="11807"/>
    <cellStyle name="_VC 6.15.06 update on 06GRC power costs.xls Chart 2_Power Costs - Comparison bx Rbtl-Staff-Jt-PC_Adj Bench DR 3 for Initial Briefs (Electric) 4" xfId="11808"/>
    <cellStyle name="_VC 6.15.06 update on 06GRC power costs.xls Chart 2_Power Costs - Comparison bx Rbtl-Staff-Jt-PC_Adj Bench DR 3 for Initial Briefs (Electric)_DEM-WP(C) ENERG10C--ctn Mid-C_042010 2010GRC" xfId="11809"/>
    <cellStyle name="_VC 6.15.06 update on 06GRC power costs.xls Chart 2_Power Costs - Comparison bx Rbtl-Staff-Jt-PC_Adj Bench DR 3 for Initial Briefs (Electric)_DEM-WP(C) ENERG10C--ctn Mid-C_042010 2010GRC 2" xfId="11810"/>
    <cellStyle name="_VC 6.15.06 update on 06GRC power costs.xls Chart 2_Power Costs - Comparison bx Rbtl-Staff-Jt-PC_DEM-WP(C) ENERG10C--ctn Mid-C_042010 2010GRC" xfId="11811"/>
    <cellStyle name="_VC 6.15.06 update on 06GRC power costs.xls Chart 2_Power Costs - Comparison bx Rbtl-Staff-Jt-PC_DEM-WP(C) ENERG10C--ctn Mid-C_042010 2010GRC 2" xfId="11812"/>
    <cellStyle name="_VC 6.15.06 update on 06GRC power costs.xls Chart 2_Power Costs - Comparison bx Rbtl-Staff-Jt-PC_Electric Rev Req Model (2009 GRC) Rebuttal" xfId="11813"/>
    <cellStyle name="_VC 6.15.06 update on 06GRC power costs.xls Chart 2_Power Costs - Comparison bx Rbtl-Staff-Jt-PC_Electric Rev Req Model (2009 GRC) Rebuttal 2" xfId="11814"/>
    <cellStyle name="_VC 6.15.06 update on 06GRC power costs.xls Chart 2_Power Costs - Comparison bx Rbtl-Staff-Jt-PC_Electric Rev Req Model (2009 GRC) Rebuttal 2 2" xfId="11815"/>
    <cellStyle name="_VC 6.15.06 update on 06GRC power costs.xls Chart 2_Power Costs - Comparison bx Rbtl-Staff-Jt-PC_Electric Rev Req Model (2009 GRC) Rebuttal 3" xfId="11816"/>
    <cellStyle name="_VC 6.15.06 update on 06GRC power costs.xls Chart 2_Power Costs - Comparison bx Rbtl-Staff-Jt-PC_Electric Rev Req Model (2009 GRC) Rebuttal REmoval of New  WH Solar AdjustMI" xfId="11817"/>
    <cellStyle name="_VC 6.15.06 update on 06GRC power costs.xls Chart 2_Power Costs - Comparison bx Rbtl-Staff-Jt-PC_Electric Rev Req Model (2009 GRC) Rebuttal REmoval of New  WH Solar AdjustMI 2" xfId="11818"/>
    <cellStyle name="_VC 6.15.06 update on 06GRC power costs.xls Chart 2_Power Costs - Comparison bx Rbtl-Staff-Jt-PC_Electric Rev Req Model (2009 GRC) Rebuttal REmoval of New  WH Solar AdjustMI 2 2" xfId="11819"/>
    <cellStyle name="_VC 6.15.06 update on 06GRC power costs.xls Chart 2_Power Costs - Comparison bx Rbtl-Staff-Jt-PC_Electric Rev Req Model (2009 GRC) Rebuttal REmoval of New  WH Solar AdjustMI 3" xfId="11820"/>
    <cellStyle name="_VC 6.15.06 update on 06GRC power costs.xls Chart 2_Power Costs - Comparison bx Rbtl-Staff-Jt-PC_Electric Rev Req Model (2009 GRC) Rebuttal REmoval of New  WH Solar AdjustMI 3 2" xfId="11821"/>
    <cellStyle name="_VC 6.15.06 update on 06GRC power costs.xls Chart 2_Power Costs - Comparison bx Rbtl-Staff-Jt-PC_Electric Rev Req Model (2009 GRC) Rebuttal REmoval of New  WH Solar AdjustMI 4" xfId="11822"/>
    <cellStyle name="_VC 6.15.06 update on 06GRC power costs.xls Chart 2_Power Costs - Comparison bx Rbtl-Staff-Jt-PC_Electric Rev Req Model (2009 GRC) Rebuttal REmoval of New  WH Solar AdjustMI_DEM-WP(C) ENERG10C--ctn Mid-C_042010 2010GRC" xfId="11823"/>
    <cellStyle name="_VC 6.15.06 update on 06GRC power costs.xls Chart 2_Power Costs - Comparison bx Rbtl-Staff-Jt-PC_Electric Rev Req Model (2009 GRC) Rebuttal REmoval of New  WH Solar AdjustMI_DEM-WP(C) ENERG10C--ctn Mid-C_042010 2010GRC 2" xfId="11824"/>
    <cellStyle name="_VC 6.15.06 update on 06GRC power costs.xls Chart 2_Power Costs - Comparison bx Rbtl-Staff-Jt-PC_Electric Rev Req Model (2009 GRC) Revised 01-18-2010" xfId="11825"/>
    <cellStyle name="_VC 6.15.06 update on 06GRC power costs.xls Chart 2_Power Costs - Comparison bx Rbtl-Staff-Jt-PC_Electric Rev Req Model (2009 GRC) Revised 01-18-2010 2" xfId="11826"/>
    <cellStyle name="_VC 6.15.06 update on 06GRC power costs.xls Chart 2_Power Costs - Comparison bx Rbtl-Staff-Jt-PC_Electric Rev Req Model (2009 GRC) Revised 01-18-2010 2 2" xfId="11827"/>
    <cellStyle name="_VC 6.15.06 update on 06GRC power costs.xls Chart 2_Power Costs - Comparison bx Rbtl-Staff-Jt-PC_Electric Rev Req Model (2009 GRC) Revised 01-18-2010 3" xfId="11828"/>
    <cellStyle name="_VC 6.15.06 update on 06GRC power costs.xls Chart 2_Power Costs - Comparison bx Rbtl-Staff-Jt-PC_Electric Rev Req Model (2009 GRC) Revised 01-18-2010 3 2" xfId="11829"/>
    <cellStyle name="_VC 6.15.06 update on 06GRC power costs.xls Chart 2_Power Costs - Comparison bx Rbtl-Staff-Jt-PC_Electric Rev Req Model (2009 GRC) Revised 01-18-2010 4" xfId="11830"/>
    <cellStyle name="_VC 6.15.06 update on 06GRC power costs.xls Chart 2_Power Costs - Comparison bx Rbtl-Staff-Jt-PC_Electric Rev Req Model (2009 GRC) Revised 01-18-2010_DEM-WP(C) ENERG10C--ctn Mid-C_042010 2010GRC" xfId="11831"/>
    <cellStyle name="_VC 6.15.06 update on 06GRC power costs.xls Chart 2_Power Costs - Comparison bx Rbtl-Staff-Jt-PC_Electric Rev Req Model (2009 GRC) Revised 01-18-2010_DEM-WP(C) ENERG10C--ctn Mid-C_042010 2010GRC 2" xfId="11832"/>
    <cellStyle name="_VC 6.15.06 update on 06GRC power costs.xls Chart 2_Power Costs - Comparison bx Rbtl-Staff-Jt-PC_Final Order Electric EXHIBIT A-1" xfId="11833"/>
    <cellStyle name="_VC 6.15.06 update on 06GRC power costs.xls Chart 2_Power Costs - Comparison bx Rbtl-Staff-Jt-PC_Final Order Electric EXHIBIT A-1 2" xfId="11834"/>
    <cellStyle name="_VC 6.15.06 update on 06GRC power costs.xls Chart 2_Power Costs - Comparison bx Rbtl-Staff-Jt-PC_Final Order Electric EXHIBIT A-1 2 2" xfId="11835"/>
    <cellStyle name="_VC 6.15.06 update on 06GRC power costs.xls Chart 2_Power Costs - Comparison bx Rbtl-Staff-Jt-PC_Final Order Electric EXHIBIT A-1 3" xfId="11836"/>
    <cellStyle name="_VC 6.15.06 update on 06GRC power costs.xls Chart 2_Production Adj 4.37" xfId="21288"/>
    <cellStyle name="_VC 6.15.06 update on 06GRC power costs.xls Chart 2_Purchased Power Adj 4.03" xfId="21289"/>
    <cellStyle name="_VC 6.15.06 update on 06GRC power costs.xls Chart 2_Rebuttal Power Costs" xfId="11837"/>
    <cellStyle name="_VC 6.15.06 update on 06GRC power costs.xls Chart 2_Rebuttal Power Costs 2" xfId="11838"/>
    <cellStyle name="_VC 6.15.06 update on 06GRC power costs.xls Chart 2_Rebuttal Power Costs 2 2" xfId="11839"/>
    <cellStyle name="_VC 6.15.06 update on 06GRC power costs.xls Chart 2_Rebuttal Power Costs 3" xfId="11840"/>
    <cellStyle name="_VC 6.15.06 update on 06GRC power costs.xls Chart 2_Rebuttal Power Costs 3 2" xfId="11841"/>
    <cellStyle name="_VC 6.15.06 update on 06GRC power costs.xls Chart 2_Rebuttal Power Costs 4" xfId="11842"/>
    <cellStyle name="_VC 6.15.06 update on 06GRC power costs.xls Chart 2_Rebuttal Power Costs_Adj Bench DR 3 for Initial Briefs (Electric)" xfId="11843"/>
    <cellStyle name="_VC 6.15.06 update on 06GRC power costs.xls Chart 2_Rebuttal Power Costs_Adj Bench DR 3 for Initial Briefs (Electric) 2" xfId="11844"/>
    <cellStyle name="_VC 6.15.06 update on 06GRC power costs.xls Chart 2_Rebuttal Power Costs_Adj Bench DR 3 for Initial Briefs (Electric) 2 2" xfId="11845"/>
    <cellStyle name="_VC 6.15.06 update on 06GRC power costs.xls Chart 2_Rebuttal Power Costs_Adj Bench DR 3 for Initial Briefs (Electric) 3" xfId="11846"/>
    <cellStyle name="_VC 6.15.06 update on 06GRC power costs.xls Chart 2_Rebuttal Power Costs_Adj Bench DR 3 for Initial Briefs (Electric) 3 2" xfId="11847"/>
    <cellStyle name="_VC 6.15.06 update on 06GRC power costs.xls Chart 2_Rebuttal Power Costs_Adj Bench DR 3 for Initial Briefs (Electric) 4" xfId="11848"/>
    <cellStyle name="_VC 6.15.06 update on 06GRC power costs.xls Chart 2_Rebuttal Power Costs_Adj Bench DR 3 for Initial Briefs (Electric)_DEM-WP(C) ENERG10C--ctn Mid-C_042010 2010GRC" xfId="11849"/>
    <cellStyle name="_VC 6.15.06 update on 06GRC power costs.xls Chart 2_Rebuttal Power Costs_Adj Bench DR 3 for Initial Briefs (Electric)_DEM-WP(C) ENERG10C--ctn Mid-C_042010 2010GRC 2" xfId="11850"/>
    <cellStyle name="_VC 6.15.06 update on 06GRC power costs.xls Chart 2_Rebuttal Power Costs_DEM-WP(C) ENERG10C--ctn Mid-C_042010 2010GRC" xfId="11851"/>
    <cellStyle name="_VC 6.15.06 update on 06GRC power costs.xls Chart 2_Rebuttal Power Costs_DEM-WP(C) ENERG10C--ctn Mid-C_042010 2010GRC 2" xfId="11852"/>
    <cellStyle name="_VC 6.15.06 update on 06GRC power costs.xls Chart 2_Rebuttal Power Costs_Electric Rev Req Model (2009 GRC) Rebuttal" xfId="11853"/>
    <cellStyle name="_VC 6.15.06 update on 06GRC power costs.xls Chart 2_Rebuttal Power Costs_Electric Rev Req Model (2009 GRC) Rebuttal 2" xfId="11854"/>
    <cellStyle name="_VC 6.15.06 update on 06GRC power costs.xls Chart 2_Rebuttal Power Costs_Electric Rev Req Model (2009 GRC) Rebuttal 2 2" xfId="11855"/>
    <cellStyle name="_VC 6.15.06 update on 06GRC power costs.xls Chart 2_Rebuttal Power Costs_Electric Rev Req Model (2009 GRC) Rebuttal 3" xfId="11856"/>
    <cellStyle name="_VC 6.15.06 update on 06GRC power costs.xls Chart 2_Rebuttal Power Costs_Electric Rev Req Model (2009 GRC) Rebuttal REmoval of New  WH Solar AdjustMI" xfId="11857"/>
    <cellStyle name="_VC 6.15.06 update on 06GRC power costs.xls Chart 2_Rebuttal Power Costs_Electric Rev Req Model (2009 GRC) Rebuttal REmoval of New  WH Solar AdjustMI 2" xfId="11858"/>
    <cellStyle name="_VC 6.15.06 update on 06GRC power costs.xls Chart 2_Rebuttal Power Costs_Electric Rev Req Model (2009 GRC) Rebuttal REmoval of New  WH Solar AdjustMI 2 2" xfId="11859"/>
    <cellStyle name="_VC 6.15.06 update on 06GRC power costs.xls Chart 2_Rebuttal Power Costs_Electric Rev Req Model (2009 GRC) Rebuttal REmoval of New  WH Solar AdjustMI 3" xfId="11860"/>
    <cellStyle name="_VC 6.15.06 update on 06GRC power costs.xls Chart 2_Rebuttal Power Costs_Electric Rev Req Model (2009 GRC) Rebuttal REmoval of New  WH Solar AdjustMI 3 2" xfId="11861"/>
    <cellStyle name="_VC 6.15.06 update on 06GRC power costs.xls Chart 2_Rebuttal Power Costs_Electric Rev Req Model (2009 GRC) Rebuttal REmoval of New  WH Solar AdjustMI 4" xfId="11862"/>
    <cellStyle name="_VC 6.15.06 update on 06GRC power costs.xls Chart 2_Rebuttal Power Costs_Electric Rev Req Model (2009 GRC) Rebuttal REmoval of New  WH Solar AdjustMI_DEM-WP(C) ENERG10C--ctn Mid-C_042010 2010GRC" xfId="11863"/>
    <cellStyle name="_VC 6.15.06 update on 06GRC power costs.xls Chart 2_Rebuttal Power Costs_Electric Rev Req Model (2009 GRC) Rebuttal REmoval of New  WH Solar AdjustMI_DEM-WP(C) ENERG10C--ctn Mid-C_042010 2010GRC 2" xfId="11864"/>
    <cellStyle name="_VC 6.15.06 update on 06GRC power costs.xls Chart 2_Rebuttal Power Costs_Electric Rev Req Model (2009 GRC) Revised 01-18-2010" xfId="11865"/>
    <cellStyle name="_VC 6.15.06 update on 06GRC power costs.xls Chart 2_Rebuttal Power Costs_Electric Rev Req Model (2009 GRC) Revised 01-18-2010 2" xfId="11866"/>
    <cellStyle name="_VC 6.15.06 update on 06GRC power costs.xls Chart 2_Rebuttal Power Costs_Electric Rev Req Model (2009 GRC) Revised 01-18-2010 2 2" xfId="11867"/>
    <cellStyle name="_VC 6.15.06 update on 06GRC power costs.xls Chart 2_Rebuttal Power Costs_Electric Rev Req Model (2009 GRC) Revised 01-18-2010 3" xfId="11868"/>
    <cellStyle name="_VC 6.15.06 update on 06GRC power costs.xls Chart 2_Rebuttal Power Costs_Electric Rev Req Model (2009 GRC) Revised 01-18-2010 3 2" xfId="11869"/>
    <cellStyle name="_VC 6.15.06 update on 06GRC power costs.xls Chart 2_Rebuttal Power Costs_Electric Rev Req Model (2009 GRC) Revised 01-18-2010 4" xfId="11870"/>
    <cellStyle name="_VC 6.15.06 update on 06GRC power costs.xls Chart 2_Rebuttal Power Costs_Electric Rev Req Model (2009 GRC) Revised 01-18-2010_DEM-WP(C) ENERG10C--ctn Mid-C_042010 2010GRC" xfId="11871"/>
    <cellStyle name="_VC 6.15.06 update on 06GRC power costs.xls Chart 2_Rebuttal Power Costs_Electric Rev Req Model (2009 GRC) Revised 01-18-2010_DEM-WP(C) ENERG10C--ctn Mid-C_042010 2010GRC 2" xfId="11872"/>
    <cellStyle name="_VC 6.15.06 update on 06GRC power costs.xls Chart 2_Rebuttal Power Costs_Final Order Electric EXHIBIT A-1" xfId="11873"/>
    <cellStyle name="_VC 6.15.06 update on 06GRC power costs.xls Chart 2_Rebuttal Power Costs_Final Order Electric EXHIBIT A-1 2" xfId="11874"/>
    <cellStyle name="_VC 6.15.06 update on 06GRC power costs.xls Chart 2_Rebuttal Power Costs_Final Order Electric EXHIBIT A-1 2 2" xfId="11875"/>
    <cellStyle name="_VC 6.15.06 update on 06GRC power costs.xls Chart 2_Rebuttal Power Costs_Final Order Electric EXHIBIT A-1 3" xfId="11876"/>
    <cellStyle name="_VC 6.15.06 update on 06GRC power costs.xls Chart 2_ROR 5.02" xfId="21290"/>
    <cellStyle name="_VC 6.15.06 update on 06GRC power costs.xls Chart 2_Wind Integration 10GRC" xfId="11877"/>
    <cellStyle name="_VC 6.15.06 update on 06GRC power costs.xls Chart 2_Wind Integration 10GRC 2" xfId="11878"/>
    <cellStyle name="_VC 6.15.06 update on 06GRC power costs.xls Chart 2_Wind Integration 10GRC 2 2" xfId="11879"/>
    <cellStyle name="_VC 6.15.06 update on 06GRC power costs.xls Chart 2_Wind Integration 10GRC 3" xfId="11880"/>
    <cellStyle name="_VC 6.15.06 update on 06GRC power costs.xls Chart 2_Wind Integration 10GRC 3 2" xfId="11881"/>
    <cellStyle name="_VC 6.15.06 update on 06GRC power costs.xls Chart 2_Wind Integration 10GRC 4" xfId="11882"/>
    <cellStyle name="_VC 6.15.06 update on 06GRC power costs.xls Chart 2_Wind Integration 10GRC_DEM-WP(C) ENERG10C--ctn Mid-C_042010 2010GRC" xfId="11883"/>
    <cellStyle name="_VC 6.15.06 update on 06GRC power costs.xls Chart 2_Wind Integration 10GRC_DEM-WP(C) ENERG10C--ctn Mid-C_042010 2010GRC 2" xfId="11884"/>
    <cellStyle name="_VC 6.15.06 update on 06GRC power costs.xls Chart 3" xfId="11885"/>
    <cellStyle name="_VC 6.15.06 update on 06GRC power costs.xls Chart 3 2" xfId="11886"/>
    <cellStyle name="_VC 6.15.06 update on 06GRC power costs.xls Chart 3 2 2" xfId="11887"/>
    <cellStyle name="_VC 6.15.06 update on 06GRC power costs.xls Chart 3 2 2 2" xfId="11888"/>
    <cellStyle name="_VC 6.15.06 update on 06GRC power costs.xls Chart 3 2 3" xfId="11889"/>
    <cellStyle name="_VC 6.15.06 update on 06GRC power costs.xls Chart 3 2 3 2" xfId="11890"/>
    <cellStyle name="_VC 6.15.06 update on 06GRC power costs.xls Chart 3 2 4" xfId="11891"/>
    <cellStyle name="_VC 6.15.06 update on 06GRC power costs.xls Chart 3 3" xfId="11892"/>
    <cellStyle name="_VC 6.15.06 update on 06GRC power costs.xls Chart 3 3 2" xfId="11893"/>
    <cellStyle name="_VC 6.15.06 update on 06GRC power costs.xls Chart 3 4" xfId="11894"/>
    <cellStyle name="_VC 6.15.06 update on 06GRC power costs.xls Chart 3 4 2" xfId="11895"/>
    <cellStyle name="_VC 6.15.06 update on 06GRC power costs.xls Chart 3 4 2 2" xfId="11896"/>
    <cellStyle name="_VC 6.15.06 update on 06GRC power costs.xls Chart 3 4 3" xfId="11897"/>
    <cellStyle name="_VC 6.15.06 update on 06GRC power costs.xls Chart 3 5" xfId="11898"/>
    <cellStyle name="_VC 6.15.06 update on 06GRC power costs.xls Chart 3 5 2" xfId="11899"/>
    <cellStyle name="_VC 6.15.06 update on 06GRC power costs.xls Chart 3 6" xfId="11900"/>
    <cellStyle name="_VC 6.15.06 update on 06GRC power costs.xls Chart 3 6 2" xfId="11901"/>
    <cellStyle name="_VC 6.15.06 update on 06GRC power costs.xls Chart 3 6 2 2" xfId="11902"/>
    <cellStyle name="_VC 6.15.06 update on 06GRC power costs.xls Chart 3 6 3" xfId="11903"/>
    <cellStyle name="_VC 6.15.06 update on 06GRC power costs.xls Chart 3 7" xfId="11904"/>
    <cellStyle name="_VC 6.15.06 update on 06GRC power costs.xls Chart 3 7 2" xfId="11905"/>
    <cellStyle name="_VC 6.15.06 update on 06GRC power costs.xls Chart 3 7 2 2" xfId="11906"/>
    <cellStyle name="_VC 6.15.06 update on 06GRC power costs.xls Chart 3 7 3" xfId="11907"/>
    <cellStyle name="_VC 6.15.06 update on 06GRC power costs.xls Chart 3 8" xfId="11908"/>
    <cellStyle name="_VC 6.15.06 update on 06GRC power costs.xls Chart 3_04 07E Wild Horse Wind Expansion (C) (2)" xfId="11909"/>
    <cellStyle name="_VC 6.15.06 update on 06GRC power costs.xls Chart 3_04 07E Wild Horse Wind Expansion (C) (2) 2" xfId="11910"/>
    <cellStyle name="_VC 6.15.06 update on 06GRC power costs.xls Chart 3_04 07E Wild Horse Wind Expansion (C) (2) 2 2" xfId="11911"/>
    <cellStyle name="_VC 6.15.06 update on 06GRC power costs.xls Chart 3_04 07E Wild Horse Wind Expansion (C) (2) 3" xfId="11912"/>
    <cellStyle name="_VC 6.15.06 update on 06GRC power costs.xls Chart 3_04 07E Wild Horse Wind Expansion (C) (2) 3 2" xfId="11913"/>
    <cellStyle name="_VC 6.15.06 update on 06GRC power costs.xls Chart 3_04 07E Wild Horse Wind Expansion (C) (2) 4" xfId="11914"/>
    <cellStyle name="_VC 6.15.06 update on 06GRC power costs.xls Chart 3_04 07E Wild Horse Wind Expansion (C) (2)_Adj Bench DR 3 for Initial Briefs (Electric)" xfId="11915"/>
    <cellStyle name="_VC 6.15.06 update on 06GRC power costs.xls Chart 3_04 07E Wild Horse Wind Expansion (C) (2)_Adj Bench DR 3 for Initial Briefs (Electric) 2" xfId="11916"/>
    <cellStyle name="_VC 6.15.06 update on 06GRC power costs.xls Chart 3_04 07E Wild Horse Wind Expansion (C) (2)_Adj Bench DR 3 for Initial Briefs (Electric) 2 2" xfId="11917"/>
    <cellStyle name="_VC 6.15.06 update on 06GRC power costs.xls Chart 3_04 07E Wild Horse Wind Expansion (C) (2)_Adj Bench DR 3 for Initial Briefs (Electric) 3" xfId="11918"/>
    <cellStyle name="_VC 6.15.06 update on 06GRC power costs.xls Chart 3_04 07E Wild Horse Wind Expansion (C) (2)_Adj Bench DR 3 for Initial Briefs (Electric) 3 2" xfId="11919"/>
    <cellStyle name="_VC 6.15.06 update on 06GRC power costs.xls Chart 3_04 07E Wild Horse Wind Expansion (C) (2)_Adj Bench DR 3 for Initial Briefs (Electric) 4" xfId="11920"/>
    <cellStyle name="_VC 6.15.06 update on 06GRC power costs.xls Chart 3_04 07E Wild Horse Wind Expansion (C) (2)_Adj Bench DR 3 for Initial Briefs (Electric)_DEM-WP(C) ENERG10C--ctn Mid-C_042010 2010GRC" xfId="11921"/>
    <cellStyle name="_VC 6.15.06 update on 06GRC power costs.xls Chart 3_04 07E Wild Horse Wind Expansion (C) (2)_Adj Bench DR 3 for Initial Briefs (Electric)_DEM-WP(C) ENERG10C--ctn Mid-C_042010 2010GRC 2" xfId="11922"/>
    <cellStyle name="_VC 6.15.06 update on 06GRC power costs.xls Chart 3_04 07E Wild Horse Wind Expansion (C) (2)_Book1" xfId="11923"/>
    <cellStyle name="_VC 6.15.06 update on 06GRC power costs.xls Chart 3_04 07E Wild Horse Wind Expansion (C) (2)_Book1 2" xfId="11924"/>
    <cellStyle name="_VC 6.15.06 update on 06GRC power costs.xls Chart 3_04 07E Wild Horse Wind Expansion (C) (2)_DEM-WP(C) ENERG10C--ctn Mid-C_042010 2010GRC" xfId="11925"/>
    <cellStyle name="_VC 6.15.06 update on 06GRC power costs.xls Chart 3_04 07E Wild Horse Wind Expansion (C) (2)_DEM-WP(C) ENERG10C--ctn Mid-C_042010 2010GRC 2" xfId="11926"/>
    <cellStyle name="_VC 6.15.06 update on 06GRC power costs.xls Chart 3_04 07E Wild Horse Wind Expansion (C) (2)_Electric Rev Req Model (2009 GRC) " xfId="11927"/>
    <cellStyle name="_VC 6.15.06 update on 06GRC power costs.xls Chart 3_04 07E Wild Horse Wind Expansion (C) (2)_Electric Rev Req Model (2009 GRC)  2" xfId="11928"/>
    <cellStyle name="_VC 6.15.06 update on 06GRC power costs.xls Chart 3_04 07E Wild Horse Wind Expansion (C) (2)_Electric Rev Req Model (2009 GRC)  2 2" xfId="11929"/>
    <cellStyle name="_VC 6.15.06 update on 06GRC power costs.xls Chart 3_04 07E Wild Horse Wind Expansion (C) (2)_Electric Rev Req Model (2009 GRC)  3" xfId="11930"/>
    <cellStyle name="_VC 6.15.06 update on 06GRC power costs.xls Chart 3_04 07E Wild Horse Wind Expansion (C) (2)_Electric Rev Req Model (2009 GRC)  3 2" xfId="11931"/>
    <cellStyle name="_VC 6.15.06 update on 06GRC power costs.xls Chart 3_04 07E Wild Horse Wind Expansion (C) (2)_Electric Rev Req Model (2009 GRC)  4" xfId="11932"/>
    <cellStyle name="_VC 6.15.06 update on 06GRC power costs.xls Chart 3_04 07E Wild Horse Wind Expansion (C) (2)_Electric Rev Req Model (2009 GRC) _DEM-WP(C) ENERG10C--ctn Mid-C_042010 2010GRC" xfId="11933"/>
    <cellStyle name="_VC 6.15.06 update on 06GRC power costs.xls Chart 3_04 07E Wild Horse Wind Expansion (C) (2)_Electric Rev Req Model (2009 GRC) _DEM-WP(C) ENERG10C--ctn Mid-C_042010 2010GRC 2" xfId="11934"/>
    <cellStyle name="_VC 6.15.06 update on 06GRC power costs.xls Chart 3_04 07E Wild Horse Wind Expansion (C) (2)_Electric Rev Req Model (2009 GRC) Rebuttal" xfId="11935"/>
    <cellStyle name="_VC 6.15.06 update on 06GRC power costs.xls Chart 3_04 07E Wild Horse Wind Expansion (C) (2)_Electric Rev Req Model (2009 GRC) Rebuttal 2" xfId="11936"/>
    <cellStyle name="_VC 6.15.06 update on 06GRC power costs.xls Chart 3_04 07E Wild Horse Wind Expansion (C) (2)_Electric Rev Req Model (2009 GRC) Rebuttal 2 2" xfId="11937"/>
    <cellStyle name="_VC 6.15.06 update on 06GRC power costs.xls Chart 3_04 07E Wild Horse Wind Expansion (C) (2)_Electric Rev Req Model (2009 GRC) Rebuttal 3" xfId="11938"/>
    <cellStyle name="_VC 6.15.06 update on 06GRC power costs.xls Chart 3_04 07E Wild Horse Wind Expansion (C) (2)_Electric Rev Req Model (2009 GRC) Rebuttal REmoval of New  WH Solar AdjustMI" xfId="11939"/>
    <cellStyle name="_VC 6.15.06 update on 06GRC power costs.xls Chart 3_04 07E Wild Horse Wind Expansion (C) (2)_Electric Rev Req Model (2009 GRC) Rebuttal REmoval of New  WH Solar AdjustMI 2" xfId="11940"/>
    <cellStyle name="_VC 6.15.06 update on 06GRC power costs.xls Chart 3_04 07E Wild Horse Wind Expansion (C) (2)_Electric Rev Req Model (2009 GRC) Rebuttal REmoval of New  WH Solar AdjustMI 2 2" xfId="11941"/>
    <cellStyle name="_VC 6.15.06 update on 06GRC power costs.xls Chart 3_04 07E Wild Horse Wind Expansion (C) (2)_Electric Rev Req Model (2009 GRC) Rebuttal REmoval of New  WH Solar AdjustMI 3" xfId="11942"/>
    <cellStyle name="_VC 6.15.06 update on 06GRC power costs.xls Chart 3_04 07E Wild Horse Wind Expansion (C) (2)_Electric Rev Req Model (2009 GRC) Rebuttal REmoval of New  WH Solar AdjustMI 3 2" xfId="11943"/>
    <cellStyle name="_VC 6.15.06 update on 06GRC power costs.xls Chart 3_04 07E Wild Horse Wind Expansion (C) (2)_Electric Rev Req Model (2009 GRC) Rebuttal REmoval of New  WH Solar AdjustMI 4" xfId="11944"/>
    <cellStyle name="_VC 6.15.06 update on 06GRC power costs.xls Chart 3_04 07E Wild Horse Wind Expansion (C) (2)_Electric Rev Req Model (2009 GRC) Rebuttal REmoval of New  WH Solar AdjustMI_DEM-WP(C) ENERG10C--ctn Mid-C_042010 2010GRC" xfId="11945"/>
    <cellStyle name="_VC 6.15.06 update on 06GRC power costs.xls Chart 3_04 07E Wild Horse Wind Expansion (C) (2)_Electric Rev Req Model (2009 GRC) Rebuttal REmoval of New  WH Solar AdjustMI_DEM-WP(C) ENERG10C--ctn Mid-C_042010 2010GRC 2" xfId="11946"/>
    <cellStyle name="_VC 6.15.06 update on 06GRC power costs.xls Chart 3_04 07E Wild Horse Wind Expansion (C) (2)_Electric Rev Req Model (2009 GRC) Revised 01-18-2010" xfId="11947"/>
    <cellStyle name="_VC 6.15.06 update on 06GRC power costs.xls Chart 3_04 07E Wild Horse Wind Expansion (C) (2)_Electric Rev Req Model (2009 GRC) Revised 01-18-2010 2" xfId="11948"/>
    <cellStyle name="_VC 6.15.06 update on 06GRC power costs.xls Chart 3_04 07E Wild Horse Wind Expansion (C) (2)_Electric Rev Req Model (2009 GRC) Revised 01-18-2010 2 2" xfId="11949"/>
    <cellStyle name="_VC 6.15.06 update on 06GRC power costs.xls Chart 3_04 07E Wild Horse Wind Expansion (C) (2)_Electric Rev Req Model (2009 GRC) Revised 01-18-2010 3" xfId="11950"/>
    <cellStyle name="_VC 6.15.06 update on 06GRC power costs.xls Chart 3_04 07E Wild Horse Wind Expansion (C) (2)_Electric Rev Req Model (2009 GRC) Revised 01-18-2010 3 2" xfId="11951"/>
    <cellStyle name="_VC 6.15.06 update on 06GRC power costs.xls Chart 3_04 07E Wild Horse Wind Expansion (C) (2)_Electric Rev Req Model (2009 GRC) Revised 01-18-2010 4" xfId="11952"/>
    <cellStyle name="_VC 6.15.06 update on 06GRC power costs.xls Chart 3_04 07E Wild Horse Wind Expansion (C) (2)_Electric Rev Req Model (2009 GRC) Revised 01-18-2010_DEM-WP(C) ENERG10C--ctn Mid-C_042010 2010GRC" xfId="11953"/>
    <cellStyle name="_VC 6.15.06 update on 06GRC power costs.xls Chart 3_04 07E Wild Horse Wind Expansion (C) (2)_Electric Rev Req Model (2009 GRC) Revised 01-18-2010_DEM-WP(C) ENERG10C--ctn Mid-C_042010 2010GRC 2" xfId="11954"/>
    <cellStyle name="_VC 6.15.06 update on 06GRC power costs.xls Chart 3_04 07E Wild Horse Wind Expansion (C) (2)_Electric Rev Req Model (2010 GRC)" xfId="11955"/>
    <cellStyle name="_VC 6.15.06 update on 06GRC power costs.xls Chart 3_04 07E Wild Horse Wind Expansion (C) (2)_Electric Rev Req Model (2010 GRC) 2" xfId="11956"/>
    <cellStyle name="_VC 6.15.06 update on 06GRC power costs.xls Chart 3_04 07E Wild Horse Wind Expansion (C) (2)_Electric Rev Req Model (2010 GRC) SF" xfId="11957"/>
    <cellStyle name="_VC 6.15.06 update on 06GRC power costs.xls Chart 3_04 07E Wild Horse Wind Expansion (C) (2)_Electric Rev Req Model (2010 GRC) SF 2" xfId="11958"/>
    <cellStyle name="_VC 6.15.06 update on 06GRC power costs.xls Chart 3_04 07E Wild Horse Wind Expansion (C) (2)_Final Order Electric EXHIBIT A-1" xfId="11959"/>
    <cellStyle name="_VC 6.15.06 update on 06GRC power costs.xls Chart 3_04 07E Wild Horse Wind Expansion (C) (2)_Final Order Electric EXHIBIT A-1 2" xfId="11960"/>
    <cellStyle name="_VC 6.15.06 update on 06GRC power costs.xls Chart 3_04 07E Wild Horse Wind Expansion (C) (2)_Final Order Electric EXHIBIT A-1 2 2" xfId="11961"/>
    <cellStyle name="_VC 6.15.06 update on 06GRC power costs.xls Chart 3_04 07E Wild Horse Wind Expansion (C) (2)_Final Order Electric EXHIBIT A-1 3" xfId="11962"/>
    <cellStyle name="_VC 6.15.06 update on 06GRC power costs.xls Chart 3_04 07E Wild Horse Wind Expansion (C) (2)_TENASKA REGULATORY ASSET" xfId="11963"/>
    <cellStyle name="_VC 6.15.06 update on 06GRC power costs.xls Chart 3_04 07E Wild Horse Wind Expansion (C) (2)_TENASKA REGULATORY ASSET 2" xfId="11964"/>
    <cellStyle name="_VC 6.15.06 update on 06GRC power costs.xls Chart 3_04 07E Wild Horse Wind Expansion (C) (2)_TENASKA REGULATORY ASSET 2 2" xfId="11965"/>
    <cellStyle name="_VC 6.15.06 update on 06GRC power costs.xls Chart 3_04 07E Wild Horse Wind Expansion (C) (2)_TENASKA REGULATORY ASSET 3" xfId="11966"/>
    <cellStyle name="_VC 6.15.06 update on 06GRC power costs.xls Chart 3_16.37E Wild Horse Expansion DeferralRevwrkingfile SF" xfId="11967"/>
    <cellStyle name="_VC 6.15.06 update on 06GRC power costs.xls Chart 3_16.37E Wild Horse Expansion DeferralRevwrkingfile SF 2" xfId="11968"/>
    <cellStyle name="_VC 6.15.06 update on 06GRC power costs.xls Chart 3_16.37E Wild Horse Expansion DeferralRevwrkingfile SF 2 2" xfId="11969"/>
    <cellStyle name="_VC 6.15.06 update on 06GRC power costs.xls Chart 3_16.37E Wild Horse Expansion DeferralRevwrkingfile SF 3" xfId="11970"/>
    <cellStyle name="_VC 6.15.06 update on 06GRC power costs.xls Chart 3_16.37E Wild Horse Expansion DeferralRevwrkingfile SF 3 2" xfId="11971"/>
    <cellStyle name="_VC 6.15.06 update on 06GRC power costs.xls Chart 3_16.37E Wild Horse Expansion DeferralRevwrkingfile SF 4" xfId="11972"/>
    <cellStyle name="_VC 6.15.06 update on 06GRC power costs.xls Chart 3_16.37E Wild Horse Expansion DeferralRevwrkingfile SF_DEM-WP(C) ENERG10C--ctn Mid-C_042010 2010GRC" xfId="11973"/>
    <cellStyle name="_VC 6.15.06 update on 06GRC power costs.xls Chart 3_16.37E Wild Horse Expansion DeferralRevwrkingfile SF_DEM-WP(C) ENERG10C--ctn Mid-C_042010 2010GRC 2" xfId="11974"/>
    <cellStyle name="_VC 6.15.06 update on 06GRC power costs.xls Chart 3_2009 Compliance Filing PCA Exhibits for GRC" xfId="11975"/>
    <cellStyle name="_VC 6.15.06 update on 06GRC power costs.xls Chart 3_2009 Compliance Filing PCA Exhibits for GRC 2" xfId="11976"/>
    <cellStyle name="_VC 6.15.06 update on 06GRC power costs.xls Chart 3_2009 Compliance Filing PCA Exhibits for GRC 2 2" xfId="11977"/>
    <cellStyle name="_VC 6.15.06 update on 06GRC power costs.xls Chart 3_2009 Compliance Filing PCA Exhibits for GRC 3" xfId="11978"/>
    <cellStyle name="_VC 6.15.06 update on 06GRC power costs.xls Chart 3_2009 GRC Compl Filing - Exhibit D" xfId="11979"/>
    <cellStyle name="_VC 6.15.06 update on 06GRC power costs.xls Chart 3_2009 GRC Compl Filing - Exhibit D 2" xfId="11980"/>
    <cellStyle name="_VC 6.15.06 update on 06GRC power costs.xls Chart 3_2009 GRC Compl Filing - Exhibit D 2 2" xfId="11981"/>
    <cellStyle name="_VC 6.15.06 update on 06GRC power costs.xls Chart 3_2009 GRC Compl Filing - Exhibit D 3" xfId="11982"/>
    <cellStyle name="_VC 6.15.06 update on 06GRC power costs.xls Chart 3_2009 GRC Compl Filing - Exhibit D 3 2" xfId="11983"/>
    <cellStyle name="_VC 6.15.06 update on 06GRC power costs.xls Chart 3_2009 GRC Compl Filing - Exhibit D 4" xfId="11984"/>
    <cellStyle name="_VC 6.15.06 update on 06GRC power costs.xls Chart 3_2009 GRC Compl Filing - Exhibit D_DEM-WP(C) ENERG10C--ctn Mid-C_042010 2010GRC" xfId="11985"/>
    <cellStyle name="_VC 6.15.06 update on 06GRC power costs.xls Chart 3_2009 GRC Compl Filing - Exhibit D_DEM-WP(C) ENERG10C--ctn Mid-C_042010 2010GRC 2" xfId="11986"/>
    <cellStyle name="_VC 6.15.06 update on 06GRC power costs.xls Chart 3_3.01 Income Statement" xfId="11987"/>
    <cellStyle name="_VC 6.15.06 update on 06GRC power costs.xls Chart 3_4 31 Regulatory Assets and Liabilities  7 06- Exhibit D" xfId="11988"/>
    <cellStyle name="_VC 6.15.06 update on 06GRC power costs.xls Chart 3_4 31 Regulatory Assets and Liabilities  7 06- Exhibit D 2" xfId="11989"/>
    <cellStyle name="_VC 6.15.06 update on 06GRC power costs.xls Chart 3_4 31 Regulatory Assets and Liabilities  7 06- Exhibit D 2 2" xfId="11990"/>
    <cellStyle name="_VC 6.15.06 update on 06GRC power costs.xls Chart 3_4 31 Regulatory Assets and Liabilities  7 06- Exhibit D 3" xfId="11991"/>
    <cellStyle name="_VC 6.15.06 update on 06GRC power costs.xls Chart 3_4 31 Regulatory Assets and Liabilities  7 06- Exhibit D 3 2" xfId="11992"/>
    <cellStyle name="_VC 6.15.06 update on 06GRC power costs.xls Chart 3_4 31 Regulatory Assets and Liabilities  7 06- Exhibit D 4" xfId="11993"/>
    <cellStyle name="_VC 6.15.06 update on 06GRC power costs.xls Chart 3_4 31 Regulatory Assets and Liabilities  7 06- Exhibit D_DEM-WP(C) ENERG10C--ctn Mid-C_042010 2010GRC" xfId="11994"/>
    <cellStyle name="_VC 6.15.06 update on 06GRC power costs.xls Chart 3_4 31 Regulatory Assets and Liabilities  7 06- Exhibit D_DEM-WP(C) ENERG10C--ctn Mid-C_042010 2010GRC 2" xfId="11995"/>
    <cellStyle name="_VC 6.15.06 update on 06GRC power costs.xls Chart 3_4 31 Regulatory Assets and Liabilities  7 06- Exhibit D_NIM Summary" xfId="11996"/>
    <cellStyle name="_VC 6.15.06 update on 06GRC power costs.xls Chart 3_4 31 Regulatory Assets and Liabilities  7 06- Exhibit D_NIM Summary 2" xfId="11997"/>
    <cellStyle name="_VC 6.15.06 update on 06GRC power costs.xls Chart 3_4 31 Regulatory Assets and Liabilities  7 06- Exhibit D_NIM Summary 2 2" xfId="11998"/>
    <cellStyle name="_VC 6.15.06 update on 06GRC power costs.xls Chart 3_4 31 Regulatory Assets and Liabilities  7 06- Exhibit D_NIM Summary 3" xfId="11999"/>
    <cellStyle name="_VC 6.15.06 update on 06GRC power costs.xls Chart 3_4 31 Regulatory Assets and Liabilities  7 06- Exhibit D_NIM Summary 3 2" xfId="12000"/>
    <cellStyle name="_VC 6.15.06 update on 06GRC power costs.xls Chart 3_4 31 Regulatory Assets and Liabilities  7 06- Exhibit D_NIM Summary 4" xfId="12001"/>
    <cellStyle name="_VC 6.15.06 update on 06GRC power costs.xls Chart 3_4 31 Regulatory Assets and Liabilities  7 06- Exhibit D_NIM Summary_DEM-WP(C) ENERG10C--ctn Mid-C_042010 2010GRC" xfId="12002"/>
    <cellStyle name="_VC 6.15.06 update on 06GRC power costs.xls Chart 3_4 31 Regulatory Assets and Liabilities  7 06- Exhibit D_NIM Summary_DEM-WP(C) ENERG10C--ctn Mid-C_042010 2010GRC 2" xfId="12003"/>
    <cellStyle name="_VC 6.15.06 update on 06GRC power costs.xls Chart 3_4 31E Reg Asset  Liab and EXH D" xfId="12004"/>
    <cellStyle name="_VC 6.15.06 update on 06GRC power costs.xls Chart 3_4 31E Reg Asset  Liab and EXH D _ Aug 10 Filing (2)" xfId="12005"/>
    <cellStyle name="_VC 6.15.06 update on 06GRC power costs.xls Chart 3_4 31E Reg Asset  Liab and EXH D _ Aug 10 Filing (2) 2" xfId="12006"/>
    <cellStyle name="_VC 6.15.06 update on 06GRC power costs.xls Chart 3_4 31E Reg Asset  Liab and EXH D 2" xfId="12007"/>
    <cellStyle name="_VC 6.15.06 update on 06GRC power costs.xls Chart 3_4 31E Reg Asset  Liab and EXH D 3" xfId="12008"/>
    <cellStyle name="_VC 6.15.06 update on 06GRC power costs.xls Chart 3_4 32 Regulatory Assets and Liabilities  7 06- Exhibit D" xfId="12009"/>
    <cellStyle name="_VC 6.15.06 update on 06GRC power costs.xls Chart 3_4 32 Regulatory Assets and Liabilities  7 06- Exhibit D 2" xfId="12010"/>
    <cellStyle name="_VC 6.15.06 update on 06GRC power costs.xls Chart 3_4 32 Regulatory Assets and Liabilities  7 06- Exhibit D 2 2" xfId="12011"/>
    <cellStyle name="_VC 6.15.06 update on 06GRC power costs.xls Chart 3_4 32 Regulatory Assets and Liabilities  7 06- Exhibit D 3" xfId="12012"/>
    <cellStyle name="_VC 6.15.06 update on 06GRC power costs.xls Chart 3_4 32 Regulatory Assets and Liabilities  7 06- Exhibit D 3 2" xfId="12013"/>
    <cellStyle name="_VC 6.15.06 update on 06GRC power costs.xls Chart 3_4 32 Regulatory Assets and Liabilities  7 06- Exhibit D 4" xfId="12014"/>
    <cellStyle name="_VC 6.15.06 update on 06GRC power costs.xls Chart 3_4 32 Regulatory Assets and Liabilities  7 06- Exhibit D_DEM-WP(C) ENERG10C--ctn Mid-C_042010 2010GRC" xfId="12015"/>
    <cellStyle name="_VC 6.15.06 update on 06GRC power costs.xls Chart 3_4 32 Regulatory Assets and Liabilities  7 06- Exhibit D_DEM-WP(C) ENERG10C--ctn Mid-C_042010 2010GRC 2" xfId="12016"/>
    <cellStyle name="_VC 6.15.06 update on 06GRC power costs.xls Chart 3_4 32 Regulatory Assets and Liabilities  7 06- Exhibit D_NIM Summary" xfId="12017"/>
    <cellStyle name="_VC 6.15.06 update on 06GRC power costs.xls Chart 3_4 32 Regulatory Assets and Liabilities  7 06- Exhibit D_NIM Summary 2" xfId="12018"/>
    <cellStyle name="_VC 6.15.06 update on 06GRC power costs.xls Chart 3_4 32 Regulatory Assets and Liabilities  7 06- Exhibit D_NIM Summary 2 2" xfId="12019"/>
    <cellStyle name="_VC 6.15.06 update on 06GRC power costs.xls Chart 3_4 32 Regulatory Assets and Liabilities  7 06- Exhibit D_NIM Summary 3" xfId="12020"/>
    <cellStyle name="_VC 6.15.06 update on 06GRC power costs.xls Chart 3_4 32 Regulatory Assets and Liabilities  7 06- Exhibit D_NIM Summary 3 2" xfId="12021"/>
    <cellStyle name="_VC 6.15.06 update on 06GRC power costs.xls Chart 3_4 32 Regulatory Assets and Liabilities  7 06- Exhibit D_NIM Summary 4" xfId="12022"/>
    <cellStyle name="_VC 6.15.06 update on 06GRC power costs.xls Chart 3_4 32 Regulatory Assets and Liabilities  7 06- Exhibit D_NIM Summary_DEM-WP(C) ENERG10C--ctn Mid-C_042010 2010GRC" xfId="12023"/>
    <cellStyle name="_VC 6.15.06 update on 06GRC power costs.xls Chart 3_4 32 Regulatory Assets and Liabilities  7 06- Exhibit D_NIM Summary_DEM-WP(C) ENERG10C--ctn Mid-C_042010 2010GRC 2" xfId="12024"/>
    <cellStyle name="_VC 6.15.06 update on 06GRC power costs.xls Chart 3_AURORA Total New" xfId="12025"/>
    <cellStyle name="_VC 6.15.06 update on 06GRC power costs.xls Chart 3_AURORA Total New 2" xfId="12026"/>
    <cellStyle name="_VC 6.15.06 update on 06GRC power costs.xls Chart 3_AURORA Total New 2 2" xfId="12027"/>
    <cellStyle name="_VC 6.15.06 update on 06GRC power costs.xls Chart 3_AURORA Total New 3" xfId="12028"/>
    <cellStyle name="_VC 6.15.06 update on 06GRC power costs.xls Chart 3_Book2" xfId="12029"/>
    <cellStyle name="_VC 6.15.06 update on 06GRC power costs.xls Chart 3_Book2 2" xfId="12030"/>
    <cellStyle name="_VC 6.15.06 update on 06GRC power costs.xls Chart 3_Book2 2 2" xfId="12031"/>
    <cellStyle name="_VC 6.15.06 update on 06GRC power costs.xls Chart 3_Book2 3" xfId="12032"/>
    <cellStyle name="_VC 6.15.06 update on 06GRC power costs.xls Chart 3_Book2 3 2" xfId="12033"/>
    <cellStyle name="_VC 6.15.06 update on 06GRC power costs.xls Chart 3_Book2 4" xfId="12034"/>
    <cellStyle name="_VC 6.15.06 update on 06GRC power costs.xls Chart 3_Book2_Adj Bench DR 3 for Initial Briefs (Electric)" xfId="12035"/>
    <cellStyle name="_VC 6.15.06 update on 06GRC power costs.xls Chart 3_Book2_Adj Bench DR 3 for Initial Briefs (Electric) 2" xfId="12036"/>
    <cellStyle name="_VC 6.15.06 update on 06GRC power costs.xls Chart 3_Book2_Adj Bench DR 3 for Initial Briefs (Electric) 2 2" xfId="12037"/>
    <cellStyle name="_VC 6.15.06 update on 06GRC power costs.xls Chart 3_Book2_Adj Bench DR 3 for Initial Briefs (Electric) 3" xfId="12038"/>
    <cellStyle name="_VC 6.15.06 update on 06GRC power costs.xls Chart 3_Book2_Adj Bench DR 3 for Initial Briefs (Electric) 3 2" xfId="12039"/>
    <cellStyle name="_VC 6.15.06 update on 06GRC power costs.xls Chart 3_Book2_Adj Bench DR 3 for Initial Briefs (Electric) 4" xfId="12040"/>
    <cellStyle name="_VC 6.15.06 update on 06GRC power costs.xls Chart 3_Book2_Adj Bench DR 3 for Initial Briefs (Electric)_DEM-WP(C) ENERG10C--ctn Mid-C_042010 2010GRC" xfId="12041"/>
    <cellStyle name="_VC 6.15.06 update on 06GRC power costs.xls Chart 3_Book2_Adj Bench DR 3 for Initial Briefs (Electric)_DEM-WP(C) ENERG10C--ctn Mid-C_042010 2010GRC 2" xfId="12042"/>
    <cellStyle name="_VC 6.15.06 update on 06GRC power costs.xls Chart 3_Book2_DEM-WP(C) ENERG10C--ctn Mid-C_042010 2010GRC" xfId="12043"/>
    <cellStyle name="_VC 6.15.06 update on 06GRC power costs.xls Chart 3_Book2_DEM-WP(C) ENERG10C--ctn Mid-C_042010 2010GRC 2" xfId="12044"/>
    <cellStyle name="_VC 6.15.06 update on 06GRC power costs.xls Chart 3_Book2_Electric Rev Req Model (2009 GRC) Rebuttal" xfId="12045"/>
    <cellStyle name="_VC 6.15.06 update on 06GRC power costs.xls Chart 3_Book2_Electric Rev Req Model (2009 GRC) Rebuttal 2" xfId="12046"/>
    <cellStyle name="_VC 6.15.06 update on 06GRC power costs.xls Chart 3_Book2_Electric Rev Req Model (2009 GRC) Rebuttal 2 2" xfId="12047"/>
    <cellStyle name="_VC 6.15.06 update on 06GRC power costs.xls Chart 3_Book2_Electric Rev Req Model (2009 GRC) Rebuttal 3" xfId="12048"/>
    <cellStyle name="_VC 6.15.06 update on 06GRC power costs.xls Chart 3_Book2_Electric Rev Req Model (2009 GRC) Rebuttal REmoval of New  WH Solar AdjustMI" xfId="12049"/>
    <cellStyle name="_VC 6.15.06 update on 06GRC power costs.xls Chart 3_Book2_Electric Rev Req Model (2009 GRC) Rebuttal REmoval of New  WH Solar AdjustMI 2" xfId="12050"/>
    <cellStyle name="_VC 6.15.06 update on 06GRC power costs.xls Chart 3_Book2_Electric Rev Req Model (2009 GRC) Rebuttal REmoval of New  WH Solar AdjustMI 2 2" xfId="12051"/>
    <cellStyle name="_VC 6.15.06 update on 06GRC power costs.xls Chart 3_Book2_Electric Rev Req Model (2009 GRC) Rebuttal REmoval of New  WH Solar AdjustMI 3" xfId="12052"/>
    <cellStyle name="_VC 6.15.06 update on 06GRC power costs.xls Chart 3_Book2_Electric Rev Req Model (2009 GRC) Rebuttal REmoval of New  WH Solar AdjustMI 3 2" xfId="12053"/>
    <cellStyle name="_VC 6.15.06 update on 06GRC power costs.xls Chart 3_Book2_Electric Rev Req Model (2009 GRC) Rebuttal REmoval of New  WH Solar AdjustMI 4" xfId="12054"/>
    <cellStyle name="_VC 6.15.06 update on 06GRC power costs.xls Chart 3_Book2_Electric Rev Req Model (2009 GRC) Rebuttal REmoval of New  WH Solar AdjustMI_DEM-WP(C) ENERG10C--ctn Mid-C_042010 2010GRC" xfId="12055"/>
    <cellStyle name="_VC 6.15.06 update on 06GRC power costs.xls Chart 3_Book2_Electric Rev Req Model (2009 GRC) Rebuttal REmoval of New  WH Solar AdjustMI_DEM-WP(C) ENERG10C--ctn Mid-C_042010 2010GRC 2" xfId="12056"/>
    <cellStyle name="_VC 6.15.06 update on 06GRC power costs.xls Chart 3_Book2_Electric Rev Req Model (2009 GRC) Revised 01-18-2010" xfId="12057"/>
    <cellStyle name="_VC 6.15.06 update on 06GRC power costs.xls Chart 3_Book2_Electric Rev Req Model (2009 GRC) Revised 01-18-2010 2" xfId="12058"/>
    <cellStyle name="_VC 6.15.06 update on 06GRC power costs.xls Chart 3_Book2_Electric Rev Req Model (2009 GRC) Revised 01-18-2010 2 2" xfId="12059"/>
    <cellStyle name="_VC 6.15.06 update on 06GRC power costs.xls Chart 3_Book2_Electric Rev Req Model (2009 GRC) Revised 01-18-2010 3" xfId="12060"/>
    <cellStyle name="_VC 6.15.06 update on 06GRC power costs.xls Chart 3_Book2_Electric Rev Req Model (2009 GRC) Revised 01-18-2010 3 2" xfId="12061"/>
    <cellStyle name="_VC 6.15.06 update on 06GRC power costs.xls Chart 3_Book2_Electric Rev Req Model (2009 GRC) Revised 01-18-2010 4" xfId="12062"/>
    <cellStyle name="_VC 6.15.06 update on 06GRC power costs.xls Chart 3_Book2_Electric Rev Req Model (2009 GRC) Revised 01-18-2010_DEM-WP(C) ENERG10C--ctn Mid-C_042010 2010GRC" xfId="12063"/>
    <cellStyle name="_VC 6.15.06 update on 06GRC power costs.xls Chart 3_Book2_Electric Rev Req Model (2009 GRC) Revised 01-18-2010_DEM-WP(C) ENERG10C--ctn Mid-C_042010 2010GRC 2" xfId="12064"/>
    <cellStyle name="_VC 6.15.06 update on 06GRC power costs.xls Chart 3_Book2_Final Order Electric EXHIBIT A-1" xfId="12065"/>
    <cellStyle name="_VC 6.15.06 update on 06GRC power costs.xls Chart 3_Book2_Final Order Electric EXHIBIT A-1 2" xfId="12066"/>
    <cellStyle name="_VC 6.15.06 update on 06GRC power costs.xls Chart 3_Book2_Final Order Electric EXHIBIT A-1 2 2" xfId="12067"/>
    <cellStyle name="_VC 6.15.06 update on 06GRC power costs.xls Chart 3_Book2_Final Order Electric EXHIBIT A-1 3" xfId="12068"/>
    <cellStyle name="_VC 6.15.06 update on 06GRC power costs.xls Chart 3_Book4" xfId="12069"/>
    <cellStyle name="_VC 6.15.06 update on 06GRC power costs.xls Chart 3_Book4 2" xfId="12070"/>
    <cellStyle name="_VC 6.15.06 update on 06GRC power costs.xls Chart 3_Book4 2 2" xfId="12071"/>
    <cellStyle name="_VC 6.15.06 update on 06GRC power costs.xls Chart 3_Book4 3" xfId="12072"/>
    <cellStyle name="_VC 6.15.06 update on 06GRC power costs.xls Chart 3_Book4 3 2" xfId="12073"/>
    <cellStyle name="_VC 6.15.06 update on 06GRC power costs.xls Chart 3_Book4 4" xfId="12074"/>
    <cellStyle name="_VC 6.15.06 update on 06GRC power costs.xls Chart 3_Book4_DEM-WP(C) ENERG10C--ctn Mid-C_042010 2010GRC" xfId="12075"/>
    <cellStyle name="_VC 6.15.06 update on 06GRC power costs.xls Chart 3_Book4_DEM-WP(C) ENERG10C--ctn Mid-C_042010 2010GRC 2" xfId="12076"/>
    <cellStyle name="_VC 6.15.06 update on 06GRC power costs.xls Chart 3_Book9" xfId="12077"/>
    <cellStyle name="_VC 6.15.06 update on 06GRC power costs.xls Chart 3_Book9 2" xfId="12078"/>
    <cellStyle name="_VC 6.15.06 update on 06GRC power costs.xls Chart 3_Book9 2 2" xfId="12079"/>
    <cellStyle name="_VC 6.15.06 update on 06GRC power costs.xls Chart 3_Book9 3" xfId="12080"/>
    <cellStyle name="_VC 6.15.06 update on 06GRC power costs.xls Chart 3_Book9 3 2" xfId="12081"/>
    <cellStyle name="_VC 6.15.06 update on 06GRC power costs.xls Chart 3_Book9 4" xfId="12082"/>
    <cellStyle name="_VC 6.15.06 update on 06GRC power costs.xls Chart 3_Book9_DEM-WP(C) ENERG10C--ctn Mid-C_042010 2010GRC" xfId="12083"/>
    <cellStyle name="_VC 6.15.06 update on 06GRC power costs.xls Chart 3_Book9_DEM-WP(C) ENERG10C--ctn Mid-C_042010 2010GRC 2" xfId="12084"/>
    <cellStyle name="_VC 6.15.06 update on 06GRC power costs.xls Chart 3_Chelan PUD Power Costs (8-10)" xfId="12085"/>
    <cellStyle name="_VC 6.15.06 update on 06GRC power costs.xls Chart 3_Chelan PUD Power Costs (8-10) 2" xfId="12086"/>
    <cellStyle name="_VC 6.15.06 update on 06GRC power costs.xls Chart 3_DEM-WP(C) Chelan Power Costs" xfId="12087"/>
    <cellStyle name="_VC 6.15.06 update on 06GRC power costs.xls Chart 3_DEM-WP(C) Chelan Power Costs 2" xfId="12088"/>
    <cellStyle name="_VC 6.15.06 update on 06GRC power costs.xls Chart 3_DEM-WP(C) ENERG10C--ctn Mid-C_042010 2010GRC" xfId="12089"/>
    <cellStyle name="_VC 6.15.06 update on 06GRC power costs.xls Chart 3_DEM-WP(C) ENERG10C--ctn Mid-C_042010 2010GRC 2" xfId="12090"/>
    <cellStyle name="_VC 6.15.06 update on 06GRC power costs.xls Chart 3_DEM-WP(C) Gas Transport 2010GRC" xfId="12091"/>
    <cellStyle name="_VC 6.15.06 update on 06GRC power costs.xls Chart 3_DEM-WP(C) Gas Transport 2010GRC 2" xfId="12092"/>
    <cellStyle name="_VC 6.15.06 update on 06GRC power costs.xls Chart 3_Exh A-1 resulting from UE-112050 effective Jan 1 2012" xfId="12093"/>
    <cellStyle name="_VC 6.15.06 update on 06GRC power costs.xls Chart 3_Exh A-1 resulting from UE-112050 effective Jan 1 2012 2" xfId="12094"/>
    <cellStyle name="_VC 6.15.06 update on 06GRC power costs.xls Chart 3_Exhibit A-1 effective 4-1-11 fr S Free 12-11" xfId="12095"/>
    <cellStyle name="_VC 6.15.06 update on 06GRC power costs.xls Chart 3_Exhibit A-1 effective 4-1-11 fr S Free 12-11 2" xfId="12096"/>
    <cellStyle name="_VC 6.15.06 update on 06GRC power costs.xls Chart 3_Mint Farm Generation BPA" xfId="12097"/>
    <cellStyle name="_VC 6.15.06 update on 06GRC power costs.xls Chart 3_NIM Summary" xfId="12098"/>
    <cellStyle name="_VC 6.15.06 update on 06GRC power costs.xls Chart 3_NIM Summary 09GRC" xfId="12099"/>
    <cellStyle name="_VC 6.15.06 update on 06GRC power costs.xls Chart 3_NIM Summary 09GRC 2" xfId="12100"/>
    <cellStyle name="_VC 6.15.06 update on 06GRC power costs.xls Chart 3_NIM Summary 09GRC 2 2" xfId="12101"/>
    <cellStyle name="_VC 6.15.06 update on 06GRC power costs.xls Chart 3_NIM Summary 09GRC 3" xfId="12102"/>
    <cellStyle name="_VC 6.15.06 update on 06GRC power costs.xls Chart 3_NIM Summary 09GRC 3 2" xfId="12103"/>
    <cellStyle name="_VC 6.15.06 update on 06GRC power costs.xls Chart 3_NIM Summary 09GRC 4" xfId="12104"/>
    <cellStyle name="_VC 6.15.06 update on 06GRC power costs.xls Chart 3_NIM Summary 09GRC_DEM-WP(C) ENERG10C--ctn Mid-C_042010 2010GRC" xfId="12105"/>
    <cellStyle name="_VC 6.15.06 update on 06GRC power costs.xls Chart 3_NIM Summary 09GRC_DEM-WP(C) ENERG10C--ctn Mid-C_042010 2010GRC 2" xfId="12106"/>
    <cellStyle name="_VC 6.15.06 update on 06GRC power costs.xls Chart 3_NIM Summary 10" xfId="12107"/>
    <cellStyle name="_VC 6.15.06 update on 06GRC power costs.xls Chart 3_NIM Summary 10 2" xfId="12108"/>
    <cellStyle name="_VC 6.15.06 update on 06GRC power costs.xls Chart 3_NIM Summary 11" xfId="12109"/>
    <cellStyle name="_VC 6.15.06 update on 06GRC power costs.xls Chart 3_NIM Summary 11 2" xfId="12110"/>
    <cellStyle name="_VC 6.15.06 update on 06GRC power costs.xls Chart 3_NIM Summary 12" xfId="12111"/>
    <cellStyle name="_VC 6.15.06 update on 06GRC power costs.xls Chart 3_NIM Summary 12 2" xfId="12112"/>
    <cellStyle name="_VC 6.15.06 update on 06GRC power costs.xls Chart 3_NIM Summary 13" xfId="12113"/>
    <cellStyle name="_VC 6.15.06 update on 06GRC power costs.xls Chart 3_NIM Summary 13 2" xfId="12114"/>
    <cellStyle name="_VC 6.15.06 update on 06GRC power costs.xls Chart 3_NIM Summary 14" xfId="12115"/>
    <cellStyle name="_VC 6.15.06 update on 06GRC power costs.xls Chart 3_NIM Summary 14 2" xfId="12116"/>
    <cellStyle name="_VC 6.15.06 update on 06GRC power costs.xls Chart 3_NIM Summary 15" xfId="12117"/>
    <cellStyle name="_VC 6.15.06 update on 06GRC power costs.xls Chart 3_NIM Summary 15 2" xfId="12118"/>
    <cellStyle name="_VC 6.15.06 update on 06GRC power costs.xls Chart 3_NIM Summary 16" xfId="12119"/>
    <cellStyle name="_VC 6.15.06 update on 06GRC power costs.xls Chart 3_NIM Summary 16 2" xfId="12120"/>
    <cellStyle name="_VC 6.15.06 update on 06GRC power costs.xls Chart 3_NIM Summary 17" xfId="12121"/>
    <cellStyle name="_VC 6.15.06 update on 06GRC power costs.xls Chart 3_NIM Summary 17 2" xfId="12122"/>
    <cellStyle name="_VC 6.15.06 update on 06GRC power costs.xls Chart 3_NIM Summary 18" xfId="12123"/>
    <cellStyle name="_VC 6.15.06 update on 06GRC power costs.xls Chart 3_NIM Summary 18 2" xfId="12124"/>
    <cellStyle name="_VC 6.15.06 update on 06GRC power costs.xls Chart 3_NIM Summary 19" xfId="12125"/>
    <cellStyle name="_VC 6.15.06 update on 06GRC power costs.xls Chart 3_NIM Summary 19 2" xfId="12126"/>
    <cellStyle name="_VC 6.15.06 update on 06GRC power costs.xls Chart 3_NIM Summary 2" xfId="12127"/>
    <cellStyle name="_VC 6.15.06 update on 06GRC power costs.xls Chart 3_NIM Summary 2 2" xfId="12128"/>
    <cellStyle name="_VC 6.15.06 update on 06GRC power costs.xls Chart 3_NIM Summary 20" xfId="12129"/>
    <cellStyle name="_VC 6.15.06 update on 06GRC power costs.xls Chart 3_NIM Summary 20 2" xfId="12130"/>
    <cellStyle name="_VC 6.15.06 update on 06GRC power costs.xls Chart 3_NIM Summary 21" xfId="12131"/>
    <cellStyle name="_VC 6.15.06 update on 06GRC power costs.xls Chart 3_NIM Summary 21 2" xfId="12132"/>
    <cellStyle name="_VC 6.15.06 update on 06GRC power costs.xls Chart 3_NIM Summary 22" xfId="12133"/>
    <cellStyle name="_VC 6.15.06 update on 06GRC power costs.xls Chart 3_NIM Summary 22 2" xfId="12134"/>
    <cellStyle name="_VC 6.15.06 update on 06GRC power costs.xls Chart 3_NIM Summary 23" xfId="12135"/>
    <cellStyle name="_VC 6.15.06 update on 06GRC power costs.xls Chart 3_NIM Summary 23 2" xfId="12136"/>
    <cellStyle name="_VC 6.15.06 update on 06GRC power costs.xls Chart 3_NIM Summary 24" xfId="12137"/>
    <cellStyle name="_VC 6.15.06 update on 06GRC power costs.xls Chart 3_NIM Summary 24 2" xfId="12138"/>
    <cellStyle name="_VC 6.15.06 update on 06GRC power costs.xls Chart 3_NIM Summary 25" xfId="12139"/>
    <cellStyle name="_VC 6.15.06 update on 06GRC power costs.xls Chart 3_NIM Summary 25 2" xfId="12140"/>
    <cellStyle name="_VC 6.15.06 update on 06GRC power costs.xls Chart 3_NIM Summary 26" xfId="12141"/>
    <cellStyle name="_VC 6.15.06 update on 06GRC power costs.xls Chart 3_NIM Summary 26 2" xfId="12142"/>
    <cellStyle name="_VC 6.15.06 update on 06GRC power costs.xls Chart 3_NIM Summary 27" xfId="12143"/>
    <cellStyle name="_VC 6.15.06 update on 06GRC power costs.xls Chart 3_NIM Summary 27 2" xfId="12144"/>
    <cellStyle name="_VC 6.15.06 update on 06GRC power costs.xls Chart 3_NIM Summary 28" xfId="12145"/>
    <cellStyle name="_VC 6.15.06 update on 06GRC power costs.xls Chart 3_NIM Summary 28 2" xfId="12146"/>
    <cellStyle name="_VC 6.15.06 update on 06GRC power costs.xls Chart 3_NIM Summary 29" xfId="12147"/>
    <cellStyle name="_VC 6.15.06 update on 06GRC power costs.xls Chart 3_NIM Summary 29 2" xfId="12148"/>
    <cellStyle name="_VC 6.15.06 update on 06GRC power costs.xls Chart 3_NIM Summary 3" xfId="12149"/>
    <cellStyle name="_VC 6.15.06 update on 06GRC power costs.xls Chart 3_NIM Summary 3 2" xfId="12150"/>
    <cellStyle name="_VC 6.15.06 update on 06GRC power costs.xls Chart 3_NIM Summary 30" xfId="12151"/>
    <cellStyle name="_VC 6.15.06 update on 06GRC power costs.xls Chart 3_NIM Summary 30 2" xfId="12152"/>
    <cellStyle name="_VC 6.15.06 update on 06GRC power costs.xls Chart 3_NIM Summary 31" xfId="12153"/>
    <cellStyle name="_VC 6.15.06 update on 06GRC power costs.xls Chart 3_NIM Summary 31 2" xfId="12154"/>
    <cellStyle name="_VC 6.15.06 update on 06GRC power costs.xls Chart 3_NIM Summary 32" xfId="12155"/>
    <cellStyle name="_VC 6.15.06 update on 06GRC power costs.xls Chart 3_NIM Summary 32 2" xfId="12156"/>
    <cellStyle name="_VC 6.15.06 update on 06GRC power costs.xls Chart 3_NIM Summary 33" xfId="12157"/>
    <cellStyle name="_VC 6.15.06 update on 06GRC power costs.xls Chart 3_NIM Summary 33 2" xfId="12158"/>
    <cellStyle name="_VC 6.15.06 update on 06GRC power costs.xls Chart 3_NIM Summary 34" xfId="12159"/>
    <cellStyle name="_VC 6.15.06 update on 06GRC power costs.xls Chart 3_NIM Summary 34 2" xfId="12160"/>
    <cellStyle name="_VC 6.15.06 update on 06GRC power costs.xls Chart 3_NIM Summary 35" xfId="12161"/>
    <cellStyle name="_VC 6.15.06 update on 06GRC power costs.xls Chart 3_NIM Summary 35 2" xfId="12162"/>
    <cellStyle name="_VC 6.15.06 update on 06GRC power costs.xls Chart 3_NIM Summary 36" xfId="12163"/>
    <cellStyle name="_VC 6.15.06 update on 06GRC power costs.xls Chart 3_NIM Summary 36 2" xfId="12164"/>
    <cellStyle name="_VC 6.15.06 update on 06GRC power costs.xls Chart 3_NIM Summary 37" xfId="12165"/>
    <cellStyle name="_VC 6.15.06 update on 06GRC power costs.xls Chart 3_NIM Summary 37 2" xfId="12166"/>
    <cellStyle name="_VC 6.15.06 update on 06GRC power costs.xls Chart 3_NIM Summary 38" xfId="12167"/>
    <cellStyle name="_VC 6.15.06 update on 06GRC power costs.xls Chart 3_NIM Summary 38 2" xfId="12168"/>
    <cellStyle name="_VC 6.15.06 update on 06GRC power costs.xls Chart 3_NIM Summary 39" xfId="12169"/>
    <cellStyle name="_VC 6.15.06 update on 06GRC power costs.xls Chart 3_NIM Summary 39 2" xfId="12170"/>
    <cellStyle name="_VC 6.15.06 update on 06GRC power costs.xls Chart 3_NIM Summary 4" xfId="12171"/>
    <cellStyle name="_VC 6.15.06 update on 06GRC power costs.xls Chart 3_NIM Summary 4 2" xfId="12172"/>
    <cellStyle name="_VC 6.15.06 update on 06GRC power costs.xls Chart 3_NIM Summary 40" xfId="12173"/>
    <cellStyle name="_VC 6.15.06 update on 06GRC power costs.xls Chart 3_NIM Summary 40 2" xfId="12174"/>
    <cellStyle name="_VC 6.15.06 update on 06GRC power costs.xls Chart 3_NIM Summary 41" xfId="12175"/>
    <cellStyle name="_VC 6.15.06 update on 06GRC power costs.xls Chart 3_NIM Summary 41 2" xfId="12176"/>
    <cellStyle name="_VC 6.15.06 update on 06GRC power costs.xls Chart 3_NIM Summary 42" xfId="12177"/>
    <cellStyle name="_VC 6.15.06 update on 06GRC power costs.xls Chart 3_NIM Summary 42 2" xfId="12178"/>
    <cellStyle name="_VC 6.15.06 update on 06GRC power costs.xls Chart 3_NIM Summary 43" xfId="12179"/>
    <cellStyle name="_VC 6.15.06 update on 06GRC power costs.xls Chart 3_NIM Summary 43 2" xfId="12180"/>
    <cellStyle name="_VC 6.15.06 update on 06GRC power costs.xls Chart 3_NIM Summary 44" xfId="12181"/>
    <cellStyle name="_VC 6.15.06 update on 06GRC power costs.xls Chart 3_NIM Summary 44 2" xfId="12182"/>
    <cellStyle name="_VC 6.15.06 update on 06GRC power costs.xls Chart 3_NIM Summary 45" xfId="12183"/>
    <cellStyle name="_VC 6.15.06 update on 06GRC power costs.xls Chart 3_NIM Summary 45 2" xfId="12184"/>
    <cellStyle name="_VC 6.15.06 update on 06GRC power costs.xls Chart 3_NIM Summary 46" xfId="12185"/>
    <cellStyle name="_VC 6.15.06 update on 06GRC power costs.xls Chart 3_NIM Summary 46 2" xfId="12186"/>
    <cellStyle name="_VC 6.15.06 update on 06GRC power costs.xls Chart 3_NIM Summary 47" xfId="12187"/>
    <cellStyle name="_VC 6.15.06 update on 06GRC power costs.xls Chart 3_NIM Summary 47 2" xfId="12188"/>
    <cellStyle name="_VC 6.15.06 update on 06GRC power costs.xls Chart 3_NIM Summary 48" xfId="12189"/>
    <cellStyle name="_VC 6.15.06 update on 06GRC power costs.xls Chart 3_NIM Summary 49" xfId="12190"/>
    <cellStyle name="_VC 6.15.06 update on 06GRC power costs.xls Chart 3_NIM Summary 5" xfId="12191"/>
    <cellStyle name="_VC 6.15.06 update on 06GRC power costs.xls Chart 3_NIM Summary 5 2" xfId="12192"/>
    <cellStyle name="_VC 6.15.06 update on 06GRC power costs.xls Chart 3_NIM Summary 50" xfId="12193"/>
    <cellStyle name="_VC 6.15.06 update on 06GRC power costs.xls Chart 3_NIM Summary 51" xfId="12194"/>
    <cellStyle name="_VC 6.15.06 update on 06GRC power costs.xls Chart 3_NIM Summary 52" xfId="12195"/>
    <cellStyle name="_VC 6.15.06 update on 06GRC power costs.xls Chart 3_NIM Summary 6" xfId="12196"/>
    <cellStyle name="_VC 6.15.06 update on 06GRC power costs.xls Chart 3_NIM Summary 6 2" xfId="12197"/>
    <cellStyle name="_VC 6.15.06 update on 06GRC power costs.xls Chart 3_NIM Summary 7" xfId="12198"/>
    <cellStyle name="_VC 6.15.06 update on 06GRC power costs.xls Chart 3_NIM Summary 7 2" xfId="12199"/>
    <cellStyle name="_VC 6.15.06 update on 06GRC power costs.xls Chart 3_NIM Summary 8" xfId="12200"/>
    <cellStyle name="_VC 6.15.06 update on 06GRC power costs.xls Chart 3_NIM Summary 8 2" xfId="12201"/>
    <cellStyle name="_VC 6.15.06 update on 06GRC power costs.xls Chart 3_NIM Summary 9" xfId="12202"/>
    <cellStyle name="_VC 6.15.06 update on 06GRC power costs.xls Chart 3_NIM Summary 9 2" xfId="12203"/>
    <cellStyle name="_VC 6.15.06 update on 06GRC power costs.xls Chart 3_NIM Summary_DEM-WP(C) ENERG10C--ctn Mid-C_042010 2010GRC" xfId="12204"/>
    <cellStyle name="_VC 6.15.06 update on 06GRC power costs.xls Chart 3_NIM Summary_DEM-WP(C) ENERG10C--ctn Mid-C_042010 2010GRC 2" xfId="12205"/>
    <cellStyle name="_VC 6.15.06 update on 06GRC power costs.xls Chart 3_PCA 10 -  Exhibit D Dec 2011" xfId="12206"/>
    <cellStyle name="_VC 6.15.06 update on 06GRC power costs.xls Chart 3_PCA 10 -  Exhibit D Dec 2011 2" xfId="12207"/>
    <cellStyle name="_VC 6.15.06 update on 06GRC power costs.xls Chart 3_PCA 10 -  Exhibit D from A Kellogg Jan 2011" xfId="12208"/>
    <cellStyle name="_VC 6.15.06 update on 06GRC power costs.xls Chart 3_PCA 10 -  Exhibit D from A Kellogg Jan 2011 2" xfId="12209"/>
    <cellStyle name="_VC 6.15.06 update on 06GRC power costs.xls Chart 3_PCA 10 -  Exhibit D from A Kellogg July 2011" xfId="12210"/>
    <cellStyle name="_VC 6.15.06 update on 06GRC power costs.xls Chart 3_PCA 10 -  Exhibit D from A Kellogg July 2011 2" xfId="12211"/>
    <cellStyle name="_VC 6.15.06 update on 06GRC power costs.xls Chart 3_PCA 10 -  Exhibit D from S Free Rcv'd 12-11" xfId="12212"/>
    <cellStyle name="_VC 6.15.06 update on 06GRC power costs.xls Chart 3_PCA 10 -  Exhibit D from S Free Rcv'd 12-11 2" xfId="12213"/>
    <cellStyle name="_VC 6.15.06 update on 06GRC power costs.xls Chart 3_PCA 11 -  Exhibit D Jan 2012 fr A Kellogg" xfId="12214"/>
    <cellStyle name="_VC 6.15.06 update on 06GRC power costs.xls Chart 3_PCA 11 -  Exhibit D Jan 2012 fr A Kellogg 2" xfId="12215"/>
    <cellStyle name="_VC 6.15.06 update on 06GRC power costs.xls Chart 3_PCA 11 -  Exhibit D Jan 2012 WF" xfId="12216"/>
    <cellStyle name="_VC 6.15.06 update on 06GRC power costs.xls Chart 3_PCA 11 -  Exhibit D Jan 2012 WF 2" xfId="12217"/>
    <cellStyle name="_VC 6.15.06 update on 06GRC power costs.xls Chart 3_PCA 9 -  Exhibit D April 2010" xfId="12218"/>
    <cellStyle name="_VC 6.15.06 update on 06GRC power costs.xls Chart 3_PCA 9 -  Exhibit D April 2010 (3)" xfId="12219"/>
    <cellStyle name="_VC 6.15.06 update on 06GRC power costs.xls Chart 3_PCA 9 -  Exhibit D April 2010 (3) 2" xfId="12220"/>
    <cellStyle name="_VC 6.15.06 update on 06GRC power costs.xls Chart 3_PCA 9 -  Exhibit D April 2010 (3) 2 2" xfId="12221"/>
    <cellStyle name="_VC 6.15.06 update on 06GRC power costs.xls Chart 3_PCA 9 -  Exhibit D April 2010 (3) 3" xfId="12222"/>
    <cellStyle name="_VC 6.15.06 update on 06GRC power costs.xls Chart 3_PCA 9 -  Exhibit D April 2010 (3) 3 2" xfId="12223"/>
    <cellStyle name="_VC 6.15.06 update on 06GRC power costs.xls Chart 3_PCA 9 -  Exhibit D April 2010 (3) 4" xfId="12224"/>
    <cellStyle name="_VC 6.15.06 update on 06GRC power costs.xls Chart 3_PCA 9 -  Exhibit D April 2010 (3)_DEM-WP(C) ENERG10C--ctn Mid-C_042010 2010GRC" xfId="12225"/>
    <cellStyle name="_VC 6.15.06 update on 06GRC power costs.xls Chart 3_PCA 9 -  Exhibit D April 2010 (3)_DEM-WP(C) ENERG10C--ctn Mid-C_042010 2010GRC 2" xfId="12226"/>
    <cellStyle name="_VC 6.15.06 update on 06GRC power costs.xls Chart 3_PCA 9 -  Exhibit D April 2010 2" xfId="12227"/>
    <cellStyle name="_VC 6.15.06 update on 06GRC power costs.xls Chart 3_PCA 9 -  Exhibit D April 2010 2 2" xfId="12228"/>
    <cellStyle name="_VC 6.15.06 update on 06GRC power costs.xls Chart 3_PCA 9 -  Exhibit D April 2010 3" xfId="12229"/>
    <cellStyle name="_VC 6.15.06 update on 06GRC power costs.xls Chart 3_PCA 9 -  Exhibit D April 2010 3 2" xfId="12230"/>
    <cellStyle name="_VC 6.15.06 update on 06GRC power costs.xls Chart 3_PCA 9 -  Exhibit D April 2010 4" xfId="12231"/>
    <cellStyle name="_VC 6.15.06 update on 06GRC power costs.xls Chart 3_PCA 9 -  Exhibit D April 2010 4 2" xfId="12232"/>
    <cellStyle name="_VC 6.15.06 update on 06GRC power costs.xls Chart 3_PCA 9 -  Exhibit D April 2010 5" xfId="12233"/>
    <cellStyle name="_VC 6.15.06 update on 06GRC power costs.xls Chart 3_PCA 9 -  Exhibit D April 2010 5 2" xfId="12234"/>
    <cellStyle name="_VC 6.15.06 update on 06GRC power costs.xls Chart 3_PCA 9 -  Exhibit D April 2010 6" xfId="12235"/>
    <cellStyle name="_VC 6.15.06 update on 06GRC power costs.xls Chart 3_PCA 9 -  Exhibit D April 2010 6 2" xfId="12236"/>
    <cellStyle name="_VC 6.15.06 update on 06GRC power costs.xls Chart 3_PCA 9 -  Exhibit D April 2010 7" xfId="12237"/>
    <cellStyle name="_VC 6.15.06 update on 06GRC power costs.xls Chart 3_PCA 9 -  Exhibit D Nov 2010" xfId="12238"/>
    <cellStyle name="_VC 6.15.06 update on 06GRC power costs.xls Chart 3_PCA 9 -  Exhibit D Nov 2010 2" xfId="12239"/>
    <cellStyle name="_VC 6.15.06 update on 06GRC power costs.xls Chart 3_PCA 9 -  Exhibit D Nov 2010 2 2" xfId="12240"/>
    <cellStyle name="_VC 6.15.06 update on 06GRC power costs.xls Chart 3_PCA 9 -  Exhibit D Nov 2010 3" xfId="12241"/>
    <cellStyle name="_VC 6.15.06 update on 06GRC power costs.xls Chart 3_PCA 9 - Exhibit D at August 2010" xfId="12242"/>
    <cellStyle name="_VC 6.15.06 update on 06GRC power costs.xls Chart 3_PCA 9 - Exhibit D at August 2010 2" xfId="12243"/>
    <cellStyle name="_VC 6.15.06 update on 06GRC power costs.xls Chart 3_PCA 9 - Exhibit D at August 2010 2 2" xfId="12244"/>
    <cellStyle name="_VC 6.15.06 update on 06GRC power costs.xls Chart 3_PCA 9 - Exhibit D at August 2010 3" xfId="12245"/>
    <cellStyle name="_VC 6.15.06 update on 06GRC power costs.xls Chart 3_PCA 9 - Exhibit D June 2010 GRC" xfId="12246"/>
    <cellStyle name="_VC 6.15.06 update on 06GRC power costs.xls Chart 3_PCA 9 - Exhibit D June 2010 GRC 2" xfId="12247"/>
    <cellStyle name="_VC 6.15.06 update on 06GRC power costs.xls Chart 3_PCA 9 - Exhibit D June 2010 GRC 2 2" xfId="12248"/>
    <cellStyle name="_VC 6.15.06 update on 06GRC power costs.xls Chart 3_PCA 9 - Exhibit D June 2010 GRC 3" xfId="12249"/>
    <cellStyle name="_VC 6.15.06 update on 06GRC power costs.xls Chart 3_Power Costs - Comparison bx Rbtl-Staff-Jt-PC" xfId="12250"/>
    <cellStyle name="_VC 6.15.06 update on 06GRC power costs.xls Chart 3_Power Costs - Comparison bx Rbtl-Staff-Jt-PC 2" xfId="12251"/>
    <cellStyle name="_VC 6.15.06 update on 06GRC power costs.xls Chart 3_Power Costs - Comparison bx Rbtl-Staff-Jt-PC 2 2" xfId="12252"/>
    <cellStyle name="_VC 6.15.06 update on 06GRC power costs.xls Chart 3_Power Costs - Comparison bx Rbtl-Staff-Jt-PC 3" xfId="12253"/>
    <cellStyle name="_VC 6.15.06 update on 06GRC power costs.xls Chart 3_Power Costs - Comparison bx Rbtl-Staff-Jt-PC 3 2" xfId="12254"/>
    <cellStyle name="_VC 6.15.06 update on 06GRC power costs.xls Chart 3_Power Costs - Comparison bx Rbtl-Staff-Jt-PC 4" xfId="12255"/>
    <cellStyle name="_VC 6.15.06 update on 06GRC power costs.xls Chart 3_Power Costs - Comparison bx Rbtl-Staff-Jt-PC_Adj Bench DR 3 for Initial Briefs (Electric)" xfId="12256"/>
    <cellStyle name="_VC 6.15.06 update on 06GRC power costs.xls Chart 3_Power Costs - Comparison bx Rbtl-Staff-Jt-PC_Adj Bench DR 3 for Initial Briefs (Electric) 2" xfId="12257"/>
    <cellStyle name="_VC 6.15.06 update on 06GRC power costs.xls Chart 3_Power Costs - Comparison bx Rbtl-Staff-Jt-PC_Adj Bench DR 3 for Initial Briefs (Electric) 2 2" xfId="12258"/>
    <cellStyle name="_VC 6.15.06 update on 06GRC power costs.xls Chart 3_Power Costs - Comparison bx Rbtl-Staff-Jt-PC_Adj Bench DR 3 for Initial Briefs (Electric) 3" xfId="12259"/>
    <cellStyle name="_VC 6.15.06 update on 06GRC power costs.xls Chart 3_Power Costs - Comparison bx Rbtl-Staff-Jt-PC_Adj Bench DR 3 for Initial Briefs (Electric) 3 2" xfId="12260"/>
    <cellStyle name="_VC 6.15.06 update on 06GRC power costs.xls Chart 3_Power Costs - Comparison bx Rbtl-Staff-Jt-PC_Adj Bench DR 3 for Initial Briefs (Electric) 4" xfId="12261"/>
    <cellStyle name="_VC 6.15.06 update on 06GRC power costs.xls Chart 3_Power Costs - Comparison bx Rbtl-Staff-Jt-PC_Adj Bench DR 3 for Initial Briefs (Electric)_DEM-WP(C) ENERG10C--ctn Mid-C_042010 2010GRC" xfId="12262"/>
    <cellStyle name="_VC 6.15.06 update on 06GRC power costs.xls Chart 3_Power Costs - Comparison bx Rbtl-Staff-Jt-PC_Adj Bench DR 3 for Initial Briefs (Electric)_DEM-WP(C) ENERG10C--ctn Mid-C_042010 2010GRC 2" xfId="12263"/>
    <cellStyle name="_VC 6.15.06 update on 06GRC power costs.xls Chart 3_Power Costs - Comparison bx Rbtl-Staff-Jt-PC_DEM-WP(C) ENERG10C--ctn Mid-C_042010 2010GRC" xfId="12264"/>
    <cellStyle name="_VC 6.15.06 update on 06GRC power costs.xls Chart 3_Power Costs - Comparison bx Rbtl-Staff-Jt-PC_DEM-WP(C) ENERG10C--ctn Mid-C_042010 2010GRC 2" xfId="12265"/>
    <cellStyle name="_VC 6.15.06 update on 06GRC power costs.xls Chart 3_Power Costs - Comparison bx Rbtl-Staff-Jt-PC_Electric Rev Req Model (2009 GRC) Rebuttal" xfId="12266"/>
    <cellStyle name="_VC 6.15.06 update on 06GRC power costs.xls Chart 3_Power Costs - Comparison bx Rbtl-Staff-Jt-PC_Electric Rev Req Model (2009 GRC) Rebuttal 2" xfId="12267"/>
    <cellStyle name="_VC 6.15.06 update on 06GRC power costs.xls Chart 3_Power Costs - Comparison bx Rbtl-Staff-Jt-PC_Electric Rev Req Model (2009 GRC) Rebuttal 2 2" xfId="12268"/>
    <cellStyle name="_VC 6.15.06 update on 06GRC power costs.xls Chart 3_Power Costs - Comparison bx Rbtl-Staff-Jt-PC_Electric Rev Req Model (2009 GRC) Rebuttal 3" xfId="12269"/>
    <cellStyle name="_VC 6.15.06 update on 06GRC power costs.xls Chart 3_Power Costs - Comparison bx Rbtl-Staff-Jt-PC_Electric Rev Req Model (2009 GRC) Rebuttal REmoval of New  WH Solar AdjustMI" xfId="12270"/>
    <cellStyle name="_VC 6.15.06 update on 06GRC power costs.xls Chart 3_Power Costs - Comparison bx Rbtl-Staff-Jt-PC_Electric Rev Req Model (2009 GRC) Rebuttal REmoval of New  WH Solar AdjustMI 2" xfId="12271"/>
    <cellStyle name="_VC 6.15.06 update on 06GRC power costs.xls Chart 3_Power Costs - Comparison bx Rbtl-Staff-Jt-PC_Electric Rev Req Model (2009 GRC) Rebuttal REmoval of New  WH Solar AdjustMI 2 2" xfId="12272"/>
    <cellStyle name="_VC 6.15.06 update on 06GRC power costs.xls Chart 3_Power Costs - Comparison bx Rbtl-Staff-Jt-PC_Electric Rev Req Model (2009 GRC) Rebuttal REmoval of New  WH Solar AdjustMI 3" xfId="12273"/>
    <cellStyle name="_VC 6.15.06 update on 06GRC power costs.xls Chart 3_Power Costs - Comparison bx Rbtl-Staff-Jt-PC_Electric Rev Req Model (2009 GRC) Rebuttal REmoval of New  WH Solar AdjustMI 3 2" xfId="12274"/>
    <cellStyle name="_VC 6.15.06 update on 06GRC power costs.xls Chart 3_Power Costs - Comparison bx Rbtl-Staff-Jt-PC_Electric Rev Req Model (2009 GRC) Rebuttal REmoval of New  WH Solar AdjustMI 4" xfId="12275"/>
    <cellStyle name="_VC 6.15.06 update on 06GRC power costs.xls Chart 3_Power Costs - Comparison bx Rbtl-Staff-Jt-PC_Electric Rev Req Model (2009 GRC) Rebuttal REmoval of New  WH Solar AdjustMI_DEM-WP(C) ENERG10C--ctn Mid-C_042010 2010GRC" xfId="12276"/>
    <cellStyle name="_VC 6.15.06 update on 06GRC power costs.xls Chart 3_Power Costs - Comparison bx Rbtl-Staff-Jt-PC_Electric Rev Req Model (2009 GRC) Rebuttal REmoval of New  WH Solar AdjustMI_DEM-WP(C) ENERG10C--ctn Mid-C_042010 2010GRC 2" xfId="12277"/>
    <cellStyle name="_VC 6.15.06 update on 06GRC power costs.xls Chart 3_Power Costs - Comparison bx Rbtl-Staff-Jt-PC_Electric Rev Req Model (2009 GRC) Revised 01-18-2010" xfId="12278"/>
    <cellStyle name="_VC 6.15.06 update on 06GRC power costs.xls Chart 3_Power Costs - Comparison bx Rbtl-Staff-Jt-PC_Electric Rev Req Model (2009 GRC) Revised 01-18-2010 2" xfId="12279"/>
    <cellStyle name="_VC 6.15.06 update on 06GRC power costs.xls Chart 3_Power Costs - Comparison bx Rbtl-Staff-Jt-PC_Electric Rev Req Model (2009 GRC) Revised 01-18-2010 2 2" xfId="12280"/>
    <cellStyle name="_VC 6.15.06 update on 06GRC power costs.xls Chart 3_Power Costs - Comparison bx Rbtl-Staff-Jt-PC_Electric Rev Req Model (2009 GRC) Revised 01-18-2010 3" xfId="12281"/>
    <cellStyle name="_VC 6.15.06 update on 06GRC power costs.xls Chart 3_Power Costs - Comparison bx Rbtl-Staff-Jt-PC_Electric Rev Req Model (2009 GRC) Revised 01-18-2010 3 2" xfId="12282"/>
    <cellStyle name="_VC 6.15.06 update on 06GRC power costs.xls Chart 3_Power Costs - Comparison bx Rbtl-Staff-Jt-PC_Electric Rev Req Model (2009 GRC) Revised 01-18-2010 4" xfId="12283"/>
    <cellStyle name="_VC 6.15.06 update on 06GRC power costs.xls Chart 3_Power Costs - Comparison bx Rbtl-Staff-Jt-PC_Electric Rev Req Model (2009 GRC) Revised 01-18-2010_DEM-WP(C) ENERG10C--ctn Mid-C_042010 2010GRC" xfId="12284"/>
    <cellStyle name="_VC 6.15.06 update on 06GRC power costs.xls Chart 3_Power Costs - Comparison bx Rbtl-Staff-Jt-PC_Electric Rev Req Model (2009 GRC) Revised 01-18-2010_DEM-WP(C) ENERG10C--ctn Mid-C_042010 2010GRC 2" xfId="12285"/>
    <cellStyle name="_VC 6.15.06 update on 06GRC power costs.xls Chart 3_Power Costs - Comparison bx Rbtl-Staff-Jt-PC_Final Order Electric EXHIBIT A-1" xfId="12286"/>
    <cellStyle name="_VC 6.15.06 update on 06GRC power costs.xls Chart 3_Power Costs - Comparison bx Rbtl-Staff-Jt-PC_Final Order Electric EXHIBIT A-1 2" xfId="12287"/>
    <cellStyle name="_VC 6.15.06 update on 06GRC power costs.xls Chart 3_Power Costs - Comparison bx Rbtl-Staff-Jt-PC_Final Order Electric EXHIBIT A-1 2 2" xfId="12288"/>
    <cellStyle name="_VC 6.15.06 update on 06GRC power costs.xls Chart 3_Power Costs - Comparison bx Rbtl-Staff-Jt-PC_Final Order Electric EXHIBIT A-1 3" xfId="12289"/>
    <cellStyle name="_VC 6.15.06 update on 06GRC power costs.xls Chart 3_Production Adj 4.37" xfId="21291"/>
    <cellStyle name="_VC 6.15.06 update on 06GRC power costs.xls Chart 3_Purchased Power Adj 4.03" xfId="21292"/>
    <cellStyle name="_VC 6.15.06 update on 06GRC power costs.xls Chart 3_Rebuttal Power Costs" xfId="12290"/>
    <cellStyle name="_VC 6.15.06 update on 06GRC power costs.xls Chart 3_Rebuttal Power Costs 2" xfId="12291"/>
    <cellStyle name="_VC 6.15.06 update on 06GRC power costs.xls Chart 3_Rebuttal Power Costs 2 2" xfId="12292"/>
    <cellStyle name="_VC 6.15.06 update on 06GRC power costs.xls Chart 3_Rebuttal Power Costs 3" xfId="12293"/>
    <cellStyle name="_VC 6.15.06 update on 06GRC power costs.xls Chart 3_Rebuttal Power Costs 3 2" xfId="12294"/>
    <cellStyle name="_VC 6.15.06 update on 06GRC power costs.xls Chart 3_Rebuttal Power Costs 4" xfId="12295"/>
    <cellStyle name="_VC 6.15.06 update on 06GRC power costs.xls Chart 3_Rebuttal Power Costs_Adj Bench DR 3 for Initial Briefs (Electric)" xfId="12296"/>
    <cellStyle name="_VC 6.15.06 update on 06GRC power costs.xls Chart 3_Rebuttal Power Costs_Adj Bench DR 3 for Initial Briefs (Electric) 2" xfId="12297"/>
    <cellStyle name="_VC 6.15.06 update on 06GRC power costs.xls Chart 3_Rebuttal Power Costs_Adj Bench DR 3 for Initial Briefs (Electric) 2 2" xfId="12298"/>
    <cellStyle name="_VC 6.15.06 update on 06GRC power costs.xls Chart 3_Rebuttal Power Costs_Adj Bench DR 3 for Initial Briefs (Electric) 3" xfId="12299"/>
    <cellStyle name="_VC 6.15.06 update on 06GRC power costs.xls Chart 3_Rebuttal Power Costs_Adj Bench DR 3 for Initial Briefs (Electric) 3 2" xfId="12300"/>
    <cellStyle name="_VC 6.15.06 update on 06GRC power costs.xls Chart 3_Rebuttal Power Costs_Adj Bench DR 3 for Initial Briefs (Electric) 4" xfId="12301"/>
    <cellStyle name="_VC 6.15.06 update on 06GRC power costs.xls Chart 3_Rebuttal Power Costs_Adj Bench DR 3 for Initial Briefs (Electric)_DEM-WP(C) ENERG10C--ctn Mid-C_042010 2010GRC" xfId="12302"/>
    <cellStyle name="_VC 6.15.06 update on 06GRC power costs.xls Chart 3_Rebuttal Power Costs_Adj Bench DR 3 for Initial Briefs (Electric)_DEM-WP(C) ENERG10C--ctn Mid-C_042010 2010GRC 2" xfId="12303"/>
    <cellStyle name="_VC 6.15.06 update on 06GRC power costs.xls Chart 3_Rebuttal Power Costs_DEM-WP(C) ENERG10C--ctn Mid-C_042010 2010GRC" xfId="12304"/>
    <cellStyle name="_VC 6.15.06 update on 06GRC power costs.xls Chart 3_Rebuttal Power Costs_DEM-WP(C) ENERG10C--ctn Mid-C_042010 2010GRC 2" xfId="12305"/>
    <cellStyle name="_VC 6.15.06 update on 06GRC power costs.xls Chart 3_Rebuttal Power Costs_Electric Rev Req Model (2009 GRC) Rebuttal" xfId="12306"/>
    <cellStyle name="_VC 6.15.06 update on 06GRC power costs.xls Chart 3_Rebuttal Power Costs_Electric Rev Req Model (2009 GRC) Rebuttal 2" xfId="12307"/>
    <cellStyle name="_VC 6.15.06 update on 06GRC power costs.xls Chart 3_Rebuttal Power Costs_Electric Rev Req Model (2009 GRC) Rebuttal 2 2" xfId="12308"/>
    <cellStyle name="_VC 6.15.06 update on 06GRC power costs.xls Chart 3_Rebuttal Power Costs_Electric Rev Req Model (2009 GRC) Rebuttal 3" xfId="12309"/>
    <cellStyle name="_VC 6.15.06 update on 06GRC power costs.xls Chart 3_Rebuttal Power Costs_Electric Rev Req Model (2009 GRC) Rebuttal REmoval of New  WH Solar AdjustMI" xfId="12310"/>
    <cellStyle name="_VC 6.15.06 update on 06GRC power costs.xls Chart 3_Rebuttal Power Costs_Electric Rev Req Model (2009 GRC) Rebuttal REmoval of New  WH Solar AdjustMI 2" xfId="12311"/>
    <cellStyle name="_VC 6.15.06 update on 06GRC power costs.xls Chart 3_Rebuttal Power Costs_Electric Rev Req Model (2009 GRC) Rebuttal REmoval of New  WH Solar AdjustMI 2 2" xfId="12312"/>
    <cellStyle name="_VC 6.15.06 update on 06GRC power costs.xls Chart 3_Rebuttal Power Costs_Electric Rev Req Model (2009 GRC) Rebuttal REmoval of New  WH Solar AdjustMI 3" xfId="12313"/>
    <cellStyle name="_VC 6.15.06 update on 06GRC power costs.xls Chart 3_Rebuttal Power Costs_Electric Rev Req Model (2009 GRC) Rebuttal REmoval of New  WH Solar AdjustMI 3 2" xfId="12314"/>
    <cellStyle name="_VC 6.15.06 update on 06GRC power costs.xls Chart 3_Rebuttal Power Costs_Electric Rev Req Model (2009 GRC) Rebuttal REmoval of New  WH Solar AdjustMI 4" xfId="12315"/>
    <cellStyle name="_VC 6.15.06 update on 06GRC power costs.xls Chart 3_Rebuttal Power Costs_Electric Rev Req Model (2009 GRC) Rebuttal REmoval of New  WH Solar AdjustMI_DEM-WP(C) ENERG10C--ctn Mid-C_042010 2010GRC" xfId="12316"/>
    <cellStyle name="_VC 6.15.06 update on 06GRC power costs.xls Chart 3_Rebuttal Power Costs_Electric Rev Req Model (2009 GRC) Rebuttal REmoval of New  WH Solar AdjustMI_DEM-WP(C) ENERG10C--ctn Mid-C_042010 2010GRC 2" xfId="12317"/>
    <cellStyle name="_VC 6.15.06 update on 06GRC power costs.xls Chart 3_Rebuttal Power Costs_Electric Rev Req Model (2009 GRC) Revised 01-18-2010" xfId="12318"/>
    <cellStyle name="_VC 6.15.06 update on 06GRC power costs.xls Chart 3_Rebuttal Power Costs_Electric Rev Req Model (2009 GRC) Revised 01-18-2010 2" xfId="12319"/>
    <cellStyle name="_VC 6.15.06 update on 06GRC power costs.xls Chart 3_Rebuttal Power Costs_Electric Rev Req Model (2009 GRC) Revised 01-18-2010 2 2" xfId="12320"/>
    <cellStyle name="_VC 6.15.06 update on 06GRC power costs.xls Chart 3_Rebuttal Power Costs_Electric Rev Req Model (2009 GRC) Revised 01-18-2010 3" xfId="12321"/>
    <cellStyle name="_VC 6.15.06 update on 06GRC power costs.xls Chart 3_Rebuttal Power Costs_Electric Rev Req Model (2009 GRC) Revised 01-18-2010 3 2" xfId="12322"/>
    <cellStyle name="_VC 6.15.06 update on 06GRC power costs.xls Chart 3_Rebuttal Power Costs_Electric Rev Req Model (2009 GRC) Revised 01-18-2010 4" xfId="12323"/>
    <cellStyle name="_VC 6.15.06 update on 06GRC power costs.xls Chart 3_Rebuttal Power Costs_Electric Rev Req Model (2009 GRC) Revised 01-18-2010_DEM-WP(C) ENERG10C--ctn Mid-C_042010 2010GRC" xfId="12324"/>
    <cellStyle name="_VC 6.15.06 update on 06GRC power costs.xls Chart 3_Rebuttal Power Costs_Electric Rev Req Model (2009 GRC) Revised 01-18-2010_DEM-WP(C) ENERG10C--ctn Mid-C_042010 2010GRC 2" xfId="12325"/>
    <cellStyle name="_VC 6.15.06 update on 06GRC power costs.xls Chart 3_Rebuttal Power Costs_Final Order Electric EXHIBIT A-1" xfId="12326"/>
    <cellStyle name="_VC 6.15.06 update on 06GRC power costs.xls Chart 3_Rebuttal Power Costs_Final Order Electric EXHIBIT A-1 2" xfId="12327"/>
    <cellStyle name="_VC 6.15.06 update on 06GRC power costs.xls Chart 3_Rebuttal Power Costs_Final Order Electric EXHIBIT A-1 2 2" xfId="12328"/>
    <cellStyle name="_VC 6.15.06 update on 06GRC power costs.xls Chart 3_Rebuttal Power Costs_Final Order Electric EXHIBIT A-1 3" xfId="12329"/>
    <cellStyle name="_VC 6.15.06 update on 06GRC power costs.xls Chart 3_ROR 5.02" xfId="21293"/>
    <cellStyle name="_VC 6.15.06 update on 06GRC power costs.xls Chart 3_Wind Integration 10GRC" xfId="12330"/>
    <cellStyle name="_VC 6.15.06 update on 06GRC power costs.xls Chart 3_Wind Integration 10GRC 2" xfId="12331"/>
    <cellStyle name="_VC 6.15.06 update on 06GRC power costs.xls Chart 3_Wind Integration 10GRC 2 2" xfId="12332"/>
    <cellStyle name="_VC 6.15.06 update on 06GRC power costs.xls Chart 3_Wind Integration 10GRC 3" xfId="12333"/>
    <cellStyle name="_VC 6.15.06 update on 06GRC power costs.xls Chart 3_Wind Integration 10GRC 3 2" xfId="12334"/>
    <cellStyle name="_VC 6.15.06 update on 06GRC power costs.xls Chart 3_Wind Integration 10GRC 4" xfId="12335"/>
    <cellStyle name="_VC 6.15.06 update on 06GRC power costs.xls Chart 3_Wind Integration 10GRC_DEM-WP(C) ENERG10C--ctn Mid-C_042010 2010GRC" xfId="12336"/>
    <cellStyle name="_VC 6.15.06 update on 06GRC power costs.xls Chart 3_Wind Integration 10GRC_DEM-WP(C) ENERG10C--ctn Mid-C_042010 2010GRC 2" xfId="12337"/>
    <cellStyle name="_VC Mid C Generation-ctn Mid-C_011209" xfId="12338"/>
    <cellStyle name="_VC Mid C Generation-ctn Mid-C_011209 2" xfId="12339"/>
    <cellStyle name="_VC Mid C Generation-ctn Mid-C_011209 2 2" xfId="12340"/>
    <cellStyle name="_VC Mid C Generation-ctn Mid-C_011209 2 2 2" xfId="12341"/>
    <cellStyle name="_VC Mid C Generation-ctn Mid-C_011209 2 3" xfId="12342"/>
    <cellStyle name="_VC Mid C Generation-ctn Mid-C_011209 3" xfId="12343"/>
    <cellStyle name="_Worksheet" xfId="12344"/>
    <cellStyle name="_Worksheet 2" xfId="12345"/>
    <cellStyle name="_Worksheet 2 2" xfId="12346"/>
    <cellStyle name="_Worksheet 2 2 2" xfId="12347"/>
    <cellStyle name="_Worksheet 2 3" xfId="12348"/>
    <cellStyle name="_Worksheet 3" xfId="12349"/>
    <cellStyle name="_Worksheet 3 2" xfId="12350"/>
    <cellStyle name="_Worksheet 4" xfId="12351"/>
    <cellStyle name="_Worksheet 4 2" xfId="12352"/>
    <cellStyle name="_Worksheet 4 2 2" xfId="12353"/>
    <cellStyle name="_Worksheet 4 3" xfId="12354"/>
    <cellStyle name="_Worksheet 5" xfId="12355"/>
    <cellStyle name="_Worksheet 5 2" xfId="12356"/>
    <cellStyle name="_Worksheet 6" xfId="12357"/>
    <cellStyle name="_Worksheet 6 2" xfId="12358"/>
    <cellStyle name="_Worksheet_Chelan PUD Power Costs (8-10)" xfId="12359"/>
    <cellStyle name="_Worksheet_Chelan PUD Power Costs (8-10) 2" xfId="12360"/>
    <cellStyle name="_Worksheet_DEM-WP(C) Chelan Power Costs" xfId="12361"/>
    <cellStyle name="_Worksheet_DEM-WP(C) Chelan Power Costs 2" xfId="12362"/>
    <cellStyle name="_Worksheet_DEM-WP(C) ENERG10C--ctn Mid-C_042010 2010GRC" xfId="12363"/>
    <cellStyle name="_Worksheet_DEM-WP(C) ENERG10C--ctn Mid-C_042010 2010GRC 2" xfId="12364"/>
    <cellStyle name="_Worksheet_DEM-WP(C) Gas Transport 2010GRC" xfId="12365"/>
    <cellStyle name="_Worksheet_DEM-WP(C) Gas Transport 2010GRC 2" xfId="12366"/>
    <cellStyle name="_Worksheet_NIM Summary" xfId="12367"/>
    <cellStyle name="_Worksheet_NIM Summary 2" xfId="12368"/>
    <cellStyle name="_Worksheet_NIM Summary 2 2" xfId="12369"/>
    <cellStyle name="_Worksheet_NIM Summary 3" xfId="12370"/>
    <cellStyle name="_Worksheet_NIM Summary 3 2" xfId="12371"/>
    <cellStyle name="_Worksheet_NIM Summary 4" xfId="12372"/>
    <cellStyle name="_Worksheet_NIM Summary_DEM-WP(C) ENERG10C--ctn Mid-C_042010 2010GRC" xfId="12373"/>
    <cellStyle name="_Worksheet_NIM Summary_DEM-WP(C) ENERG10C--ctn Mid-C_042010 2010GRC 2" xfId="12374"/>
    <cellStyle name="_Worksheet_Transmission Workbook for May BOD" xfId="12375"/>
    <cellStyle name="_Worksheet_Transmission Workbook for May BOD 2" xfId="12376"/>
    <cellStyle name="_Worksheet_Transmission Workbook for May BOD 2 2" xfId="12377"/>
    <cellStyle name="_Worksheet_Transmission Workbook for May BOD 3" xfId="12378"/>
    <cellStyle name="_Worksheet_Transmission Workbook for May BOD 3 2" xfId="12379"/>
    <cellStyle name="_Worksheet_Transmission Workbook for May BOD 4" xfId="12380"/>
    <cellStyle name="_Worksheet_Transmission Workbook for May BOD_DEM-WP(C) ENERG10C--ctn Mid-C_042010 2010GRC" xfId="12381"/>
    <cellStyle name="_Worksheet_Transmission Workbook for May BOD_DEM-WP(C) ENERG10C--ctn Mid-C_042010 2010GRC 2" xfId="12382"/>
    <cellStyle name="_Worksheet_Wind Integration 10GRC" xfId="12383"/>
    <cellStyle name="_Worksheet_Wind Integration 10GRC 2" xfId="12384"/>
    <cellStyle name="_Worksheet_Wind Integration 10GRC 2 2" xfId="12385"/>
    <cellStyle name="_Worksheet_Wind Integration 10GRC 3" xfId="12386"/>
    <cellStyle name="_Worksheet_Wind Integration 10GRC 3 2" xfId="12387"/>
    <cellStyle name="_Worksheet_Wind Integration 10GRC 4" xfId="12388"/>
    <cellStyle name="_Worksheet_Wind Integration 10GRC_DEM-WP(C) ENERG10C--ctn Mid-C_042010 2010GRC" xfId="12389"/>
    <cellStyle name="_Worksheet_Wind Integration 10GRC_DEM-WP(C) ENERG10C--ctn Mid-C_042010 2010GRC 2" xfId="12390"/>
    <cellStyle name="0,0_x000d__x000a_NA_x000d__x000a_" xfId="12391"/>
    <cellStyle name="0,0_x000d__x000a_NA_x000d__x000a_ 2" xfId="12392"/>
    <cellStyle name="0000" xfId="12393"/>
    <cellStyle name="000000" xfId="12394"/>
    <cellStyle name="14BLIN - Style8" xfId="12395"/>
    <cellStyle name="14BLIN - Style8 2" xfId="12396"/>
    <cellStyle name="14BLIN - Style8 2 2" xfId="12397"/>
    <cellStyle name="14BLIN - Style8 2 2 2" xfId="12398"/>
    <cellStyle name="14BLIN - Style8 2 3" xfId="12399"/>
    <cellStyle name="14BLIN - Style8 2 3 2" xfId="12400"/>
    <cellStyle name="14BLIN - Style8 2 4" xfId="12401"/>
    <cellStyle name="14BLIN - Style8 2 4 2" xfId="12402"/>
    <cellStyle name="14BLIN - Style8 3" xfId="12403"/>
    <cellStyle name="14BLIN - Style8 3 2" xfId="12404"/>
    <cellStyle name="14BLIN - Style8 4" xfId="12405"/>
    <cellStyle name="14BLIN - Style8 4 2" xfId="12406"/>
    <cellStyle name="14BLIN - Style8 5" xfId="12407"/>
    <cellStyle name="14BLIN - Style8 5 2" xfId="12408"/>
    <cellStyle name="14-BT - Style1" xfId="12409"/>
    <cellStyle name="20% - Accent1 10" xfId="12410"/>
    <cellStyle name="20% - Accent1 10 2" xfId="12411"/>
    <cellStyle name="20% - Accent1 10 2 2" xfId="18594"/>
    <cellStyle name="20% - Accent1 10 2 3" xfId="18595"/>
    <cellStyle name="20% - Accent1 11" xfId="12412"/>
    <cellStyle name="20% - Accent1 11 2" xfId="12413"/>
    <cellStyle name="20% - Accent1 11 2 2" xfId="18345"/>
    <cellStyle name="20% - Accent1 11 3" xfId="18344"/>
    <cellStyle name="20% - Accent1 12" xfId="12414"/>
    <cellStyle name="20% - Accent1 12 2" xfId="18346"/>
    <cellStyle name="20% - Accent1 2" xfId="13"/>
    <cellStyle name="20% - Accent1 2 10" xfId="18596"/>
    <cellStyle name="20% - Accent1 2 11" xfId="18597"/>
    <cellStyle name="20% - Accent1 2 12" xfId="18598"/>
    <cellStyle name="20% - Accent1 2 12 2" xfId="18599"/>
    <cellStyle name="20% - Accent1 2 2" xfId="14"/>
    <cellStyle name="20% - Accent1 2 2 2" xfId="15"/>
    <cellStyle name="20% - Accent1 2 2 2 2" xfId="16"/>
    <cellStyle name="20% - Accent1 2 2 2 2 2" xfId="12415"/>
    <cellStyle name="20% - Accent1 2 2 2 2 3" xfId="18600"/>
    <cellStyle name="20% - Accent1 2 2 2 3" xfId="12416"/>
    <cellStyle name="20% - Accent1 2 2 2 4" xfId="18601"/>
    <cellStyle name="20% - Accent1 2 2 2 5" xfId="18602"/>
    <cellStyle name="20% - Accent1 2 2 3" xfId="17"/>
    <cellStyle name="20% - Accent1 2 2 3 2" xfId="18"/>
    <cellStyle name="20% - Accent1 2 2 3 2 2" xfId="18603"/>
    <cellStyle name="20% - Accent1 2 2 3 2 3" xfId="18604"/>
    <cellStyle name="20% - Accent1 2 2 3 3" xfId="18605"/>
    <cellStyle name="20% - Accent1 2 2 3 4" xfId="18606"/>
    <cellStyle name="20% - Accent1 2 2 3 5" xfId="18607"/>
    <cellStyle name="20% - Accent1 2 2 4" xfId="19"/>
    <cellStyle name="20% - Accent1 2 2 4 2" xfId="18608"/>
    <cellStyle name="20% - Accent1 2 2 4 3" xfId="18609"/>
    <cellStyle name="20% - Accent1 2 2 4 4" xfId="18610"/>
    <cellStyle name="20% - Accent1 2 2 5" xfId="18611"/>
    <cellStyle name="20% - Accent1 2 2 5 2" xfId="18612"/>
    <cellStyle name="20% - Accent1 2 2 6" xfId="18613"/>
    <cellStyle name="20% - Accent1 2 2 7" xfId="18614"/>
    <cellStyle name="20% - Accent1 2 2 8" xfId="18615"/>
    <cellStyle name="20% - Accent1 2 3" xfId="20"/>
    <cellStyle name="20% - Accent1 2 3 2" xfId="21"/>
    <cellStyle name="20% - Accent1 2 3 2 2" xfId="22"/>
    <cellStyle name="20% - Accent1 2 3 2 2 2" xfId="12417"/>
    <cellStyle name="20% - Accent1 2 3 2 2 3" xfId="18616"/>
    <cellStyle name="20% - Accent1 2 3 2 3" xfId="12418"/>
    <cellStyle name="20% - Accent1 2 3 2 4" xfId="18617"/>
    <cellStyle name="20% - Accent1 2 3 2 5" xfId="18618"/>
    <cellStyle name="20% - Accent1 2 3 3" xfId="23"/>
    <cellStyle name="20% - Accent1 2 3 3 2" xfId="12419"/>
    <cellStyle name="20% - Accent1 2 3 3 3" xfId="18619"/>
    <cellStyle name="20% - Accent1 2 3 3 4" xfId="18620"/>
    <cellStyle name="20% - Accent1 2 3 4" xfId="12420"/>
    <cellStyle name="20% - Accent1 2 3 5" xfId="18621"/>
    <cellStyle name="20% - Accent1 2 3 6" xfId="18622"/>
    <cellStyle name="20% - Accent1 2 3 7" xfId="18623"/>
    <cellStyle name="20% - Accent1 2 4" xfId="24"/>
    <cellStyle name="20% - Accent1 2 4 2" xfId="25"/>
    <cellStyle name="20% - Accent1 2 4 2 2" xfId="12421"/>
    <cellStyle name="20% - Accent1 2 4 2 3" xfId="18624"/>
    <cellStyle name="20% - Accent1 2 4 2 4" xfId="18625"/>
    <cellStyle name="20% - Accent1 2 4 3" xfId="12422"/>
    <cellStyle name="20% - Accent1 2 4 3 2" xfId="12423"/>
    <cellStyle name="20% - Accent1 2 4 4" xfId="12424"/>
    <cellStyle name="20% - Accent1 2 4 5" xfId="18626"/>
    <cellStyle name="20% - Accent1 2 4 6" xfId="18627"/>
    <cellStyle name="20% - Accent1 2 5" xfId="26"/>
    <cellStyle name="20% - Accent1 2 5 2" xfId="12425"/>
    <cellStyle name="20% - Accent1 2 5 3" xfId="18628"/>
    <cellStyle name="20% - Accent1 2 5 4" xfId="18629"/>
    <cellStyle name="20% - Accent1 2 6" xfId="27"/>
    <cellStyle name="20% - Accent1 2 6 2" xfId="18253"/>
    <cellStyle name="20% - Accent1 2 6 2 2" xfId="18630"/>
    <cellStyle name="20% - Accent1 2 6 2 3" xfId="18631"/>
    <cellStyle name="20% - Accent1 2 6 2 4" xfId="18632"/>
    <cellStyle name="20% - Accent1 2 6 3" xfId="18633"/>
    <cellStyle name="20% - Accent1 2 6 3 2" xfId="18634"/>
    <cellStyle name="20% - Accent1 2 6 3 3" xfId="18635"/>
    <cellStyle name="20% - Accent1 2 6 4" xfId="18636"/>
    <cellStyle name="20% - Accent1 2 6 4 2" xfId="18637"/>
    <cellStyle name="20% - Accent1 2 6 5" xfId="18638"/>
    <cellStyle name="20% - Accent1 2 6 6" xfId="18639"/>
    <cellStyle name="20% - Accent1 2 6 7" xfId="18640"/>
    <cellStyle name="20% - Accent1 2 6 8" xfId="18641"/>
    <cellStyle name="20% - Accent1 2 7" xfId="28"/>
    <cellStyle name="20% - Accent1 2 7 2" xfId="18642"/>
    <cellStyle name="20% - Accent1 2 7 3" xfId="18643"/>
    <cellStyle name="20% - Accent1 2 7 4" xfId="18644"/>
    <cellStyle name="20% - Accent1 2 8" xfId="29"/>
    <cellStyle name="20% - Accent1 2 8 2" xfId="18645"/>
    <cellStyle name="20% - Accent1 2 9" xfId="18646"/>
    <cellStyle name="20% - Accent1 2 9 2" xfId="18647"/>
    <cellStyle name="20% - Accent1 2_12PCORC Wind Vestas and Royalties" xfId="12426"/>
    <cellStyle name="20% - Accent1 3" xfId="30"/>
    <cellStyle name="20% - Accent1 3 2" xfId="31"/>
    <cellStyle name="20% - Accent1 3 2 2" xfId="32"/>
    <cellStyle name="20% - Accent1 3 2 2 2" xfId="12427"/>
    <cellStyle name="20% - Accent1 3 2 2 3" xfId="18648"/>
    <cellStyle name="20% - Accent1 3 2 2 4" xfId="18649"/>
    <cellStyle name="20% - Accent1 3 2 3" xfId="33"/>
    <cellStyle name="20% - Accent1 3 2 3 2" xfId="12428"/>
    <cellStyle name="20% - Accent1 3 2 3 3" xfId="18650"/>
    <cellStyle name="20% - Accent1 3 2 3 4" xfId="18651"/>
    <cellStyle name="20% - Accent1 3 2 4" xfId="12429"/>
    <cellStyle name="20% - Accent1 3 2 4 2" xfId="12430"/>
    <cellStyle name="20% - Accent1 3 2 5" xfId="12431"/>
    <cellStyle name="20% - Accent1 3 2 6" xfId="18652"/>
    <cellStyle name="20% - Accent1 3 2 7" xfId="18653"/>
    <cellStyle name="20% - Accent1 3 3" xfId="34"/>
    <cellStyle name="20% - Accent1 3 3 2" xfId="35"/>
    <cellStyle name="20% - Accent1 3 3 2 2" xfId="12432"/>
    <cellStyle name="20% - Accent1 3 3 2 3" xfId="12433"/>
    <cellStyle name="20% - Accent1 3 3 2 3 2" xfId="18347"/>
    <cellStyle name="20% - Accent1 3 3 2 4" xfId="18654"/>
    <cellStyle name="20% - Accent1 3 3 3" xfId="12434"/>
    <cellStyle name="20% - Accent1 3 3 3 2" xfId="18655"/>
    <cellStyle name="20% - Accent1 3 3 4" xfId="12435"/>
    <cellStyle name="20% - Accent1 3 3 4 2" xfId="18348"/>
    <cellStyle name="20% - Accent1 3 3 5" xfId="18656"/>
    <cellStyle name="20% - Accent1 3 3 6" xfId="18657"/>
    <cellStyle name="20% - Accent1 3 4" xfId="36"/>
    <cellStyle name="20% - Accent1 3 4 2" xfId="12436"/>
    <cellStyle name="20% - Accent1 3 4 3" xfId="18658"/>
    <cellStyle name="20% - Accent1 3 4 4" xfId="18659"/>
    <cellStyle name="20% - Accent1 3 5" xfId="37"/>
    <cellStyle name="20% - Accent1 3 5 2" xfId="18660"/>
    <cellStyle name="20% - Accent1 3 6" xfId="18661"/>
    <cellStyle name="20% - Accent1 3 7" xfId="18662"/>
    <cellStyle name="20% - Accent1 3 8" xfId="18663"/>
    <cellStyle name="20% - Accent1 4" xfId="38"/>
    <cellStyle name="20% - Accent1 4 2" xfId="39"/>
    <cellStyle name="20% - Accent1 4 2 2" xfId="40"/>
    <cellStyle name="20% - Accent1 4 2 2 2" xfId="12437"/>
    <cellStyle name="20% - Accent1 4 2 2 3" xfId="18664"/>
    <cellStyle name="20% - Accent1 4 2 2 4" xfId="18665"/>
    <cellStyle name="20% - Accent1 4 2 3" xfId="12438"/>
    <cellStyle name="20% - Accent1 4 2 3 2" xfId="18666"/>
    <cellStyle name="20% - Accent1 4 2 4" xfId="18667"/>
    <cellStyle name="20% - Accent1 4 2 5" xfId="18668"/>
    <cellStyle name="20% - Accent1 4 2 6" xfId="18669"/>
    <cellStyle name="20% - Accent1 4 3" xfId="41"/>
    <cellStyle name="20% - Accent1 4 3 2" xfId="42"/>
    <cellStyle name="20% - Accent1 4 3 3" xfId="18670"/>
    <cellStyle name="20% - Accent1 4 3 4" xfId="18671"/>
    <cellStyle name="20% - Accent1 4 4" xfId="43"/>
    <cellStyle name="20% - Accent1 4 4 2" xfId="18672"/>
    <cellStyle name="20% - Accent1 4 4 3" xfId="18673"/>
    <cellStyle name="20% - Accent1 4 4 4" xfId="18674"/>
    <cellStyle name="20% - Accent1 4 5" xfId="44"/>
    <cellStyle name="20% - Accent1 4 5 2" xfId="18675"/>
    <cellStyle name="20% - Accent1 4 6" xfId="18676"/>
    <cellStyle name="20% - Accent1 4 6 2" xfId="18677"/>
    <cellStyle name="20% - Accent1 4 7" xfId="18678"/>
    <cellStyle name="20% - Accent1 4 8" xfId="18679"/>
    <cellStyle name="20% - Accent1 5" xfId="45"/>
    <cellStyle name="20% - Accent1 5 2" xfId="46"/>
    <cellStyle name="20% - Accent1 5 2 2" xfId="12439"/>
    <cellStyle name="20% - Accent1 5 2 2 2" xfId="18680"/>
    <cellStyle name="20% - Accent1 5 2 2 2 2" xfId="18681"/>
    <cellStyle name="20% - Accent1 5 2 2 2 3" xfId="18682"/>
    <cellStyle name="20% - Accent1 5 2 2 3" xfId="18683"/>
    <cellStyle name="20% - Accent1 5 2 2 3 2" xfId="18684"/>
    <cellStyle name="20% - Accent1 5 2 2 4" xfId="18685"/>
    <cellStyle name="20% - Accent1 5 2 2 5" xfId="18686"/>
    <cellStyle name="20% - Accent1 5 2 3" xfId="18687"/>
    <cellStyle name="20% - Accent1 5 2 4" xfId="18688"/>
    <cellStyle name="20% - Accent1 5 3" xfId="47"/>
    <cellStyle name="20% - Accent1 5 3 2" xfId="12440"/>
    <cellStyle name="20% - Accent1 5 3 3" xfId="18689"/>
    <cellStyle name="20% - Accent1 5 3 4" xfId="18690"/>
    <cellStyle name="20% - Accent1 5 4" xfId="12441"/>
    <cellStyle name="20% - Accent1 5 4 2" xfId="12442"/>
    <cellStyle name="20% - Accent1 5 5" xfId="12443"/>
    <cellStyle name="20% - Accent1 5 5 2" xfId="18691"/>
    <cellStyle name="20% - Accent1 5 5 2 2" xfId="18692"/>
    <cellStyle name="20% - Accent1 5 5 2 3" xfId="18693"/>
    <cellStyle name="20% - Accent1 5 5 3" xfId="18694"/>
    <cellStyle name="20% - Accent1 5 5 3 2" xfId="18695"/>
    <cellStyle name="20% - Accent1 5 5 4" xfId="18696"/>
    <cellStyle name="20% - Accent1 5 5 5" xfId="18697"/>
    <cellStyle name="20% - Accent1 5 6" xfId="18698"/>
    <cellStyle name="20% - Accent1 5 6 2" xfId="18699"/>
    <cellStyle name="20% - Accent1 5 6 2 2" xfId="18700"/>
    <cellStyle name="20% - Accent1 5 6 2 3" xfId="18701"/>
    <cellStyle name="20% - Accent1 5 6 3" xfId="18702"/>
    <cellStyle name="20% - Accent1 5 6 3 2" xfId="18703"/>
    <cellStyle name="20% - Accent1 5 6 4" xfId="18704"/>
    <cellStyle name="20% - Accent1 5 6 5" xfId="18705"/>
    <cellStyle name="20% - Accent1 5 6 6" xfId="18706"/>
    <cellStyle name="20% - Accent1 5 6 7" xfId="18707"/>
    <cellStyle name="20% - Accent1 5 7" xfId="18708"/>
    <cellStyle name="20% - Accent1 5 7 2" xfId="18709"/>
    <cellStyle name="20% - Accent1 5 7 2 2" xfId="18710"/>
    <cellStyle name="20% - Accent1 5 7 3" xfId="18711"/>
    <cellStyle name="20% - Accent1 5 7 4" xfId="18712"/>
    <cellStyle name="20% - Accent1 5 8" xfId="18713"/>
    <cellStyle name="20% - Accent1 5 8 2" xfId="18714"/>
    <cellStyle name="20% - Accent1 5 9" xfId="18715"/>
    <cellStyle name="20% - Accent1 6" xfId="48"/>
    <cellStyle name="20% - Accent1 6 2" xfId="49"/>
    <cellStyle name="20% - Accent1 6 2 2" xfId="12444"/>
    <cellStyle name="20% - Accent1 6 2 3" xfId="12445"/>
    <cellStyle name="20% - Accent1 6 2 3 2" xfId="18349"/>
    <cellStyle name="20% - Accent1 6 2 4" xfId="18716"/>
    <cellStyle name="20% - Accent1 6 3" xfId="12446"/>
    <cellStyle name="20% - Accent1 6 3 2" xfId="12447"/>
    <cellStyle name="20% - Accent1 6 4" xfId="12448"/>
    <cellStyle name="20% - Accent1 6 4 2" xfId="18717"/>
    <cellStyle name="20% - Accent1 6 4 2 2" xfId="18718"/>
    <cellStyle name="20% - Accent1 6 4 3" xfId="18719"/>
    <cellStyle name="20% - Accent1 6 4 4" xfId="18720"/>
    <cellStyle name="20% - Accent1 6 4 5" xfId="18721"/>
    <cellStyle name="20% - Accent1 6 4 6" xfId="18722"/>
    <cellStyle name="20% - Accent1 6 5" xfId="12449"/>
    <cellStyle name="20% - Accent1 6 5 2" xfId="18350"/>
    <cellStyle name="20% - Accent1 6 5 3" xfId="18723"/>
    <cellStyle name="20% - Accent1 6 5 4" xfId="18724"/>
    <cellStyle name="20% - Accent1 6 5 5" xfId="18725"/>
    <cellStyle name="20% - Accent1 6 6" xfId="18726"/>
    <cellStyle name="20% - Accent1 6 7" xfId="18727"/>
    <cellStyle name="20% - Accent1 6 8" xfId="18728"/>
    <cellStyle name="20% - Accent1 6 9" xfId="18729"/>
    <cellStyle name="20% - Accent1 7" xfId="50"/>
    <cellStyle name="20% - Accent1 7 2" xfId="12450"/>
    <cellStyle name="20% - Accent1 7 2 2" xfId="18730"/>
    <cellStyle name="20% - Accent1 7 2 2 2" xfId="18731"/>
    <cellStyle name="20% - Accent1 7 2 3" xfId="18732"/>
    <cellStyle name="20% - Accent1 7 2 4" xfId="18733"/>
    <cellStyle name="20% - Accent1 7 3" xfId="18734"/>
    <cellStyle name="20% - Accent1 7 3 2" xfId="18735"/>
    <cellStyle name="20% - Accent1 7 3 3" xfId="18736"/>
    <cellStyle name="20% - Accent1 7 4" xfId="18737"/>
    <cellStyle name="20% - Accent1 7 4 2" xfId="18738"/>
    <cellStyle name="20% - Accent1 7 4 3" xfId="18739"/>
    <cellStyle name="20% - Accent1 7 5" xfId="18740"/>
    <cellStyle name="20% - Accent1 7 6" xfId="18741"/>
    <cellStyle name="20% - Accent1 8" xfId="12451"/>
    <cellStyle name="20% - Accent1 8 2" xfId="12452"/>
    <cellStyle name="20% - Accent1 8 2 2" xfId="18742"/>
    <cellStyle name="20% - Accent1 8 2 2 2" xfId="18743"/>
    <cellStyle name="20% - Accent1 8 2 3" xfId="18744"/>
    <cellStyle name="20% - Accent1 8 2 4" xfId="18745"/>
    <cellStyle name="20% - Accent1 8 3" xfId="18746"/>
    <cellStyle name="20% - Accent1 8 3 2" xfId="18747"/>
    <cellStyle name="20% - Accent1 8 3 2 2" xfId="18748"/>
    <cellStyle name="20% - Accent1 8 3 3" xfId="18749"/>
    <cellStyle name="20% - Accent1 8 3 4" xfId="18750"/>
    <cellStyle name="20% - Accent1 8 4" xfId="18751"/>
    <cellStyle name="20% - Accent1 9" xfId="12453"/>
    <cellStyle name="20% - Accent1 9 2" xfId="12454"/>
    <cellStyle name="20% - Accent1 9 2 2" xfId="18752"/>
    <cellStyle name="20% - Accent1 9 2 3" xfId="18753"/>
    <cellStyle name="20% - Accent1 9 3" xfId="18754"/>
    <cellStyle name="20% - Accent1 9 4" xfId="18755"/>
    <cellStyle name="20% - Accent1 9 5" xfId="18756"/>
    <cellStyle name="20% - Accent2 10" xfId="12455"/>
    <cellStyle name="20% - Accent2 10 2" xfId="12456"/>
    <cellStyle name="20% - Accent2 10 2 2" xfId="18757"/>
    <cellStyle name="20% - Accent2 10 2 3" xfId="18758"/>
    <cellStyle name="20% - Accent2 11" xfId="12457"/>
    <cellStyle name="20% - Accent2 11 2" xfId="12458"/>
    <cellStyle name="20% - Accent2 11 2 2" xfId="18352"/>
    <cellStyle name="20% - Accent2 11 3" xfId="18351"/>
    <cellStyle name="20% - Accent2 12" xfId="12459"/>
    <cellStyle name="20% - Accent2 12 2" xfId="18353"/>
    <cellStyle name="20% - Accent2 2" xfId="51"/>
    <cellStyle name="20% - Accent2 2 10" xfId="18759"/>
    <cellStyle name="20% - Accent2 2 11" xfId="18760"/>
    <cellStyle name="20% - Accent2 2 12" xfId="18761"/>
    <cellStyle name="20% - Accent2 2 12 2" xfId="18762"/>
    <cellStyle name="20% - Accent2 2 2" xfId="52"/>
    <cellStyle name="20% - Accent2 2 2 2" xfId="53"/>
    <cellStyle name="20% - Accent2 2 2 2 2" xfId="54"/>
    <cellStyle name="20% - Accent2 2 2 2 2 2" xfId="12460"/>
    <cellStyle name="20% - Accent2 2 2 2 2 3" xfId="18763"/>
    <cellStyle name="20% - Accent2 2 2 2 3" xfId="12461"/>
    <cellStyle name="20% - Accent2 2 2 2 4" xfId="18764"/>
    <cellStyle name="20% - Accent2 2 2 2 5" xfId="18765"/>
    <cellStyle name="20% - Accent2 2 2 3" xfId="55"/>
    <cellStyle name="20% - Accent2 2 2 3 2" xfId="56"/>
    <cellStyle name="20% - Accent2 2 2 3 2 2" xfId="18766"/>
    <cellStyle name="20% - Accent2 2 2 3 2 3" xfId="18767"/>
    <cellStyle name="20% - Accent2 2 2 3 3" xfId="18768"/>
    <cellStyle name="20% - Accent2 2 2 3 4" xfId="18769"/>
    <cellStyle name="20% - Accent2 2 2 3 5" xfId="18770"/>
    <cellStyle name="20% - Accent2 2 2 4" xfId="57"/>
    <cellStyle name="20% - Accent2 2 2 4 2" xfId="18771"/>
    <cellStyle name="20% - Accent2 2 2 4 3" xfId="18772"/>
    <cellStyle name="20% - Accent2 2 2 4 4" xfId="18773"/>
    <cellStyle name="20% - Accent2 2 2 5" xfId="18774"/>
    <cellStyle name="20% - Accent2 2 2 5 2" xfId="18775"/>
    <cellStyle name="20% - Accent2 2 2 6" xfId="18776"/>
    <cellStyle name="20% - Accent2 2 2 7" xfId="18777"/>
    <cellStyle name="20% - Accent2 2 2 8" xfId="18778"/>
    <cellStyle name="20% - Accent2 2 3" xfId="58"/>
    <cellStyle name="20% - Accent2 2 3 2" xfId="59"/>
    <cellStyle name="20% - Accent2 2 3 2 2" xfId="60"/>
    <cellStyle name="20% - Accent2 2 3 2 2 2" xfId="12462"/>
    <cellStyle name="20% - Accent2 2 3 2 2 3" xfId="18779"/>
    <cellStyle name="20% - Accent2 2 3 2 3" xfId="12463"/>
    <cellStyle name="20% - Accent2 2 3 2 4" xfId="18780"/>
    <cellStyle name="20% - Accent2 2 3 2 5" xfId="18781"/>
    <cellStyle name="20% - Accent2 2 3 3" xfId="61"/>
    <cellStyle name="20% - Accent2 2 3 3 2" xfId="12464"/>
    <cellStyle name="20% - Accent2 2 3 3 3" xfId="18782"/>
    <cellStyle name="20% - Accent2 2 3 3 4" xfId="18783"/>
    <cellStyle name="20% - Accent2 2 3 4" xfId="12465"/>
    <cellStyle name="20% - Accent2 2 3 5" xfId="18784"/>
    <cellStyle name="20% - Accent2 2 3 6" xfId="18785"/>
    <cellStyle name="20% - Accent2 2 3 7" xfId="18786"/>
    <cellStyle name="20% - Accent2 2 4" xfId="62"/>
    <cellStyle name="20% - Accent2 2 4 2" xfId="63"/>
    <cellStyle name="20% - Accent2 2 4 2 2" xfId="12466"/>
    <cellStyle name="20% - Accent2 2 4 2 3" xfId="18787"/>
    <cellStyle name="20% - Accent2 2 4 2 4" xfId="18788"/>
    <cellStyle name="20% - Accent2 2 4 3" xfId="12467"/>
    <cellStyle name="20% - Accent2 2 4 3 2" xfId="12468"/>
    <cellStyle name="20% - Accent2 2 4 4" xfId="12469"/>
    <cellStyle name="20% - Accent2 2 4 5" xfId="18789"/>
    <cellStyle name="20% - Accent2 2 4 6" xfId="18790"/>
    <cellStyle name="20% - Accent2 2 5" xfId="64"/>
    <cellStyle name="20% - Accent2 2 5 2" xfId="12470"/>
    <cellStyle name="20% - Accent2 2 5 3" xfId="18791"/>
    <cellStyle name="20% - Accent2 2 5 4" xfId="18792"/>
    <cellStyle name="20% - Accent2 2 6" xfId="65"/>
    <cellStyle name="20% - Accent2 2 6 2" xfId="18254"/>
    <cellStyle name="20% - Accent2 2 6 2 2" xfId="18793"/>
    <cellStyle name="20% - Accent2 2 6 2 3" xfId="18794"/>
    <cellStyle name="20% - Accent2 2 6 2 4" xfId="18795"/>
    <cellStyle name="20% - Accent2 2 6 3" xfId="18796"/>
    <cellStyle name="20% - Accent2 2 6 3 2" xfId="18797"/>
    <cellStyle name="20% - Accent2 2 6 3 3" xfId="18798"/>
    <cellStyle name="20% - Accent2 2 6 4" xfId="18799"/>
    <cellStyle name="20% - Accent2 2 6 4 2" xfId="18800"/>
    <cellStyle name="20% - Accent2 2 6 5" xfId="18801"/>
    <cellStyle name="20% - Accent2 2 6 6" xfId="18802"/>
    <cellStyle name="20% - Accent2 2 6 7" xfId="18803"/>
    <cellStyle name="20% - Accent2 2 6 8" xfId="18804"/>
    <cellStyle name="20% - Accent2 2 7" xfId="66"/>
    <cellStyle name="20% - Accent2 2 7 2" xfId="18805"/>
    <cellStyle name="20% - Accent2 2 7 3" xfId="18806"/>
    <cellStyle name="20% - Accent2 2 7 4" xfId="18807"/>
    <cellStyle name="20% - Accent2 2 8" xfId="67"/>
    <cellStyle name="20% - Accent2 2 8 2" xfId="18808"/>
    <cellStyle name="20% - Accent2 2 9" xfId="18809"/>
    <cellStyle name="20% - Accent2 2 9 2" xfId="18810"/>
    <cellStyle name="20% - Accent2 2_12PCORC Wind Vestas and Royalties" xfId="12471"/>
    <cellStyle name="20% - Accent2 3" xfId="68"/>
    <cellStyle name="20% - Accent2 3 2" xfId="69"/>
    <cellStyle name="20% - Accent2 3 2 2" xfId="70"/>
    <cellStyle name="20% - Accent2 3 2 2 2" xfId="12472"/>
    <cellStyle name="20% - Accent2 3 2 2 3" xfId="18811"/>
    <cellStyle name="20% - Accent2 3 2 2 4" xfId="18812"/>
    <cellStyle name="20% - Accent2 3 2 3" xfId="71"/>
    <cellStyle name="20% - Accent2 3 2 3 2" xfId="12473"/>
    <cellStyle name="20% - Accent2 3 2 3 3" xfId="18813"/>
    <cellStyle name="20% - Accent2 3 2 3 4" xfId="18814"/>
    <cellStyle name="20% - Accent2 3 2 4" xfId="12474"/>
    <cellStyle name="20% - Accent2 3 2 4 2" xfId="12475"/>
    <cellStyle name="20% - Accent2 3 2 5" xfId="12476"/>
    <cellStyle name="20% - Accent2 3 2 6" xfId="18815"/>
    <cellStyle name="20% - Accent2 3 2 7" xfId="18816"/>
    <cellStyle name="20% - Accent2 3 3" xfId="72"/>
    <cellStyle name="20% - Accent2 3 3 2" xfId="73"/>
    <cellStyle name="20% - Accent2 3 3 2 2" xfId="12477"/>
    <cellStyle name="20% - Accent2 3 3 2 3" xfId="12478"/>
    <cellStyle name="20% - Accent2 3 3 2 3 2" xfId="18354"/>
    <cellStyle name="20% - Accent2 3 3 2 4" xfId="18817"/>
    <cellStyle name="20% - Accent2 3 3 3" xfId="12479"/>
    <cellStyle name="20% - Accent2 3 3 3 2" xfId="18818"/>
    <cellStyle name="20% - Accent2 3 3 4" xfId="12480"/>
    <cellStyle name="20% - Accent2 3 3 4 2" xfId="18355"/>
    <cellStyle name="20% - Accent2 3 3 5" xfId="18819"/>
    <cellStyle name="20% - Accent2 3 3 6" xfId="18820"/>
    <cellStyle name="20% - Accent2 3 4" xfId="74"/>
    <cellStyle name="20% - Accent2 3 4 2" xfId="12481"/>
    <cellStyle name="20% - Accent2 3 4 3" xfId="18821"/>
    <cellStyle name="20% - Accent2 3 4 4" xfId="18822"/>
    <cellStyle name="20% - Accent2 3 5" xfId="75"/>
    <cellStyle name="20% - Accent2 3 5 2" xfId="18823"/>
    <cellStyle name="20% - Accent2 3 6" xfId="18824"/>
    <cellStyle name="20% - Accent2 3 7" xfId="18825"/>
    <cellStyle name="20% - Accent2 3 8" xfId="18826"/>
    <cellStyle name="20% - Accent2 4" xfId="76"/>
    <cellStyle name="20% - Accent2 4 2" xfId="77"/>
    <cellStyle name="20% - Accent2 4 2 2" xfId="78"/>
    <cellStyle name="20% - Accent2 4 2 2 2" xfId="12482"/>
    <cellStyle name="20% - Accent2 4 2 2 3" xfId="18827"/>
    <cellStyle name="20% - Accent2 4 2 2 4" xfId="18828"/>
    <cellStyle name="20% - Accent2 4 2 3" xfId="12483"/>
    <cellStyle name="20% - Accent2 4 2 3 2" xfId="18829"/>
    <cellStyle name="20% - Accent2 4 2 4" xfId="18830"/>
    <cellStyle name="20% - Accent2 4 2 5" xfId="18831"/>
    <cellStyle name="20% - Accent2 4 2 6" xfId="18832"/>
    <cellStyle name="20% - Accent2 4 3" xfId="79"/>
    <cellStyle name="20% - Accent2 4 3 2" xfId="80"/>
    <cellStyle name="20% - Accent2 4 3 3" xfId="18833"/>
    <cellStyle name="20% - Accent2 4 3 4" xfId="18834"/>
    <cellStyle name="20% - Accent2 4 4" xfId="81"/>
    <cellStyle name="20% - Accent2 4 4 2" xfId="18835"/>
    <cellStyle name="20% - Accent2 4 4 3" xfId="18836"/>
    <cellStyle name="20% - Accent2 4 4 4" xfId="18837"/>
    <cellStyle name="20% - Accent2 4 5" xfId="82"/>
    <cellStyle name="20% - Accent2 4 5 2" xfId="18838"/>
    <cellStyle name="20% - Accent2 4 6" xfId="18839"/>
    <cellStyle name="20% - Accent2 4 6 2" xfId="18840"/>
    <cellStyle name="20% - Accent2 4 7" xfId="18841"/>
    <cellStyle name="20% - Accent2 4 8" xfId="18842"/>
    <cellStyle name="20% - Accent2 5" xfId="83"/>
    <cellStyle name="20% - Accent2 5 2" xfId="84"/>
    <cellStyle name="20% - Accent2 5 2 2" xfId="12484"/>
    <cellStyle name="20% - Accent2 5 2 2 2" xfId="18843"/>
    <cellStyle name="20% - Accent2 5 2 2 2 2" xfId="18844"/>
    <cellStyle name="20% - Accent2 5 2 2 2 3" xfId="18845"/>
    <cellStyle name="20% - Accent2 5 2 2 3" xfId="18846"/>
    <cellStyle name="20% - Accent2 5 2 2 3 2" xfId="18847"/>
    <cellStyle name="20% - Accent2 5 2 2 4" xfId="18848"/>
    <cellStyle name="20% - Accent2 5 2 2 5" xfId="18849"/>
    <cellStyle name="20% - Accent2 5 2 3" xfId="18850"/>
    <cellStyle name="20% - Accent2 5 2 4" xfId="18851"/>
    <cellStyle name="20% - Accent2 5 3" xfId="85"/>
    <cellStyle name="20% - Accent2 5 3 2" xfId="12485"/>
    <cellStyle name="20% - Accent2 5 3 3" xfId="18852"/>
    <cellStyle name="20% - Accent2 5 3 4" xfId="18853"/>
    <cellStyle name="20% - Accent2 5 4" xfId="12486"/>
    <cellStyle name="20% - Accent2 5 4 2" xfId="12487"/>
    <cellStyle name="20% - Accent2 5 5" xfId="12488"/>
    <cellStyle name="20% - Accent2 5 5 2" xfId="18854"/>
    <cellStyle name="20% - Accent2 5 5 2 2" xfId="18855"/>
    <cellStyle name="20% - Accent2 5 5 2 3" xfId="18856"/>
    <cellStyle name="20% - Accent2 5 5 3" xfId="18857"/>
    <cellStyle name="20% - Accent2 5 5 3 2" xfId="18858"/>
    <cellStyle name="20% - Accent2 5 5 4" xfId="18859"/>
    <cellStyle name="20% - Accent2 5 5 5" xfId="18860"/>
    <cellStyle name="20% - Accent2 5 6" xfId="18861"/>
    <cellStyle name="20% - Accent2 5 6 2" xfId="18862"/>
    <cellStyle name="20% - Accent2 5 6 2 2" xfId="18863"/>
    <cellStyle name="20% - Accent2 5 6 2 3" xfId="18864"/>
    <cellStyle name="20% - Accent2 5 6 3" xfId="18865"/>
    <cellStyle name="20% - Accent2 5 6 3 2" xfId="18866"/>
    <cellStyle name="20% - Accent2 5 6 4" xfId="18867"/>
    <cellStyle name="20% - Accent2 5 6 5" xfId="18868"/>
    <cellStyle name="20% - Accent2 5 6 6" xfId="18869"/>
    <cellStyle name="20% - Accent2 5 6 7" xfId="18870"/>
    <cellStyle name="20% - Accent2 5 7" xfId="18871"/>
    <cellStyle name="20% - Accent2 5 7 2" xfId="18872"/>
    <cellStyle name="20% - Accent2 5 7 2 2" xfId="18873"/>
    <cellStyle name="20% - Accent2 5 7 3" xfId="18874"/>
    <cellStyle name="20% - Accent2 5 7 4" xfId="18875"/>
    <cellStyle name="20% - Accent2 5 8" xfId="18876"/>
    <cellStyle name="20% - Accent2 5 8 2" xfId="18877"/>
    <cellStyle name="20% - Accent2 5 9" xfId="18878"/>
    <cellStyle name="20% - Accent2 6" xfId="86"/>
    <cellStyle name="20% - Accent2 6 2" xfId="87"/>
    <cellStyle name="20% - Accent2 6 2 2" xfId="12489"/>
    <cellStyle name="20% - Accent2 6 2 3" xfId="12490"/>
    <cellStyle name="20% - Accent2 6 2 3 2" xfId="18356"/>
    <cellStyle name="20% - Accent2 6 2 4" xfId="18879"/>
    <cellStyle name="20% - Accent2 6 3" xfId="12491"/>
    <cellStyle name="20% - Accent2 6 3 2" xfId="12492"/>
    <cellStyle name="20% - Accent2 6 4" xfId="12493"/>
    <cellStyle name="20% - Accent2 6 4 2" xfId="18880"/>
    <cellStyle name="20% - Accent2 6 4 2 2" xfId="18881"/>
    <cellStyle name="20% - Accent2 6 4 3" xfId="18882"/>
    <cellStyle name="20% - Accent2 6 4 4" xfId="18883"/>
    <cellStyle name="20% - Accent2 6 4 5" xfId="18884"/>
    <cellStyle name="20% - Accent2 6 4 6" xfId="18885"/>
    <cellStyle name="20% - Accent2 6 5" xfId="12494"/>
    <cellStyle name="20% - Accent2 6 5 2" xfId="18357"/>
    <cellStyle name="20% - Accent2 6 5 3" xfId="18886"/>
    <cellStyle name="20% - Accent2 6 5 4" xfId="18887"/>
    <cellStyle name="20% - Accent2 6 5 5" xfId="18888"/>
    <cellStyle name="20% - Accent2 6 6" xfId="18889"/>
    <cellStyle name="20% - Accent2 6 7" xfId="18890"/>
    <cellStyle name="20% - Accent2 6 8" xfId="18891"/>
    <cellStyle name="20% - Accent2 6 9" xfId="18892"/>
    <cellStyle name="20% - Accent2 7" xfId="88"/>
    <cellStyle name="20% - Accent2 7 2" xfId="12495"/>
    <cellStyle name="20% - Accent2 7 2 2" xfId="18893"/>
    <cellStyle name="20% - Accent2 7 2 2 2" xfId="18894"/>
    <cellStyle name="20% - Accent2 7 2 3" xfId="18895"/>
    <cellStyle name="20% - Accent2 7 2 4" xfId="18896"/>
    <cellStyle name="20% - Accent2 7 3" xfId="18897"/>
    <cellStyle name="20% - Accent2 7 3 2" xfId="18898"/>
    <cellStyle name="20% - Accent2 7 3 3" xfId="18899"/>
    <cellStyle name="20% - Accent2 7 4" xfId="18900"/>
    <cellStyle name="20% - Accent2 7 4 2" xfId="18901"/>
    <cellStyle name="20% - Accent2 7 4 3" xfId="18902"/>
    <cellStyle name="20% - Accent2 7 5" xfId="18903"/>
    <cellStyle name="20% - Accent2 7 6" xfId="18904"/>
    <cellStyle name="20% - Accent2 8" xfId="12496"/>
    <cellStyle name="20% - Accent2 8 2" xfId="12497"/>
    <cellStyle name="20% - Accent2 8 2 2" xfId="18905"/>
    <cellStyle name="20% - Accent2 8 2 2 2" xfId="18906"/>
    <cellStyle name="20% - Accent2 8 2 3" xfId="18907"/>
    <cellStyle name="20% - Accent2 8 2 4" xfId="18908"/>
    <cellStyle name="20% - Accent2 8 3" xfId="18909"/>
    <cellStyle name="20% - Accent2 8 3 2" xfId="18910"/>
    <cellStyle name="20% - Accent2 8 3 2 2" xfId="18911"/>
    <cellStyle name="20% - Accent2 8 3 3" xfId="18912"/>
    <cellStyle name="20% - Accent2 8 3 4" xfId="18913"/>
    <cellStyle name="20% - Accent2 8 4" xfId="18914"/>
    <cellStyle name="20% - Accent2 9" xfId="12498"/>
    <cellStyle name="20% - Accent2 9 2" xfId="12499"/>
    <cellStyle name="20% - Accent2 9 2 2" xfId="18915"/>
    <cellStyle name="20% - Accent2 9 2 3" xfId="18916"/>
    <cellStyle name="20% - Accent2 9 3" xfId="18917"/>
    <cellStyle name="20% - Accent2 9 4" xfId="18918"/>
    <cellStyle name="20% - Accent2 9 5" xfId="18919"/>
    <cellStyle name="20% - Accent3 10" xfId="12500"/>
    <cellStyle name="20% - Accent3 10 2" xfId="12501"/>
    <cellStyle name="20% - Accent3 10 2 2" xfId="18920"/>
    <cellStyle name="20% - Accent3 10 2 3" xfId="18921"/>
    <cellStyle name="20% - Accent3 11" xfId="12502"/>
    <cellStyle name="20% - Accent3 11 2" xfId="12503"/>
    <cellStyle name="20% - Accent3 11 2 2" xfId="18359"/>
    <cellStyle name="20% - Accent3 11 3" xfId="18358"/>
    <cellStyle name="20% - Accent3 12" xfId="12504"/>
    <cellStyle name="20% - Accent3 12 2" xfId="18360"/>
    <cellStyle name="20% - Accent3 2" xfId="89"/>
    <cellStyle name="20% - Accent3 2 10" xfId="18922"/>
    <cellStyle name="20% - Accent3 2 11" xfId="18923"/>
    <cellStyle name="20% - Accent3 2 12" xfId="18924"/>
    <cellStyle name="20% - Accent3 2 12 2" xfId="18925"/>
    <cellStyle name="20% - Accent3 2 2" xfId="90"/>
    <cellStyle name="20% - Accent3 2 2 2" xfId="91"/>
    <cellStyle name="20% - Accent3 2 2 2 2" xfId="92"/>
    <cellStyle name="20% - Accent3 2 2 2 2 2" xfId="12505"/>
    <cellStyle name="20% - Accent3 2 2 2 2 3" xfId="18926"/>
    <cellStyle name="20% - Accent3 2 2 2 3" xfId="12506"/>
    <cellStyle name="20% - Accent3 2 2 2 4" xfId="18927"/>
    <cellStyle name="20% - Accent3 2 2 2 5" xfId="18928"/>
    <cellStyle name="20% - Accent3 2 2 3" xfId="93"/>
    <cellStyle name="20% - Accent3 2 2 3 2" xfId="94"/>
    <cellStyle name="20% - Accent3 2 2 3 2 2" xfId="18929"/>
    <cellStyle name="20% - Accent3 2 2 3 2 3" xfId="18930"/>
    <cellStyle name="20% - Accent3 2 2 3 3" xfId="18931"/>
    <cellStyle name="20% - Accent3 2 2 3 4" xfId="18932"/>
    <cellStyle name="20% - Accent3 2 2 3 5" xfId="18933"/>
    <cellStyle name="20% - Accent3 2 2 4" xfId="95"/>
    <cellStyle name="20% - Accent3 2 2 4 2" xfId="18934"/>
    <cellStyle name="20% - Accent3 2 2 4 3" xfId="18935"/>
    <cellStyle name="20% - Accent3 2 2 4 4" xfId="18936"/>
    <cellStyle name="20% - Accent3 2 2 5" xfId="18937"/>
    <cellStyle name="20% - Accent3 2 2 5 2" xfId="18938"/>
    <cellStyle name="20% - Accent3 2 2 6" xfId="18939"/>
    <cellStyle name="20% - Accent3 2 2 7" xfId="18940"/>
    <cellStyle name="20% - Accent3 2 2 8" xfId="18941"/>
    <cellStyle name="20% - Accent3 2 3" xfId="96"/>
    <cellStyle name="20% - Accent3 2 3 2" xfId="97"/>
    <cellStyle name="20% - Accent3 2 3 2 2" xfId="98"/>
    <cellStyle name="20% - Accent3 2 3 2 2 2" xfId="12507"/>
    <cellStyle name="20% - Accent3 2 3 2 2 3" xfId="18942"/>
    <cellStyle name="20% - Accent3 2 3 2 3" xfId="12508"/>
    <cellStyle name="20% - Accent3 2 3 2 4" xfId="18943"/>
    <cellStyle name="20% - Accent3 2 3 2 5" xfId="18944"/>
    <cellStyle name="20% - Accent3 2 3 3" xfId="99"/>
    <cellStyle name="20% - Accent3 2 3 3 2" xfId="12509"/>
    <cellStyle name="20% - Accent3 2 3 3 3" xfId="18945"/>
    <cellStyle name="20% - Accent3 2 3 3 4" xfId="18946"/>
    <cellStyle name="20% - Accent3 2 3 4" xfId="12510"/>
    <cellStyle name="20% - Accent3 2 3 5" xfId="18947"/>
    <cellStyle name="20% - Accent3 2 3 6" xfId="18948"/>
    <cellStyle name="20% - Accent3 2 3 7" xfId="18949"/>
    <cellStyle name="20% - Accent3 2 4" xfId="100"/>
    <cellStyle name="20% - Accent3 2 4 2" xfId="101"/>
    <cellStyle name="20% - Accent3 2 4 2 2" xfId="12511"/>
    <cellStyle name="20% - Accent3 2 4 2 3" xfId="18950"/>
    <cellStyle name="20% - Accent3 2 4 2 4" xfId="18951"/>
    <cellStyle name="20% - Accent3 2 4 3" xfId="12512"/>
    <cellStyle name="20% - Accent3 2 4 3 2" xfId="12513"/>
    <cellStyle name="20% - Accent3 2 4 4" xfId="12514"/>
    <cellStyle name="20% - Accent3 2 4 5" xfId="18952"/>
    <cellStyle name="20% - Accent3 2 4 6" xfId="18953"/>
    <cellStyle name="20% - Accent3 2 5" xfId="102"/>
    <cellStyle name="20% - Accent3 2 5 2" xfId="12515"/>
    <cellStyle name="20% - Accent3 2 5 3" xfId="18954"/>
    <cellStyle name="20% - Accent3 2 5 4" xfId="18955"/>
    <cellStyle name="20% - Accent3 2 6" xfId="103"/>
    <cellStyle name="20% - Accent3 2 6 2" xfId="18255"/>
    <cellStyle name="20% - Accent3 2 6 2 2" xfId="18956"/>
    <cellStyle name="20% - Accent3 2 6 2 3" xfId="18957"/>
    <cellStyle name="20% - Accent3 2 6 2 4" xfId="18958"/>
    <cellStyle name="20% - Accent3 2 6 3" xfId="18959"/>
    <cellStyle name="20% - Accent3 2 6 3 2" xfId="18960"/>
    <cellStyle name="20% - Accent3 2 6 3 3" xfId="18961"/>
    <cellStyle name="20% - Accent3 2 6 4" xfId="18962"/>
    <cellStyle name="20% - Accent3 2 6 4 2" xfId="18963"/>
    <cellStyle name="20% - Accent3 2 6 5" xfId="18964"/>
    <cellStyle name="20% - Accent3 2 6 6" xfId="18965"/>
    <cellStyle name="20% - Accent3 2 6 7" xfId="18966"/>
    <cellStyle name="20% - Accent3 2 6 8" xfId="18967"/>
    <cellStyle name="20% - Accent3 2 7" xfId="104"/>
    <cellStyle name="20% - Accent3 2 7 2" xfId="18968"/>
    <cellStyle name="20% - Accent3 2 7 3" xfId="18969"/>
    <cellStyle name="20% - Accent3 2 7 4" xfId="18970"/>
    <cellStyle name="20% - Accent3 2 8" xfId="105"/>
    <cellStyle name="20% - Accent3 2 8 2" xfId="18971"/>
    <cellStyle name="20% - Accent3 2 9" xfId="18972"/>
    <cellStyle name="20% - Accent3 2 9 2" xfId="18973"/>
    <cellStyle name="20% - Accent3 2_12PCORC Wind Vestas and Royalties" xfId="12516"/>
    <cellStyle name="20% - Accent3 3" xfId="106"/>
    <cellStyle name="20% - Accent3 3 2" xfId="107"/>
    <cellStyle name="20% - Accent3 3 2 2" xfId="108"/>
    <cellStyle name="20% - Accent3 3 2 2 2" xfId="12517"/>
    <cellStyle name="20% - Accent3 3 2 2 3" xfId="18974"/>
    <cellStyle name="20% - Accent3 3 2 2 4" xfId="18975"/>
    <cellStyle name="20% - Accent3 3 2 3" xfId="109"/>
    <cellStyle name="20% - Accent3 3 2 3 2" xfId="12518"/>
    <cellStyle name="20% - Accent3 3 2 3 3" xfId="18976"/>
    <cellStyle name="20% - Accent3 3 2 3 4" xfId="18977"/>
    <cellStyle name="20% - Accent3 3 2 4" xfId="12519"/>
    <cellStyle name="20% - Accent3 3 2 4 2" xfId="12520"/>
    <cellStyle name="20% - Accent3 3 2 5" xfId="12521"/>
    <cellStyle name="20% - Accent3 3 2 6" xfId="18978"/>
    <cellStyle name="20% - Accent3 3 2 7" xfId="18979"/>
    <cellStyle name="20% - Accent3 3 3" xfId="110"/>
    <cellStyle name="20% - Accent3 3 3 2" xfId="111"/>
    <cellStyle name="20% - Accent3 3 3 2 2" xfId="12522"/>
    <cellStyle name="20% - Accent3 3 3 2 3" xfId="12523"/>
    <cellStyle name="20% - Accent3 3 3 2 3 2" xfId="18361"/>
    <cellStyle name="20% - Accent3 3 3 2 4" xfId="18980"/>
    <cellStyle name="20% - Accent3 3 3 3" xfId="12524"/>
    <cellStyle name="20% - Accent3 3 3 3 2" xfId="18981"/>
    <cellStyle name="20% - Accent3 3 3 4" xfId="12525"/>
    <cellStyle name="20% - Accent3 3 3 4 2" xfId="18362"/>
    <cellStyle name="20% - Accent3 3 3 5" xfId="18982"/>
    <cellStyle name="20% - Accent3 3 3 6" xfId="18983"/>
    <cellStyle name="20% - Accent3 3 4" xfId="112"/>
    <cellStyle name="20% - Accent3 3 4 2" xfId="12526"/>
    <cellStyle name="20% - Accent3 3 4 3" xfId="18984"/>
    <cellStyle name="20% - Accent3 3 4 4" xfId="18985"/>
    <cellStyle name="20% - Accent3 3 5" xfId="113"/>
    <cellStyle name="20% - Accent3 3 5 2" xfId="18986"/>
    <cellStyle name="20% - Accent3 3 6" xfId="18987"/>
    <cellStyle name="20% - Accent3 3 7" xfId="18988"/>
    <cellStyle name="20% - Accent3 3 8" xfId="18989"/>
    <cellStyle name="20% - Accent3 4" xfId="114"/>
    <cellStyle name="20% - Accent3 4 2" xfId="115"/>
    <cellStyle name="20% - Accent3 4 2 2" xfId="116"/>
    <cellStyle name="20% - Accent3 4 2 2 2" xfId="12527"/>
    <cellStyle name="20% - Accent3 4 2 2 3" xfId="18990"/>
    <cellStyle name="20% - Accent3 4 2 2 4" xfId="18991"/>
    <cellStyle name="20% - Accent3 4 2 3" xfId="12528"/>
    <cellStyle name="20% - Accent3 4 2 3 2" xfId="18992"/>
    <cellStyle name="20% - Accent3 4 2 4" xfId="18993"/>
    <cellStyle name="20% - Accent3 4 2 5" xfId="18994"/>
    <cellStyle name="20% - Accent3 4 2 6" xfId="18995"/>
    <cellStyle name="20% - Accent3 4 3" xfId="117"/>
    <cellStyle name="20% - Accent3 4 3 2" xfId="118"/>
    <cellStyle name="20% - Accent3 4 3 3" xfId="18996"/>
    <cellStyle name="20% - Accent3 4 3 4" xfId="18997"/>
    <cellStyle name="20% - Accent3 4 4" xfId="119"/>
    <cellStyle name="20% - Accent3 4 4 2" xfId="18998"/>
    <cellStyle name="20% - Accent3 4 4 3" xfId="18999"/>
    <cellStyle name="20% - Accent3 4 4 4" xfId="19000"/>
    <cellStyle name="20% - Accent3 4 5" xfId="120"/>
    <cellStyle name="20% - Accent3 4 5 2" xfId="19001"/>
    <cellStyle name="20% - Accent3 4 6" xfId="19002"/>
    <cellStyle name="20% - Accent3 4 6 2" xfId="19003"/>
    <cellStyle name="20% - Accent3 4 7" xfId="19004"/>
    <cellStyle name="20% - Accent3 4 8" xfId="19005"/>
    <cellStyle name="20% - Accent3 5" xfId="121"/>
    <cellStyle name="20% - Accent3 5 2" xfId="122"/>
    <cellStyle name="20% - Accent3 5 2 2" xfId="12529"/>
    <cellStyle name="20% - Accent3 5 2 2 2" xfId="19006"/>
    <cellStyle name="20% - Accent3 5 2 2 2 2" xfId="19007"/>
    <cellStyle name="20% - Accent3 5 2 2 2 3" xfId="19008"/>
    <cellStyle name="20% - Accent3 5 2 2 3" xfId="19009"/>
    <cellStyle name="20% - Accent3 5 2 2 3 2" xfId="19010"/>
    <cellStyle name="20% - Accent3 5 2 2 4" xfId="19011"/>
    <cellStyle name="20% - Accent3 5 2 2 5" xfId="19012"/>
    <cellStyle name="20% - Accent3 5 2 3" xfId="19013"/>
    <cellStyle name="20% - Accent3 5 2 4" xfId="19014"/>
    <cellStyle name="20% - Accent3 5 3" xfId="123"/>
    <cellStyle name="20% - Accent3 5 3 2" xfId="12530"/>
    <cellStyle name="20% - Accent3 5 3 3" xfId="19015"/>
    <cellStyle name="20% - Accent3 5 3 4" xfId="19016"/>
    <cellStyle name="20% - Accent3 5 4" xfId="12531"/>
    <cellStyle name="20% - Accent3 5 4 2" xfId="12532"/>
    <cellStyle name="20% - Accent3 5 5" xfId="12533"/>
    <cellStyle name="20% - Accent3 5 5 2" xfId="19017"/>
    <cellStyle name="20% - Accent3 5 5 2 2" xfId="19018"/>
    <cellStyle name="20% - Accent3 5 5 2 3" xfId="19019"/>
    <cellStyle name="20% - Accent3 5 5 3" xfId="19020"/>
    <cellStyle name="20% - Accent3 5 5 3 2" xfId="19021"/>
    <cellStyle name="20% - Accent3 5 5 4" xfId="19022"/>
    <cellStyle name="20% - Accent3 5 5 5" xfId="19023"/>
    <cellStyle name="20% - Accent3 5 6" xfId="19024"/>
    <cellStyle name="20% - Accent3 5 6 2" xfId="19025"/>
    <cellStyle name="20% - Accent3 5 6 2 2" xfId="19026"/>
    <cellStyle name="20% - Accent3 5 6 2 3" xfId="19027"/>
    <cellStyle name="20% - Accent3 5 6 3" xfId="19028"/>
    <cellStyle name="20% - Accent3 5 6 3 2" xfId="19029"/>
    <cellStyle name="20% - Accent3 5 6 4" xfId="19030"/>
    <cellStyle name="20% - Accent3 5 6 5" xfId="19031"/>
    <cellStyle name="20% - Accent3 5 6 6" xfId="19032"/>
    <cellStyle name="20% - Accent3 5 6 7" xfId="19033"/>
    <cellStyle name="20% - Accent3 5 7" xfId="19034"/>
    <cellStyle name="20% - Accent3 5 7 2" xfId="19035"/>
    <cellStyle name="20% - Accent3 5 7 2 2" xfId="19036"/>
    <cellStyle name="20% - Accent3 5 7 3" xfId="19037"/>
    <cellStyle name="20% - Accent3 5 7 4" xfId="19038"/>
    <cellStyle name="20% - Accent3 5 8" xfId="19039"/>
    <cellStyle name="20% - Accent3 5 8 2" xfId="19040"/>
    <cellStyle name="20% - Accent3 5 9" xfId="19041"/>
    <cellStyle name="20% - Accent3 6" xfId="124"/>
    <cellStyle name="20% - Accent3 6 2" xfId="125"/>
    <cellStyle name="20% - Accent3 6 2 2" xfId="12534"/>
    <cellStyle name="20% - Accent3 6 2 3" xfId="12535"/>
    <cellStyle name="20% - Accent3 6 2 3 2" xfId="18363"/>
    <cellStyle name="20% - Accent3 6 2 4" xfId="19042"/>
    <cellStyle name="20% - Accent3 6 3" xfId="12536"/>
    <cellStyle name="20% - Accent3 6 3 2" xfId="12537"/>
    <cellStyle name="20% - Accent3 6 4" xfId="12538"/>
    <cellStyle name="20% - Accent3 6 4 2" xfId="19043"/>
    <cellStyle name="20% - Accent3 6 4 2 2" xfId="19044"/>
    <cellStyle name="20% - Accent3 6 4 3" xfId="19045"/>
    <cellStyle name="20% - Accent3 6 4 4" xfId="19046"/>
    <cellStyle name="20% - Accent3 6 4 5" xfId="19047"/>
    <cellStyle name="20% - Accent3 6 4 6" xfId="19048"/>
    <cellStyle name="20% - Accent3 6 5" xfId="12539"/>
    <cellStyle name="20% - Accent3 6 5 2" xfId="18364"/>
    <cellStyle name="20% - Accent3 6 5 3" xfId="19049"/>
    <cellStyle name="20% - Accent3 6 5 4" xfId="19050"/>
    <cellStyle name="20% - Accent3 6 5 5" xfId="19051"/>
    <cellStyle name="20% - Accent3 6 6" xfId="19052"/>
    <cellStyle name="20% - Accent3 6 7" xfId="19053"/>
    <cellStyle name="20% - Accent3 6 8" xfId="19054"/>
    <cellStyle name="20% - Accent3 6 9" xfId="19055"/>
    <cellStyle name="20% - Accent3 7" xfId="126"/>
    <cellStyle name="20% - Accent3 7 2" xfId="12540"/>
    <cellStyle name="20% - Accent3 7 2 2" xfId="19056"/>
    <cellStyle name="20% - Accent3 7 2 2 2" xfId="19057"/>
    <cellStyle name="20% - Accent3 7 2 3" xfId="19058"/>
    <cellStyle name="20% - Accent3 7 2 4" xfId="19059"/>
    <cellStyle name="20% - Accent3 7 3" xfId="19060"/>
    <cellStyle name="20% - Accent3 7 3 2" xfId="19061"/>
    <cellStyle name="20% - Accent3 7 3 3" xfId="19062"/>
    <cellStyle name="20% - Accent3 7 4" xfId="19063"/>
    <cellStyle name="20% - Accent3 7 4 2" xfId="19064"/>
    <cellStyle name="20% - Accent3 7 4 3" xfId="19065"/>
    <cellStyle name="20% - Accent3 7 5" xfId="19066"/>
    <cellStyle name="20% - Accent3 7 6" xfId="19067"/>
    <cellStyle name="20% - Accent3 8" xfId="12541"/>
    <cellStyle name="20% - Accent3 8 2" xfId="12542"/>
    <cellStyle name="20% - Accent3 8 2 2" xfId="19068"/>
    <cellStyle name="20% - Accent3 8 2 2 2" xfId="19069"/>
    <cellStyle name="20% - Accent3 8 2 3" xfId="19070"/>
    <cellStyle name="20% - Accent3 8 2 4" xfId="19071"/>
    <cellStyle name="20% - Accent3 8 3" xfId="19072"/>
    <cellStyle name="20% - Accent3 8 3 2" xfId="19073"/>
    <cellStyle name="20% - Accent3 8 3 2 2" xfId="19074"/>
    <cellStyle name="20% - Accent3 8 3 3" xfId="19075"/>
    <cellStyle name="20% - Accent3 8 3 4" xfId="19076"/>
    <cellStyle name="20% - Accent3 8 4" xfId="19077"/>
    <cellStyle name="20% - Accent3 9" xfId="12543"/>
    <cellStyle name="20% - Accent3 9 2" xfId="12544"/>
    <cellStyle name="20% - Accent3 9 2 2" xfId="19078"/>
    <cellStyle name="20% - Accent3 9 2 3" xfId="19079"/>
    <cellStyle name="20% - Accent3 9 3" xfId="19080"/>
    <cellStyle name="20% - Accent3 9 4" xfId="19081"/>
    <cellStyle name="20% - Accent3 9 5" xfId="19082"/>
    <cellStyle name="20% - Accent4 10" xfId="12545"/>
    <cellStyle name="20% - Accent4 10 2" xfId="12546"/>
    <cellStyle name="20% - Accent4 10 2 2" xfId="19083"/>
    <cellStyle name="20% - Accent4 10 2 3" xfId="19084"/>
    <cellStyle name="20% - Accent4 11" xfId="12547"/>
    <cellStyle name="20% - Accent4 11 2" xfId="12548"/>
    <cellStyle name="20% - Accent4 11 2 2" xfId="18366"/>
    <cellStyle name="20% - Accent4 11 3" xfId="18365"/>
    <cellStyle name="20% - Accent4 12" xfId="12549"/>
    <cellStyle name="20% - Accent4 12 2" xfId="18367"/>
    <cellStyle name="20% - Accent4 2" xfId="127"/>
    <cellStyle name="20% - Accent4 2 10" xfId="19085"/>
    <cellStyle name="20% - Accent4 2 11" xfId="19086"/>
    <cellStyle name="20% - Accent4 2 12" xfId="19087"/>
    <cellStyle name="20% - Accent4 2 12 2" xfId="19088"/>
    <cellStyle name="20% - Accent4 2 2" xfId="128"/>
    <cellStyle name="20% - Accent4 2 2 2" xfId="129"/>
    <cellStyle name="20% - Accent4 2 2 2 2" xfId="130"/>
    <cellStyle name="20% - Accent4 2 2 2 2 2" xfId="12550"/>
    <cellStyle name="20% - Accent4 2 2 2 2 3" xfId="19089"/>
    <cellStyle name="20% - Accent4 2 2 2 3" xfId="12551"/>
    <cellStyle name="20% - Accent4 2 2 2 4" xfId="19090"/>
    <cellStyle name="20% - Accent4 2 2 2 5" xfId="19091"/>
    <cellStyle name="20% - Accent4 2 2 3" xfId="131"/>
    <cellStyle name="20% - Accent4 2 2 3 2" xfId="132"/>
    <cellStyle name="20% - Accent4 2 2 3 2 2" xfId="19092"/>
    <cellStyle name="20% - Accent4 2 2 3 2 3" xfId="19093"/>
    <cellStyle name="20% - Accent4 2 2 3 3" xfId="19094"/>
    <cellStyle name="20% - Accent4 2 2 3 4" xfId="19095"/>
    <cellStyle name="20% - Accent4 2 2 3 5" xfId="19096"/>
    <cellStyle name="20% - Accent4 2 2 4" xfId="133"/>
    <cellStyle name="20% - Accent4 2 2 4 2" xfId="19097"/>
    <cellStyle name="20% - Accent4 2 2 4 3" xfId="19098"/>
    <cellStyle name="20% - Accent4 2 2 4 4" xfId="19099"/>
    <cellStyle name="20% - Accent4 2 2 5" xfId="19100"/>
    <cellStyle name="20% - Accent4 2 2 5 2" xfId="19101"/>
    <cellStyle name="20% - Accent4 2 2 6" xfId="19102"/>
    <cellStyle name="20% - Accent4 2 2 7" xfId="19103"/>
    <cellStyle name="20% - Accent4 2 2 8" xfId="19104"/>
    <cellStyle name="20% - Accent4 2 3" xfId="134"/>
    <cellStyle name="20% - Accent4 2 3 2" xfId="135"/>
    <cellStyle name="20% - Accent4 2 3 2 2" xfId="136"/>
    <cellStyle name="20% - Accent4 2 3 2 2 2" xfId="12552"/>
    <cellStyle name="20% - Accent4 2 3 2 2 3" xfId="19105"/>
    <cellStyle name="20% - Accent4 2 3 2 3" xfId="12553"/>
    <cellStyle name="20% - Accent4 2 3 2 4" xfId="19106"/>
    <cellStyle name="20% - Accent4 2 3 2 5" xfId="19107"/>
    <cellStyle name="20% - Accent4 2 3 3" xfId="137"/>
    <cellStyle name="20% - Accent4 2 3 3 2" xfId="12554"/>
    <cellStyle name="20% - Accent4 2 3 3 3" xfId="19108"/>
    <cellStyle name="20% - Accent4 2 3 3 4" xfId="19109"/>
    <cellStyle name="20% - Accent4 2 3 4" xfId="12555"/>
    <cellStyle name="20% - Accent4 2 3 5" xfId="19110"/>
    <cellStyle name="20% - Accent4 2 3 6" xfId="19111"/>
    <cellStyle name="20% - Accent4 2 3 7" xfId="19112"/>
    <cellStyle name="20% - Accent4 2 4" xfId="138"/>
    <cellStyle name="20% - Accent4 2 4 2" xfId="139"/>
    <cellStyle name="20% - Accent4 2 4 2 2" xfId="12556"/>
    <cellStyle name="20% - Accent4 2 4 2 3" xfId="19113"/>
    <cellStyle name="20% - Accent4 2 4 2 4" xfId="19114"/>
    <cellStyle name="20% - Accent4 2 4 3" xfId="12557"/>
    <cellStyle name="20% - Accent4 2 4 3 2" xfId="12558"/>
    <cellStyle name="20% - Accent4 2 4 4" xfId="12559"/>
    <cellStyle name="20% - Accent4 2 4 5" xfId="19115"/>
    <cellStyle name="20% - Accent4 2 4 6" xfId="19116"/>
    <cellStyle name="20% - Accent4 2 5" xfId="140"/>
    <cellStyle name="20% - Accent4 2 5 2" xfId="12560"/>
    <cellStyle name="20% - Accent4 2 5 3" xfId="19117"/>
    <cellStyle name="20% - Accent4 2 5 4" xfId="19118"/>
    <cellStyle name="20% - Accent4 2 6" xfId="141"/>
    <cellStyle name="20% - Accent4 2 6 2" xfId="18256"/>
    <cellStyle name="20% - Accent4 2 6 2 2" xfId="19119"/>
    <cellStyle name="20% - Accent4 2 6 2 3" xfId="19120"/>
    <cellStyle name="20% - Accent4 2 6 2 4" xfId="19121"/>
    <cellStyle name="20% - Accent4 2 6 3" xfId="19122"/>
    <cellStyle name="20% - Accent4 2 6 3 2" xfId="19123"/>
    <cellStyle name="20% - Accent4 2 6 3 3" xfId="19124"/>
    <cellStyle name="20% - Accent4 2 6 4" xfId="19125"/>
    <cellStyle name="20% - Accent4 2 6 4 2" xfId="19126"/>
    <cellStyle name="20% - Accent4 2 6 5" xfId="19127"/>
    <cellStyle name="20% - Accent4 2 6 6" xfId="19128"/>
    <cellStyle name="20% - Accent4 2 6 7" xfId="19129"/>
    <cellStyle name="20% - Accent4 2 6 8" xfId="19130"/>
    <cellStyle name="20% - Accent4 2 7" xfId="142"/>
    <cellStyle name="20% - Accent4 2 7 2" xfId="19131"/>
    <cellStyle name="20% - Accent4 2 7 3" xfId="19132"/>
    <cellStyle name="20% - Accent4 2 7 4" xfId="19133"/>
    <cellStyle name="20% - Accent4 2 8" xfId="143"/>
    <cellStyle name="20% - Accent4 2 8 2" xfId="19134"/>
    <cellStyle name="20% - Accent4 2 9" xfId="19135"/>
    <cellStyle name="20% - Accent4 2 9 2" xfId="19136"/>
    <cellStyle name="20% - Accent4 2_12PCORC Wind Vestas and Royalties" xfId="12561"/>
    <cellStyle name="20% - Accent4 3" xfId="144"/>
    <cellStyle name="20% - Accent4 3 2" xfId="145"/>
    <cellStyle name="20% - Accent4 3 2 2" xfId="146"/>
    <cellStyle name="20% - Accent4 3 2 2 2" xfId="12562"/>
    <cellStyle name="20% - Accent4 3 2 2 3" xfId="19137"/>
    <cellStyle name="20% - Accent4 3 2 2 4" xfId="19138"/>
    <cellStyle name="20% - Accent4 3 2 3" xfId="147"/>
    <cellStyle name="20% - Accent4 3 2 3 2" xfId="12563"/>
    <cellStyle name="20% - Accent4 3 2 3 3" xfId="19139"/>
    <cellStyle name="20% - Accent4 3 2 3 4" xfId="19140"/>
    <cellStyle name="20% - Accent4 3 2 4" xfId="12564"/>
    <cellStyle name="20% - Accent4 3 2 4 2" xfId="12565"/>
    <cellStyle name="20% - Accent4 3 2 5" xfId="12566"/>
    <cellStyle name="20% - Accent4 3 2 6" xfId="19141"/>
    <cellStyle name="20% - Accent4 3 2 7" xfId="19142"/>
    <cellStyle name="20% - Accent4 3 3" xfId="148"/>
    <cellStyle name="20% - Accent4 3 3 2" xfId="149"/>
    <cellStyle name="20% - Accent4 3 3 2 2" xfId="12567"/>
    <cellStyle name="20% - Accent4 3 3 2 3" xfId="12568"/>
    <cellStyle name="20% - Accent4 3 3 2 3 2" xfId="18368"/>
    <cellStyle name="20% - Accent4 3 3 2 4" xfId="19143"/>
    <cellStyle name="20% - Accent4 3 3 3" xfId="12569"/>
    <cellStyle name="20% - Accent4 3 3 3 2" xfId="19144"/>
    <cellStyle name="20% - Accent4 3 3 4" xfId="12570"/>
    <cellStyle name="20% - Accent4 3 3 4 2" xfId="18369"/>
    <cellStyle name="20% - Accent4 3 3 5" xfId="19145"/>
    <cellStyle name="20% - Accent4 3 3 6" xfId="19146"/>
    <cellStyle name="20% - Accent4 3 4" xfId="150"/>
    <cellStyle name="20% - Accent4 3 4 2" xfId="12571"/>
    <cellStyle name="20% - Accent4 3 4 3" xfId="19147"/>
    <cellStyle name="20% - Accent4 3 4 4" xfId="19148"/>
    <cellStyle name="20% - Accent4 3 5" xfId="151"/>
    <cellStyle name="20% - Accent4 3 5 2" xfId="19149"/>
    <cellStyle name="20% - Accent4 3 6" xfId="19150"/>
    <cellStyle name="20% - Accent4 3 7" xfId="19151"/>
    <cellStyle name="20% - Accent4 3 8" xfId="19152"/>
    <cellStyle name="20% - Accent4 4" xfId="152"/>
    <cellStyle name="20% - Accent4 4 2" xfId="153"/>
    <cellStyle name="20% - Accent4 4 2 2" xfId="154"/>
    <cellStyle name="20% - Accent4 4 2 2 2" xfId="12572"/>
    <cellStyle name="20% - Accent4 4 2 2 3" xfId="19153"/>
    <cellStyle name="20% - Accent4 4 2 2 4" xfId="19154"/>
    <cellStyle name="20% - Accent4 4 2 3" xfId="12573"/>
    <cellStyle name="20% - Accent4 4 2 3 2" xfId="19155"/>
    <cellStyle name="20% - Accent4 4 2 4" xfId="19156"/>
    <cellStyle name="20% - Accent4 4 2 5" xfId="19157"/>
    <cellStyle name="20% - Accent4 4 2 6" xfId="19158"/>
    <cellStyle name="20% - Accent4 4 3" xfId="155"/>
    <cellStyle name="20% - Accent4 4 3 2" xfId="156"/>
    <cellStyle name="20% - Accent4 4 3 3" xfId="19159"/>
    <cellStyle name="20% - Accent4 4 3 4" xfId="19160"/>
    <cellStyle name="20% - Accent4 4 4" xfId="157"/>
    <cellStyle name="20% - Accent4 4 4 2" xfId="19161"/>
    <cellStyle name="20% - Accent4 4 4 3" xfId="19162"/>
    <cellStyle name="20% - Accent4 4 4 4" xfId="19163"/>
    <cellStyle name="20% - Accent4 4 5" xfId="158"/>
    <cellStyle name="20% - Accent4 4 5 2" xfId="19164"/>
    <cellStyle name="20% - Accent4 4 6" xfId="19165"/>
    <cellStyle name="20% - Accent4 4 6 2" xfId="19166"/>
    <cellStyle name="20% - Accent4 4 7" xfId="19167"/>
    <cellStyle name="20% - Accent4 4 8" xfId="19168"/>
    <cellStyle name="20% - Accent4 5" xfId="159"/>
    <cellStyle name="20% - Accent4 5 2" xfId="160"/>
    <cellStyle name="20% - Accent4 5 2 2" xfId="12574"/>
    <cellStyle name="20% - Accent4 5 2 2 2" xfId="19169"/>
    <cellStyle name="20% - Accent4 5 2 2 2 2" xfId="19170"/>
    <cellStyle name="20% - Accent4 5 2 2 2 3" xfId="19171"/>
    <cellStyle name="20% - Accent4 5 2 2 3" xfId="19172"/>
    <cellStyle name="20% - Accent4 5 2 2 3 2" xfId="19173"/>
    <cellStyle name="20% - Accent4 5 2 2 4" xfId="19174"/>
    <cellStyle name="20% - Accent4 5 2 2 5" xfId="19175"/>
    <cellStyle name="20% - Accent4 5 2 3" xfId="19176"/>
    <cellStyle name="20% - Accent4 5 2 4" xfId="19177"/>
    <cellStyle name="20% - Accent4 5 3" xfId="161"/>
    <cellStyle name="20% - Accent4 5 3 2" xfId="12575"/>
    <cellStyle name="20% - Accent4 5 3 3" xfId="19178"/>
    <cellStyle name="20% - Accent4 5 3 4" xfId="19179"/>
    <cellStyle name="20% - Accent4 5 4" xfId="12576"/>
    <cellStyle name="20% - Accent4 5 4 2" xfId="12577"/>
    <cellStyle name="20% - Accent4 5 5" xfId="12578"/>
    <cellStyle name="20% - Accent4 5 5 2" xfId="19180"/>
    <cellStyle name="20% - Accent4 5 5 2 2" xfId="19181"/>
    <cellStyle name="20% - Accent4 5 5 2 3" xfId="19182"/>
    <cellStyle name="20% - Accent4 5 5 3" xfId="19183"/>
    <cellStyle name="20% - Accent4 5 5 3 2" xfId="19184"/>
    <cellStyle name="20% - Accent4 5 5 4" xfId="19185"/>
    <cellStyle name="20% - Accent4 5 5 5" xfId="19186"/>
    <cellStyle name="20% - Accent4 5 6" xfId="19187"/>
    <cellStyle name="20% - Accent4 5 6 2" xfId="19188"/>
    <cellStyle name="20% - Accent4 5 6 2 2" xfId="19189"/>
    <cellStyle name="20% - Accent4 5 6 2 3" xfId="19190"/>
    <cellStyle name="20% - Accent4 5 6 3" xfId="19191"/>
    <cellStyle name="20% - Accent4 5 6 3 2" xfId="19192"/>
    <cellStyle name="20% - Accent4 5 6 4" xfId="19193"/>
    <cellStyle name="20% - Accent4 5 6 5" xfId="19194"/>
    <cellStyle name="20% - Accent4 5 6 6" xfId="19195"/>
    <cellStyle name="20% - Accent4 5 6 7" xfId="19196"/>
    <cellStyle name="20% - Accent4 5 7" xfId="19197"/>
    <cellStyle name="20% - Accent4 5 7 2" xfId="19198"/>
    <cellStyle name="20% - Accent4 5 7 2 2" xfId="19199"/>
    <cellStyle name="20% - Accent4 5 7 3" xfId="19200"/>
    <cellStyle name="20% - Accent4 5 7 4" xfId="19201"/>
    <cellStyle name="20% - Accent4 5 8" xfId="19202"/>
    <cellStyle name="20% - Accent4 5 8 2" xfId="19203"/>
    <cellStyle name="20% - Accent4 5 9" xfId="19204"/>
    <cellStyle name="20% - Accent4 6" xfId="162"/>
    <cellStyle name="20% - Accent4 6 2" xfId="163"/>
    <cellStyle name="20% - Accent4 6 2 2" xfId="12579"/>
    <cellStyle name="20% - Accent4 6 2 3" xfId="12580"/>
    <cellStyle name="20% - Accent4 6 2 3 2" xfId="18370"/>
    <cellStyle name="20% - Accent4 6 2 4" xfId="19205"/>
    <cellStyle name="20% - Accent4 6 3" xfId="12581"/>
    <cellStyle name="20% - Accent4 6 3 2" xfId="12582"/>
    <cellStyle name="20% - Accent4 6 4" xfId="12583"/>
    <cellStyle name="20% - Accent4 6 4 2" xfId="19206"/>
    <cellStyle name="20% - Accent4 6 4 2 2" xfId="19207"/>
    <cellStyle name="20% - Accent4 6 4 3" xfId="19208"/>
    <cellStyle name="20% - Accent4 6 4 4" xfId="19209"/>
    <cellStyle name="20% - Accent4 6 4 5" xfId="19210"/>
    <cellStyle name="20% - Accent4 6 4 6" xfId="19211"/>
    <cellStyle name="20% - Accent4 6 5" xfId="12584"/>
    <cellStyle name="20% - Accent4 6 5 2" xfId="18371"/>
    <cellStyle name="20% - Accent4 6 5 3" xfId="19212"/>
    <cellStyle name="20% - Accent4 6 5 4" xfId="19213"/>
    <cellStyle name="20% - Accent4 6 5 5" xfId="19214"/>
    <cellStyle name="20% - Accent4 6 6" xfId="19215"/>
    <cellStyle name="20% - Accent4 6 7" xfId="19216"/>
    <cellStyle name="20% - Accent4 6 8" xfId="19217"/>
    <cellStyle name="20% - Accent4 6 9" xfId="19218"/>
    <cellStyle name="20% - Accent4 7" xfId="164"/>
    <cellStyle name="20% - Accent4 7 2" xfId="12585"/>
    <cellStyle name="20% - Accent4 7 2 2" xfId="19219"/>
    <cellStyle name="20% - Accent4 7 2 2 2" xfId="19220"/>
    <cellStyle name="20% - Accent4 7 2 3" xfId="19221"/>
    <cellStyle name="20% - Accent4 7 2 4" xfId="19222"/>
    <cellStyle name="20% - Accent4 7 3" xfId="19223"/>
    <cellStyle name="20% - Accent4 7 3 2" xfId="19224"/>
    <cellStyle name="20% - Accent4 7 3 3" xfId="19225"/>
    <cellStyle name="20% - Accent4 7 4" xfId="19226"/>
    <cellStyle name="20% - Accent4 7 4 2" xfId="19227"/>
    <cellStyle name="20% - Accent4 7 4 3" xfId="19228"/>
    <cellStyle name="20% - Accent4 7 5" xfId="19229"/>
    <cellStyle name="20% - Accent4 7 6" xfId="19230"/>
    <cellStyle name="20% - Accent4 8" xfId="12586"/>
    <cellStyle name="20% - Accent4 8 2" xfId="12587"/>
    <cellStyle name="20% - Accent4 8 2 2" xfId="19231"/>
    <cellStyle name="20% - Accent4 8 2 2 2" xfId="19232"/>
    <cellStyle name="20% - Accent4 8 2 3" xfId="19233"/>
    <cellStyle name="20% - Accent4 8 2 4" xfId="19234"/>
    <cellStyle name="20% - Accent4 8 3" xfId="19235"/>
    <cellStyle name="20% - Accent4 8 3 2" xfId="19236"/>
    <cellStyle name="20% - Accent4 8 3 2 2" xfId="19237"/>
    <cellStyle name="20% - Accent4 8 3 3" xfId="19238"/>
    <cellStyle name="20% - Accent4 8 3 4" xfId="19239"/>
    <cellStyle name="20% - Accent4 8 4" xfId="19240"/>
    <cellStyle name="20% - Accent4 9" xfId="12588"/>
    <cellStyle name="20% - Accent4 9 2" xfId="12589"/>
    <cellStyle name="20% - Accent4 9 2 2" xfId="19241"/>
    <cellStyle name="20% - Accent4 9 2 3" xfId="19242"/>
    <cellStyle name="20% - Accent4 9 3" xfId="19243"/>
    <cellStyle name="20% - Accent4 9 4" xfId="19244"/>
    <cellStyle name="20% - Accent4 9 5" xfId="19245"/>
    <cellStyle name="20% - Accent5 10" xfId="12590"/>
    <cellStyle name="20% - Accent5 10 2" xfId="12591"/>
    <cellStyle name="20% - Accent5 10 2 2" xfId="19246"/>
    <cellStyle name="20% - Accent5 10 2 3" xfId="19247"/>
    <cellStyle name="20% - Accent5 11" xfId="12592"/>
    <cellStyle name="20% - Accent5 11 2" xfId="12593"/>
    <cellStyle name="20% - Accent5 11 2 2" xfId="18373"/>
    <cellStyle name="20% - Accent5 11 3" xfId="18372"/>
    <cellStyle name="20% - Accent5 12" xfId="12594"/>
    <cellStyle name="20% - Accent5 12 2" xfId="18374"/>
    <cellStyle name="20% - Accent5 2" xfId="165"/>
    <cellStyle name="20% - Accent5 2 10" xfId="19248"/>
    <cellStyle name="20% - Accent5 2 11" xfId="19249"/>
    <cellStyle name="20% - Accent5 2 12" xfId="19250"/>
    <cellStyle name="20% - Accent5 2 12 2" xfId="19251"/>
    <cellStyle name="20% - Accent5 2 2" xfId="166"/>
    <cellStyle name="20% - Accent5 2 2 2" xfId="167"/>
    <cellStyle name="20% - Accent5 2 2 2 2" xfId="168"/>
    <cellStyle name="20% - Accent5 2 2 2 2 2" xfId="12595"/>
    <cellStyle name="20% - Accent5 2 2 2 2 3" xfId="19252"/>
    <cellStyle name="20% - Accent5 2 2 2 3" xfId="12596"/>
    <cellStyle name="20% - Accent5 2 2 2 4" xfId="19253"/>
    <cellStyle name="20% - Accent5 2 2 2 5" xfId="19254"/>
    <cellStyle name="20% - Accent5 2 2 3" xfId="169"/>
    <cellStyle name="20% - Accent5 2 2 3 2" xfId="170"/>
    <cellStyle name="20% - Accent5 2 2 3 2 2" xfId="19255"/>
    <cellStyle name="20% - Accent5 2 2 3 2 3" xfId="19256"/>
    <cellStyle name="20% - Accent5 2 2 3 3" xfId="19257"/>
    <cellStyle name="20% - Accent5 2 2 3 4" xfId="19258"/>
    <cellStyle name="20% - Accent5 2 2 3 5" xfId="19259"/>
    <cellStyle name="20% - Accent5 2 2 4" xfId="171"/>
    <cellStyle name="20% - Accent5 2 2 4 2" xfId="19260"/>
    <cellStyle name="20% - Accent5 2 2 4 3" xfId="19261"/>
    <cellStyle name="20% - Accent5 2 2 4 4" xfId="19262"/>
    <cellStyle name="20% - Accent5 2 2 5" xfId="19263"/>
    <cellStyle name="20% - Accent5 2 2 5 2" xfId="19264"/>
    <cellStyle name="20% - Accent5 2 2 6" xfId="19265"/>
    <cellStyle name="20% - Accent5 2 2 7" xfId="19266"/>
    <cellStyle name="20% - Accent5 2 2 8" xfId="19267"/>
    <cellStyle name="20% - Accent5 2 3" xfId="172"/>
    <cellStyle name="20% - Accent5 2 3 2" xfId="173"/>
    <cellStyle name="20% - Accent5 2 3 2 2" xfId="174"/>
    <cellStyle name="20% - Accent5 2 3 2 2 2" xfId="12597"/>
    <cellStyle name="20% - Accent5 2 3 2 2 3" xfId="19268"/>
    <cellStyle name="20% - Accent5 2 3 2 3" xfId="12598"/>
    <cellStyle name="20% - Accent5 2 3 2 4" xfId="19269"/>
    <cellStyle name="20% - Accent5 2 3 2 5" xfId="19270"/>
    <cellStyle name="20% - Accent5 2 3 3" xfId="175"/>
    <cellStyle name="20% - Accent5 2 3 3 2" xfId="12599"/>
    <cellStyle name="20% - Accent5 2 3 3 3" xfId="19271"/>
    <cellStyle name="20% - Accent5 2 3 3 4" xfId="19272"/>
    <cellStyle name="20% - Accent5 2 3 4" xfId="12600"/>
    <cellStyle name="20% - Accent5 2 3 5" xfId="19273"/>
    <cellStyle name="20% - Accent5 2 3 6" xfId="19274"/>
    <cellStyle name="20% - Accent5 2 3 7" xfId="19275"/>
    <cellStyle name="20% - Accent5 2 4" xfId="176"/>
    <cellStyle name="20% - Accent5 2 4 2" xfId="177"/>
    <cellStyle name="20% - Accent5 2 4 2 2" xfId="12601"/>
    <cellStyle name="20% - Accent5 2 4 2 3" xfId="19276"/>
    <cellStyle name="20% - Accent5 2 4 2 4" xfId="19277"/>
    <cellStyle name="20% - Accent5 2 4 3" xfId="12602"/>
    <cellStyle name="20% - Accent5 2 4 3 2" xfId="12603"/>
    <cellStyle name="20% - Accent5 2 4 4" xfId="12604"/>
    <cellStyle name="20% - Accent5 2 4 5" xfId="19278"/>
    <cellStyle name="20% - Accent5 2 4 6" xfId="19279"/>
    <cellStyle name="20% - Accent5 2 5" xfId="178"/>
    <cellStyle name="20% - Accent5 2 5 2" xfId="12605"/>
    <cellStyle name="20% - Accent5 2 5 3" xfId="19280"/>
    <cellStyle name="20% - Accent5 2 5 4" xfId="19281"/>
    <cellStyle name="20% - Accent5 2 6" xfId="179"/>
    <cellStyle name="20% - Accent5 2 6 2" xfId="18257"/>
    <cellStyle name="20% - Accent5 2 6 2 2" xfId="19282"/>
    <cellStyle name="20% - Accent5 2 6 2 3" xfId="19283"/>
    <cellStyle name="20% - Accent5 2 6 2 4" xfId="19284"/>
    <cellStyle name="20% - Accent5 2 6 3" xfId="19285"/>
    <cellStyle name="20% - Accent5 2 6 3 2" xfId="19286"/>
    <cellStyle name="20% - Accent5 2 6 3 3" xfId="19287"/>
    <cellStyle name="20% - Accent5 2 6 4" xfId="19288"/>
    <cellStyle name="20% - Accent5 2 6 4 2" xfId="19289"/>
    <cellStyle name="20% - Accent5 2 6 5" xfId="19290"/>
    <cellStyle name="20% - Accent5 2 6 6" xfId="19291"/>
    <cellStyle name="20% - Accent5 2 6 7" xfId="19292"/>
    <cellStyle name="20% - Accent5 2 6 8" xfId="19293"/>
    <cellStyle name="20% - Accent5 2 7" xfId="180"/>
    <cellStyle name="20% - Accent5 2 7 2" xfId="19294"/>
    <cellStyle name="20% - Accent5 2 7 3" xfId="19295"/>
    <cellStyle name="20% - Accent5 2 7 4" xfId="19296"/>
    <cellStyle name="20% - Accent5 2 8" xfId="181"/>
    <cellStyle name="20% - Accent5 2 8 2" xfId="19297"/>
    <cellStyle name="20% - Accent5 2 9" xfId="19298"/>
    <cellStyle name="20% - Accent5 2 9 2" xfId="19299"/>
    <cellStyle name="20% - Accent5 2_12PCORC Wind Vestas and Royalties" xfId="12606"/>
    <cellStyle name="20% - Accent5 3" xfId="182"/>
    <cellStyle name="20% - Accent5 3 2" xfId="183"/>
    <cellStyle name="20% - Accent5 3 2 2" xfId="184"/>
    <cellStyle name="20% - Accent5 3 2 2 2" xfId="12607"/>
    <cellStyle name="20% - Accent5 3 2 2 3" xfId="19300"/>
    <cellStyle name="20% - Accent5 3 2 2 4" xfId="19301"/>
    <cellStyle name="20% - Accent5 3 2 3" xfId="185"/>
    <cellStyle name="20% - Accent5 3 2 3 2" xfId="12608"/>
    <cellStyle name="20% - Accent5 3 2 3 3" xfId="19302"/>
    <cellStyle name="20% - Accent5 3 2 3 4" xfId="19303"/>
    <cellStyle name="20% - Accent5 3 2 4" xfId="12609"/>
    <cellStyle name="20% - Accent5 3 2 4 2" xfId="12610"/>
    <cellStyle name="20% - Accent5 3 2 5" xfId="12611"/>
    <cellStyle name="20% - Accent5 3 2 6" xfId="19304"/>
    <cellStyle name="20% - Accent5 3 2 7" xfId="19305"/>
    <cellStyle name="20% - Accent5 3 3" xfId="186"/>
    <cellStyle name="20% - Accent5 3 3 2" xfId="187"/>
    <cellStyle name="20% - Accent5 3 3 2 2" xfId="12612"/>
    <cellStyle name="20% - Accent5 3 3 2 3" xfId="12613"/>
    <cellStyle name="20% - Accent5 3 3 2 3 2" xfId="18375"/>
    <cellStyle name="20% - Accent5 3 3 2 4" xfId="19306"/>
    <cellStyle name="20% - Accent5 3 3 3" xfId="12614"/>
    <cellStyle name="20% - Accent5 3 3 3 2" xfId="19307"/>
    <cellStyle name="20% - Accent5 3 3 4" xfId="12615"/>
    <cellStyle name="20% - Accent5 3 3 4 2" xfId="18376"/>
    <cellStyle name="20% - Accent5 3 3 5" xfId="19308"/>
    <cellStyle name="20% - Accent5 3 3 6" xfId="19309"/>
    <cellStyle name="20% - Accent5 3 4" xfId="188"/>
    <cellStyle name="20% - Accent5 3 4 2" xfId="12616"/>
    <cellStyle name="20% - Accent5 3 4 3" xfId="19310"/>
    <cellStyle name="20% - Accent5 3 4 4" xfId="19311"/>
    <cellStyle name="20% - Accent5 3 5" xfId="189"/>
    <cellStyle name="20% - Accent5 3 5 2" xfId="19312"/>
    <cellStyle name="20% - Accent5 3 6" xfId="19313"/>
    <cellStyle name="20% - Accent5 3 6 2" xfId="19314"/>
    <cellStyle name="20% - Accent5 3 7" xfId="19315"/>
    <cellStyle name="20% - Accent5 3 8" xfId="19316"/>
    <cellStyle name="20% - Accent5 4" xfId="190"/>
    <cellStyle name="20% - Accent5 4 2" xfId="191"/>
    <cellStyle name="20% - Accent5 4 2 2" xfId="192"/>
    <cellStyle name="20% - Accent5 4 2 2 2" xfId="12617"/>
    <cellStyle name="20% - Accent5 4 2 2 3" xfId="19317"/>
    <cellStyle name="20% - Accent5 4 2 2 4" xfId="19318"/>
    <cellStyle name="20% - Accent5 4 2 3" xfId="12618"/>
    <cellStyle name="20% - Accent5 4 2 3 2" xfId="19319"/>
    <cellStyle name="20% - Accent5 4 2 4" xfId="19320"/>
    <cellStyle name="20% - Accent5 4 2 5" xfId="19321"/>
    <cellStyle name="20% - Accent5 4 2 6" xfId="19322"/>
    <cellStyle name="20% - Accent5 4 3" xfId="193"/>
    <cellStyle name="20% - Accent5 4 3 2" xfId="194"/>
    <cellStyle name="20% - Accent5 4 3 3" xfId="19323"/>
    <cellStyle name="20% - Accent5 4 3 4" xfId="19324"/>
    <cellStyle name="20% - Accent5 4 4" xfId="195"/>
    <cellStyle name="20% - Accent5 4 4 2" xfId="19325"/>
    <cellStyle name="20% - Accent5 4 4 3" xfId="19326"/>
    <cellStyle name="20% - Accent5 4 4 4" xfId="19327"/>
    <cellStyle name="20% - Accent5 4 5" xfId="196"/>
    <cellStyle name="20% - Accent5 4 5 2" xfId="19328"/>
    <cellStyle name="20% - Accent5 4 6" xfId="19329"/>
    <cellStyle name="20% - Accent5 4 6 2" xfId="19330"/>
    <cellStyle name="20% - Accent5 4 7" xfId="19331"/>
    <cellStyle name="20% - Accent5 4 8" xfId="19332"/>
    <cellStyle name="20% - Accent5 5" xfId="197"/>
    <cellStyle name="20% - Accent5 5 2" xfId="198"/>
    <cellStyle name="20% - Accent5 5 2 2" xfId="12619"/>
    <cellStyle name="20% - Accent5 5 2 2 2" xfId="19333"/>
    <cellStyle name="20% - Accent5 5 2 2 2 2" xfId="19334"/>
    <cellStyle name="20% - Accent5 5 2 2 2 3" xfId="19335"/>
    <cellStyle name="20% - Accent5 5 2 2 3" xfId="19336"/>
    <cellStyle name="20% - Accent5 5 2 2 3 2" xfId="19337"/>
    <cellStyle name="20% - Accent5 5 2 2 4" xfId="19338"/>
    <cellStyle name="20% - Accent5 5 2 2 5" xfId="19339"/>
    <cellStyle name="20% - Accent5 5 2 3" xfId="19340"/>
    <cellStyle name="20% - Accent5 5 2 4" xfId="19341"/>
    <cellStyle name="20% - Accent5 5 3" xfId="12620"/>
    <cellStyle name="20% - Accent5 5 3 2" xfId="12621"/>
    <cellStyle name="20% - Accent5 5 4" xfId="12622"/>
    <cellStyle name="20% - Accent5 5 4 2" xfId="19342"/>
    <cellStyle name="20% - Accent5 5 4 2 2" xfId="19343"/>
    <cellStyle name="20% - Accent5 5 4 2 3" xfId="19344"/>
    <cellStyle name="20% - Accent5 5 4 3" xfId="19345"/>
    <cellStyle name="20% - Accent5 5 4 3 2" xfId="19346"/>
    <cellStyle name="20% - Accent5 5 4 4" xfId="19347"/>
    <cellStyle name="20% - Accent5 5 4 5" xfId="19348"/>
    <cellStyle name="20% - Accent5 5 5" xfId="19349"/>
    <cellStyle name="20% - Accent5 5 5 2" xfId="19350"/>
    <cellStyle name="20% - Accent5 5 5 2 2" xfId="19351"/>
    <cellStyle name="20% - Accent5 5 5 2 3" xfId="19352"/>
    <cellStyle name="20% - Accent5 5 5 3" xfId="19353"/>
    <cellStyle name="20% - Accent5 5 5 3 2" xfId="19354"/>
    <cellStyle name="20% - Accent5 5 5 4" xfId="19355"/>
    <cellStyle name="20% - Accent5 5 5 5" xfId="19356"/>
    <cellStyle name="20% - Accent5 5 5 6" xfId="19357"/>
    <cellStyle name="20% - Accent5 5 5 7" xfId="19358"/>
    <cellStyle name="20% - Accent5 5 6" xfId="19359"/>
    <cellStyle name="20% - Accent5 5 6 2" xfId="19360"/>
    <cellStyle name="20% - Accent5 5 6 2 2" xfId="19361"/>
    <cellStyle name="20% - Accent5 5 6 3" xfId="19362"/>
    <cellStyle name="20% - Accent5 5 6 4" xfId="19363"/>
    <cellStyle name="20% - Accent5 5 7" xfId="19364"/>
    <cellStyle name="20% - Accent5 5 7 2" xfId="19365"/>
    <cellStyle name="20% - Accent5 5 8" xfId="19366"/>
    <cellStyle name="20% - Accent5 6" xfId="199"/>
    <cellStyle name="20% - Accent5 6 2" xfId="200"/>
    <cellStyle name="20% - Accent5 6 2 2" xfId="12623"/>
    <cellStyle name="20% - Accent5 6 2 3" xfId="12624"/>
    <cellStyle name="20% - Accent5 6 2 3 2" xfId="18377"/>
    <cellStyle name="20% - Accent5 6 2 4" xfId="19367"/>
    <cellStyle name="20% - Accent5 6 3" xfId="12625"/>
    <cellStyle name="20% - Accent5 6 3 2" xfId="12626"/>
    <cellStyle name="20% - Accent5 6 4" xfId="12627"/>
    <cellStyle name="20% - Accent5 6 4 2" xfId="19368"/>
    <cellStyle name="20% - Accent5 6 4 2 2" xfId="19369"/>
    <cellStyle name="20% - Accent5 6 4 3" xfId="19370"/>
    <cellStyle name="20% - Accent5 6 4 4" xfId="19371"/>
    <cellStyle name="20% - Accent5 6 4 5" xfId="19372"/>
    <cellStyle name="20% - Accent5 6 4 6" xfId="19373"/>
    <cellStyle name="20% - Accent5 6 5" xfId="12628"/>
    <cellStyle name="20% - Accent5 6 5 2" xfId="18378"/>
    <cellStyle name="20% - Accent5 6 5 3" xfId="19374"/>
    <cellStyle name="20% - Accent5 6 5 4" xfId="19375"/>
    <cellStyle name="20% - Accent5 6 5 5" xfId="19376"/>
    <cellStyle name="20% - Accent5 6 6" xfId="19377"/>
    <cellStyle name="20% - Accent5 6 7" xfId="19378"/>
    <cellStyle name="20% - Accent5 6 8" xfId="19379"/>
    <cellStyle name="20% - Accent5 6 9" xfId="19380"/>
    <cellStyle name="20% - Accent5 7" xfId="201"/>
    <cellStyle name="20% - Accent5 7 2" xfId="12629"/>
    <cellStyle name="20% - Accent5 7 2 2" xfId="19381"/>
    <cellStyle name="20% - Accent5 7 2 2 2" xfId="19382"/>
    <cellStyle name="20% - Accent5 7 2 3" xfId="19383"/>
    <cellStyle name="20% - Accent5 7 2 4" xfId="19384"/>
    <cellStyle name="20% - Accent5 7 3" xfId="19385"/>
    <cellStyle name="20% - Accent5 7 3 2" xfId="19386"/>
    <cellStyle name="20% - Accent5 7 3 3" xfId="19387"/>
    <cellStyle name="20% - Accent5 7 4" xfId="19388"/>
    <cellStyle name="20% - Accent5 7 4 2" xfId="19389"/>
    <cellStyle name="20% - Accent5 7 4 3" xfId="19390"/>
    <cellStyle name="20% - Accent5 7 5" xfId="19391"/>
    <cellStyle name="20% - Accent5 7 6" xfId="19392"/>
    <cellStyle name="20% - Accent5 8" xfId="12630"/>
    <cellStyle name="20% - Accent5 8 2" xfId="12631"/>
    <cellStyle name="20% - Accent5 8 2 2" xfId="19393"/>
    <cellStyle name="20% - Accent5 8 2 2 2" xfId="19394"/>
    <cellStyle name="20% - Accent5 8 2 3" xfId="19395"/>
    <cellStyle name="20% - Accent5 8 2 4" xfId="19396"/>
    <cellStyle name="20% - Accent5 8 3" xfId="19397"/>
    <cellStyle name="20% - Accent5 8 3 2" xfId="19398"/>
    <cellStyle name="20% - Accent5 8 3 2 2" xfId="19399"/>
    <cellStyle name="20% - Accent5 8 3 3" xfId="19400"/>
    <cellStyle name="20% - Accent5 8 3 4" xfId="19401"/>
    <cellStyle name="20% - Accent5 8 4" xfId="19402"/>
    <cellStyle name="20% - Accent5 9" xfId="12632"/>
    <cellStyle name="20% - Accent5 9 2" xfId="12633"/>
    <cellStyle name="20% - Accent5 9 2 2" xfId="19403"/>
    <cellStyle name="20% - Accent5 9 2 3" xfId="19404"/>
    <cellStyle name="20% - Accent5 9 3" xfId="19405"/>
    <cellStyle name="20% - Accent5 9 4" xfId="19406"/>
    <cellStyle name="20% - Accent5 9 5" xfId="19407"/>
    <cellStyle name="20% - Accent6 10" xfId="12634"/>
    <cellStyle name="20% - Accent6 10 2" xfId="12635"/>
    <cellStyle name="20% - Accent6 10 2 2" xfId="19408"/>
    <cellStyle name="20% - Accent6 10 2 3" xfId="19409"/>
    <cellStyle name="20% - Accent6 11" xfId="12636"/>
    <cellStyle name="20% - Accent6 11 2" xfId="12637"/>
    <cellStyle name="20% - Accent6 11 2 2" xfId="18380"/>
    <cellStyle name="20% - Accent6 11 3" xfId="18379"/>
    <cellStyle name="20% - Accent6 12" xfId="12638"/>
    <cellStyle name="20% - Accent6 12 2" xfId="18381"/>
    <cellStyle name="20% - Accent6 2" xfId="202"/>
    <cellStyle name="20% - Accent6 2 10" xfId="19410"/>
    <cellStyle name="20% - Accent6 2 11" xfId="19411"/>
    <cellStyle name="20% - Accent6 2 12" xfId="19412"/>
    <cellStyle name="20% - Accent6 2 12 2" xfId="19413"/>
    <cellStyle name="20% - Accent6 2 2" xfId="203"/>
    <cellStyle name="20% - Accent6 2 2 2" xfId="204"/>
    <cellStyle name="20% - Accent6 2 2 2 2" xfId="205"/>
    <cellStyle name="20% - Accent6 2 2 2 2 2" xfId="12639"/>
    <cellStyle name="20% - Accent6 2 2 2 2 3" xfId="19414"/>
    <cellStyle name="20% - Accent6 2 2 2 3" xfId="12640"/>
    <cellStyle name="20% - Accent6 2 2 2 4" xfId="19415"/>
    <cellStyle name="20% - Accent6 2 2 2 5" xfId="19416"/>
    <cellStyle name="20% - Accent6 2 2 3" xfId="206"/>
    <cellStyle name="20% - Accent6 2 2 3 2" xfId="207"/>
    <cellStyle name="20% - Accent6 2 2 3 2 2" xfId="19417"/>
    <cellStyle name="20% - Accent6 2 2 3 2 3" xfId="19418"/>
    <cellStyle name="20% - Accent6 2 2 3 3" xfId="19419"/>
    <cellStyle name="20% - Accent6 2 2 3 4" xfId="19420"/>
    <cellStyle name="20% - Accent6 2 2 3 5" xfId="19421"/>
    <cellStyle name="20% - Accent6 2 2 4" xfId="208"/>
    <cellStyle name="20% - Accent6 2 2 4 2" xfId="19422"/>
    <cellStyle name="20% - Accent6 2 2 4 3" xfId="19423"/>
    <cellStyle name="20% - Accent6 2 2 4 4" xfId="19424"/>
    <cellStyle name="20% - Accent6 2 2 5" xfId="19425"/>
    <cellStyle name="20% - Accent6 2 2 5 2" xfId="19426"/>
    <cellStyle name="20% - Accent6 2 2 6" xfId="19427"/>
    <cellStyle name="20% - Accent6 2 2 7" xfId="19428"/>
    <cellStyle name="20% - Accent6 2 2 8" xfId="19429"/>
    <cellStyle name="20% - Accent6 2 3" xfId="209"/>
    <cellStyle name="20% - Accent6 2 3 2" xfId="210"/>
    <cellStyle name="20% - Accent6 2 3 2 2" xfId="211"/>
    <cellStyle name="20% - Accent6 2 3 2 2 2" xfId="12641"/>
    <cellStyle name="20% - Accent6 2 3 2 2 3" xfId="19430"/>
    <cellStyle name="20% - Accent6 2 3 2 3" xfId="12642"/>
    <cellStyle name="20% - Accent6 2 3 2 4" xfId="19431"/>
    <cellStyle name="20% - Accent6 2 3 2 5" xfId="19432"/>
    <cellStyle name="20% - Accent6 2 3 3" xfId="212"/>
    <cellStyle name="20% - Accent6 2 3 3 2" xfId="12643"/>
    <cellStyle name="20% - Accent6 2 3 3 3" xfId="19433"/>
    <cellStyle name="20% - Accent6 2 3 3 4" xfId="19434"/>
    <cellStyle name="20% - Accent6 2 3 4" xfId="12644"/>
    <cellStyle name="20% - Accent6 2 3 5" xfId="19435"/>
    <cellStyle name="20% - Accent6 2 3 6" xfId="19436"/>
    <cellStyle name="20% - Accent6 2 3 7" xfId="19437"/>
    <cellStyle name="20% - Accent6 2 4" xfId="213"/>
    <cellStyle name="20% - Accent6 2 4 2" xfId="214"/>
    <cellStyle name="20% - Accent6 2 4 2 2" xfId="12645"/>
    <cellStyle name="20% - Accent6 2 4 2 3" xfId="19438"/>
    <cellStyle name="20% - Accent6 2 4 2 4" xfId="19439"/>
    <cellStyle name="20% - Accent6 2 4 3" xfId="12646"/>
    <cellStyle name="20% - Accent6 2 4 3 2" xfId="12647"/>
    <cellStyle name="20% - Accent6 2 4 4" xfId="12648"/>
    <cellStyle name="20% - Accent6 2 4 5" xfId="19440"/>
    <cellStyle name="20% - Accent6 2 4 6" xfId="19441"/>
    <cellStyle name="20% - Accent6 2 5" xfId="215"/>
    <cellStyle name="20% - Accent6 2 5 2" xfId="12649"/>
    <cellStyle name="20% - Accent6 2 5 3" xfId="19442"/>
    <cellStyle name="20% - Accent6 2 5 4" xfId="19443"/>
    <cellStyle name="20% - Accent6 2 6" xfId="216"/>
    <cellStyle name="20% - Accent6 2 6 2" xfId="18258"/>
    <cellStyle name="20% - Accent6 2 6 2 2" xfId="19444"/>
    <cellStyle name="20% - Accent6 2 6 2 3" xfId="19445"/>
    <cellStyle name="20% - Accent6 2 6 2 4" xfId="19446"/>
    <cellStyle name="20% - Accent6 2 6 3" xfId="19447"/>
    <cellStyle name="20% - Accent6 2 6 3 2" xfId="19448"/>
    <cellStyle name="20% - Accent6 2 6 3 3" xfId="19449"/>
    <cellStyle name="20% - Accent6 2 6 4" xfId="19450"/>
    <cellStyle name="20% - Accent6 2 6 4 2" xfId="19451"/>
    <cellStyle name="20% - Accent6 2 6 5" xfId="19452"/>
    <cellStyle name="20% - Accent6 2 6 6" xfId="19453"/>
    <cellStyle name="20% - Accent6 2 6 7" xfId="19454"/>
    <cellStyle name="20% - Accent6 2 6 8" xfId="19455"/>
    <cellStyle name="20% - Accent6 2 7" xfId="217"/>
    <cellStyle name="20% - Accent6 2 7 2" xfId="19456"/>
    <cellStyle name="20% - Accent6 2 7 3" xfId="19457"/>
    <cellStyle name="20% - Accent6 2 7 4" xfId="19458"/>
    <cellStyle name="20% - Accent6 2 8" xfId="218"/>
    <cellStyle name="20% - Accent6 2 8 2" xfId="19459"/>
    <cellStyle name="20% - Accent6 2 9" xfId="19460"/>
    <cellStyle name="20% - Accent6 2 9 2" xfId="19461"/>
    <cellStyle name="20% - Accent6 2_12PCORC Wind Vestas and Royalties" xfId="12650"/>
    <cellStyle name="20% - Accent6 3" xfId="219"/>
    <cellStyle name="20% - Accent6 3 2" xfId="220"/>
    <cellStyle name="20% - Accent6 3 2 2" xfId="221"/>
    <cellStyle name="20% - Accent6 3 2 2 2" xfId="12651"/>
    <cellStyle name="20% - Accent6 3 2 2 3" xfId="19462"/>
    <cellStyle name="20% - Accent6 3 2 2 4" xfId="19463"/>
    <cellStyle name="20% - Accent6 3 2 3" xfId="222"/>
    <cellStyle name="20% - Accent6 3 2 3 2" xfId="12652"/>
    <cellStyle name="20% - Accent6 3 2 3 3" xfId="19464"/>
    <cellStyle name="20% - Accent6 3 2 3 4" xfId="19465"/>
    <cellStyle name="20% - Accent6 3 2 4" xfId="12653"/>
    <cellStyle name="20% - Accent6 3 2 4 2" xfId="12654"/>
    <cellStyle name="20% - Accent6 3 2 5" xfId="12655"/>
    <cellStyle name="20% - Accent6 3 2 6" xfId="19466"/>
    <cellStyle name="20% - Accent6 3 2 7" xfId="19467"/>
    <cellStyle name="20% - Accent6 3 3" xfId="223"/>
    <cellStyle name="20% - Accent6 3 3 2" xfId="224"/>
    <cellStyle name="20% - Accent6 3 3 2 2" xfId="12656"/>
    <cellStyle name="20% - Accent6 3 3 2 3" xfId="12657"/>
    <cellStyle name="20% - Accent6 3 3 2 3 2" xfId="18382"/>
    <cellStyle name="20% - Accent6 3 3 2 4" xfId="19468"/>
    <cellStyle name="20% - Accent6 3 3 3" xfId="12658"/>
    <cellStyle name="20% - Accent6 3 3 3 2" xfId="19469"/>
    <cellStyle name="20% - Accent6 3 3 4" xfId="12659"/>
    <cellStyle name="20% - Accent6 3 3 4 2" xfId="18383"/>
    <cellStyle name="20% - Accent6 3 3 5" xfId="19470"/>
    <cellStyle name="20% - Accent6 3 3 6" xfId="19471"/>
    <cellStyle name="20% - Accent6 3 4" xfId="225"/>
    <cellStyle name="20% - Accent6 3 4 2" xfId="12660"/>
    <cellStyle name="20% - Accent6 3 4 3" xfId="19472"/>
    <cellStyle name="20% - Accent6 3 4 4" xfId="19473"/>
    <cellStyle name="20% - Accent6 3 5" xfId="226"/>
    <cellStyle name="20% - Accent6 3 5 2" xfId="19474"/>
    <cellStyle name="20% - Accent6 3 6" xfId="19475"/>
    <cellStyle name="20% - Accent6 3 7" xfId="19476"/>
    <cellStyle name="20% - Accent6 3 8" xfId="19477"/>
    <cellStyle name="20% - Accent6 4" xfId="227"/>
    <cellStyle name="20% - Accent6 4 2" xfId="228"/>
    <cellStyle name="20% - Accent6 4 2 2" xfId="229"/>
    <cellStyle name="20% - Accent6 4 2 2 2" xfId="12661"/>
    <cellStyle name="20% - Accent6 4 2 2 3" xfId="19478"/>
    <cellStyle name="20% - Accent6 4 2 2 4" xfId="19479"/>
    <cellStyle name="20% - Accent6 4 2 3" xfId="12662"/>
    <cellStyle name="20% - Accent6 4 2 3 2" xfId="19480"/>
    <cellStyle name="20% - Accent6 4 2 4" xfId="19481"/>
    <cellStyle name="20% - Accent6 4 2 5" xfId="19482"/>
    <cellStyle name="20% - Accent6 4 2 6" xfId="19483"/>
    <cellStyle name="20% - Accent6 4 3" xfId="230"/>
    <cellStyle name="20% - Accent6 4 3 2" xfId="231"/>
    <cellStyle name="20% - Accent6 4 3 3" xfId="19484"/>
    <cellStyle name="20% - Accent6 4 3 4" xfId="19485"/>
    <cellStyle name="20% - Accent6 4 4" xfId="232"/>
    <cellStyle name="20% - Accent6 4 4 2" xfId="19486"/>
    <cellStyle name="20% - Accent6 4 4 3" xfId="19487"/>
    <cellStyle name="20% - Accent6 4 4 4" xfId="19488"/>
    <cellStyle name="20% - Accent6 4 5" xfId="233"/>
    <cellStyle name="20% - Accent6 4 5 2" xfId="19489"/>
    <cellStyle name="20% - Accent6 4 6" xfId="19490"/>
    <cellStyle name="20% - Accent6 4 6 2" xfId="19491"/>
    <cellStyle name="20% - Accent6 4 7" xfId="19492"/>
    <cellStyle name="20% - Accent6 4 8" xfId="19493"/>
    <cellStyle name="20% - Accent6 5" xfId="234"/>
    <cellStyle name="20% - Accent6 5 2" xfId="235"/>
    <cellStyle name="20% - Accent6 5 2 2" xfId="12663"/>
    <cellStyle name="20% - Accent6 5 2 2 2" xfId="19494"/>
    <cellStyle name="20% - Accent6 5 2 2 2 2" xfId="19495"/>
    <cellStyle name="20% - Accent6 5 2 2 2 3" xfId="19496"/>
    <cellStyle name="20% - Accent6 5 2 2 3" xfId="19497"/>
    <cellStyle name="20% - Accent6 5 2 2 3 2" xfId="19498"/>
    <cellStyle name="20% - Accent6 5 2 2 4" xfId="19499"/>
    <cellStyle name="20% - Accent6 5 2 2 5" xfId="19500"/>
    <cellStyle name="20% - Accent6 5 2 3" xfId="19501"/>
    <cellStyle name="20% - Accent6 5 2 4" xfId="19502"/>
    <cellStyle name="20% - Accent6 5 3" xfId="236"/>
    <cellStyle name="20% - Accent6 5 3 2" xfId="12664"/>
    <cellStyle name="20% - Accent6 5 3 3" xfId="19503"/>
    <cellStyle name="20% - Accent6 5 3 4" xfId="19504"/>
    <cellStyle name="20% - Accent6 5 4" xfId="12665"/>
    <cellStyle name="20% - Accent6 5 4 2" xfId="12666"/>
    <cellStyle name="20% - Accent6 5 5" xfId="12667"/>
    <cellStyle name="20% - Accent6 5 5 2" xfId="19505"/>
    <cellStyle name="20% - Accent6 5 5 2 2" xfId="19506"/>
    <cellStyle name="20% - Accent6 5 5 2 3" xfId="19507"/>
    <cellStyle name="20% - Accent6 5 5 3" xfId="19508"/>
    <cellStyle name="20% - Accent6 5 5 3 2" xfId="19509"/>
    <cellStyle name="20% - Accent6 5 5 4" xfId="19510"/>
    <cellStyle name="20% - Accent6 5 5 5" xfId="19511"/>
    <cellStyle name="20% - Accent6 5 6" xfId="19512"/>
    <cellStyle name="20% - Accent6 5 6 2" xfId="19513"/>
    <cellStyle name="20% - Accent6 5 6 2 2" xfId="19514"/>
    <cellStyle name="20% - Accent6 5 6 2 3" xfId="19515"/>
    <cellStyle name="20% - Accent6 5 6 3" xfId="19516"/>
    <cellStyle name="20% - Accent6 5 6 3 2" xfId="19517"/>
    <cellStyle name="20% - Accent6 5 6 4" xfId="19518"/>
    <cellStyle name="20% - Accent6 5 6 5" xfId="19519"/>
    <cellStyle name="20% - Accent6 5 6 6" xfId="19520"/>
    <cellStyle name="20% - Accent6 5 6 7" xfId="19521"/>
    <cellStyle name="20% - Accent6 5 7" xfId="19522"/>
    <cellStyle name="20% - Accent6 5 7 2" xfId="19523"/>
    <cellStyle name="20% - Accent6 5 7 2 2" xfId="19524"/>
    <cellStyle name="20% - Accent6 5 7 3" xfId="19525"/>
    <cellStyle name="20% - Accent6 5 7 4" xfId="19526"/>
    <cellStyle name="20% - Accent6 5 8" xfId="19527"/>
    <cellStyle name="20% - Accent6 5 8 2" xfId="19528"/>
    <cellStyle name="20% - Accent6 5 9" xfId="19529"/>
    <cellStyle name="20% - Accent6 6" xfId="237"/>
    <cellStyle name="20% - Accent6 6 2" xfId="238"/>
    <cellStyle name="20% - Accent6 6 2 2" xfId="12668"/>
    <cellStyle name="20% - Accent6 6 2 3" xfId="12669"/>
    <cellStyle name="20% - Accent6 6 2 3 2" xfId="18384"/>
    <cellStyle name="20% - Accent6 6 2 4" xfId="19530"/>
    <cellStyle name="20% - Accent6 6 3" xfId="12670"/>
    <cellStyle name="20% - Accent6 6 3 2" xfId="12671"/>
    <cellStyle name="20% - Accent6 6 4" xfId="12672"/>
    <cellStyle name="20% - Accent6 6 4 2" xfId="19531"/>
    <cellStyle name="20% - Accent6 6 4 2 2" xfId="19532"/>
    <cellStyle name="20% - Accent6 6 4 3" xfId="19533"/>
    <cellStyle name="20% - Accent6 6 4 4" xfId="19534"/>
    <cellStyle name="20% - Accent6 6 4 5" xfId="19535"/>
    <cellStyle name="20% - Accent6 6 4 6" xfId="19536"/>
    <cellStyle name="20% - Accent6 6 5" xfId="12673"/>
    <cellStyle name="20% - Accent6 6 5 2" xfId="18385"/>
    <cellStyle name="20% - Accent6 6 5 3" xfId="19537"/>
    <cellStyle name="20% - Accent6 6 5 4" xfId="19538"/>
    <cellStyle name="20% - Accent6 6 5 5" xfId="19539"/>
    <cellStyle name="20% - Accent6 6 6" xfId="19540"/>
    <cellStyle name="20% - Accent6 6 7" xfId="19541"/>
    <cellStyle name="20% - Accent6 6 8" xfId="19542"/>
    <cellStyle name="20% - Accent6 6 9" xfId="19543"/>
    <cellStyle name="20% - Accent6 7" xfId="239"/>
    <cellStyle name="20% - Accent6 7 2" xfId="12674"/>
    <cellStyle name="20% - Accent6 7 2 2" xfId="19544"/>
    <cellStyle name="20% - Accent6 7 2 2 2" xfId="19545"/>
    <cellStyle name="20% - Accent6 7 2 3" xfId="19546"/>
    <cellStyle name="20% - Accent6 7 2 4" xfId="19547"/>
    <cellStyle name="20% - Accent6 7 3" xfId="19548"/>
    <cellStyle name="20% - Accent6 7 3 2" xfId="19549"/>
    <cellStyle name="20% - Accent6 7 3 3" xfId="19550"/>
    <cellStyle name="20% - Accent6 7 4" xfId="19551"/>
    <cellStyle name="20% - Accent6 7 4 2" xfId="19552"/>
    <cellStyle name="20% - Accent6 7 4 3" xfId="19553"/>
    <cellStyle name="20% - Accent6 7 5" xfId="19554"/>
    <cellStyle name="20% - Accent6 7 6" xfId="19555"/>
    <cellStyle name="20% - Accent6 8" xfId="12675"/>
    <cellStyle name="20% - Accent6 8 2" xfId="12676"/>
    <cellStyle name="20% - Accent6 8 2 2" xfId="19556"/>
    <cellStyle name="20% - Accent6 8 2 2 2" xfId="19557"/>
    <cellStyle name="20% - Accent6 8 2 3" xfId="19558"/>
    <cellStyle name="20% - Accent6 8 2 4" xfId="19559"/>
    <cellStyle name="20% - Accent6 8 3" xfId="19560"/>
    <cellStyle name="20% - Accent6 8 3 2" xfId="19561"/>
    <cellStyle name="20% - Accent6 8 3 2 2" xfId="19562"/>
    <cellStyle name="20% - Accent6 8 3 3" xfId="19563"/>
    <cellStyle name="20% - Accent6 8 3 4" xfId="19564"/>
    <cellStyle name="20% - Accent6 8 4" xfId="19565"/>
    <cellStyle name="20% - Accent6 9" xfId="12677"/>
    <cellStyle name="20% - Accent6 9 2" xfId="12678"/>
    <cellStyle name="20% - Accent6 9 2 2" xfId="19566"/>
    <cellStyle name="20% - Accent6 9 2 3" xfId="19567"/>
    <cellStyle name="20% - Accent6 9 3" xfId="19568"/>
    <cellStyle name="20% - Accent6 9 4" xfId="19569"/>
    <cellStyle name="20% - Accent6 9 5" xfId="19570"/>
    <cellStyle name="40% - Accent1 10" xfId="12679"/>
    <cellStyle name="40% - Accent1 10 2" xfId="12680"/>
    <cellStyle name="40% - Accent1 10 2 2" xfId="19571"/>
    <cellStyle name="40% - Accent1 10 2 3" xfId="19572"/>
    <cellStyle name="40% - Accent1 11" xfId="12681"/>
    <cellStyle name="40% - Accent1 11 2" xfId="12682"/>
    <cellStyle name="40% - Accent1 11 2 2" xfId="18387"/>
    <cellStyle name="40% - Accent1 11 3" xfId="18386"/>
    <cellStyle name="40% - Accent1 12" xfId="12683"/>
    <cellStyle name="40% - Accent1 12 2" xfId="18388"/>
    <cellStyle name="40% - Accent1 2" xfId="240"/>
    <cellStyle name="40% - Accent1 2 10" xfId="19573"/>
    <cellStyle name="40% - Accent1 2 11" xfId="19574"/>
    <cellStyle name="40% - Accent1 2 12" xfId="19575"/>
    <cellStyle name="40% - Accent1 2 12 2" xfId="19576"/>
    <cellStyle name="40% - Accent1 2 2" xfId="241"/>
    <cellStyle name="40% - Accent1 2 2 2" xfId="242"/>
    <cellStyle name="40% - Accent1 2 2 2 2" xfId="243"/>
    <cellStyle name="40% - Accent1 2 2 2 2 2" xfId="12684"/>
    <cellStyle name="40% - Accent1 2 2 2 2 3" xfId="19577"/>
    <cellStyle name="40% - Accent1 2 2 2 3" xfId="12685"/>
    <cellStyle name="40% - Accent1 2 2 2 4" xfId="19578"/>
    <cellStyle name="40% - Accent1 2 2 2 5" xfId="19579"/>
    <cellStyle name="40% - Accent1 2 2 3" xfId="244"/>
    <cellStyle name="40% - Accent1 2 2 3 2" xfId="245"/>
    <cellStyle name="40% - Accent1 2 2 3 2 2" xfId="19580"/>
    <cellStyle name="40% - Accent1 2 2 3 2 3" xfId="19581"/>
    <cellStyle name="40% - Accent1 2 2 3 3" xfId="19582"/>
    <cellStyle name="40% - Accent1 2 2 3 4" xfId="19583"/>
    <cellStyle name="40% - Accent1 2 2 3 5" xfId="19584"/>
    <cellStyle name="40% - Accent1 2 2 4" xfId="246"/>
    <cellStyle name="40% - Accent1 2 2 4 2" xfId="19585"/>
    <cellStyle name="40% - Accent1 2 2 4 3" xfId="19586"/>
    <cellStyle name="40% - Accent1 2 2 4 4" xfId="19587"/>
    <cellStyle name="40% - Accent1 2 2 5" xfId="19588"/>
    <cellStyle name="40% - Accent1 2 2 5 2" xfId="19589"/>
    <cellStyle name="40% - Accent1 2 2 6" xfId="19590"/>
    <cellStyle name="40% - Accent1 2 2 7" xfId="19591"/>
    <cellStyle name="40% - Accent1 2 2 8" xfId="19592"/>
    <cellStyle name="40% - Accent1 2 3" xfId="247"/>
    <cellStyle name="40% - Accent1 2 3 2" xfId="248"/>
    <cellStyle name="40% - Accent1 2 3 2 2" xfId="249"/>
    <cellStyle name="40% - Accent1 2 3 2 2 2" xfId="12686"/>
    <cellStyle name="40% - Accent1 2 3 2 2 3" xfId="19593"/>
    <cellStyle name="40% - Accent1 2 3 2 3" xfId="12687"/>
    <cellStyle name="40% - Accent1 2 3 2 4" xfId="19594"/>
    <cellStyle name="40% - Accent1 2 3 2 5" xfId="19595"/>
    <cellStyle name="40% - Accent1 2 3 3" xfId="250"/>
    <cellStyle name="40% - Accent1 2 3 3 2" xfId="12688"/>
    <cellStyle name="40% - Accent1 2 3 3 3" xfId="19596"/>
    <cellStyle name="40% - Accent1 2 3 3 4" xfId="19597"/>
    <cellStyle name="40% - Accent1 2 3 4" xfId="12689"/>
    <cellStyle name="40% - Accent1 2 3 5" xfId="19598"/>
    <cellStyle name="40% - Accent1 2 3 6" xfId="19599"/>
    <cellStyle name="40% - Accent1 2 3 7" xfId="19600"/>
    <cellStyle name="40% - Accent1 2 4" xfId="251"/>
    <cellStyle name="40% - Accent1 2 4 2" xfId="252"/>
    <cellStyle name="40% - Accent1 2 4 2 2" xfId="12690"/>
    <cellStyle name="40% - Accent1 2 4 2 3" xfId="19601"/>
    <cellStyle name="40% - Accent1 2 4 2 4" xfId="19602"/>
    <cellStyle name="40% - Accent1 2 4 3" xfId="12691"/>
    <cellStyle name="40% - Accent1 2 4 3 2" xfId="12692"/>
    <cellStyle name="40% - Accent1 2 4 4" xfId="12693"/>
    <cellStyle name="40% - Accent1 2 4 5" xfId="19603"/>
    <cellStyle name="40% - Accent1 2 4 6" xfId="19604"/>
    <cellStyle name="40% - Accent1 2 5" xfId="253"/>
    <cellStyle name="40% - Accent1 2 5 2" xfId="12694"/>
    <cellStyle name="40% - Accent1 2 5 3" xfId="19605"/>
    <cellStyle name="40% - Accent1 2 5 4" xfId="19606"/>
    <cellStyle name="40% - Accent1 2 6" xfId="254"/>
    <cellStyle name="40% - Accent1 2 6 2" xfId="18259"/>
    <cellStyle name="40% - Accent1 2 6 2 2" xfId="19607"/>
    <cellStyle name="40% - Accent1 2 6 2 3" xfId="19608"/>
    <cellStyle name="40% - Accent1 2 6 2 4" xfId="19609"/>
    <cellStyle name="40% - Accent1 2 6 3" xfId="19610"/>
    <cellStyle name="40% - Accent1 2 6 3 2" xfId="19611"/>
    <cellStyle name="40% - Accent1 2 6 3 3" xfId="19612"/>
    <cellStyle name="40% - Accent1 2 6 4" xfId="19613"/>
    <cellStyle name="40% - Accent1 2 6 4 2" xfId="19614"/>
    <cellStyle name="40% - Accent1 2 6 5" xfId="19615"/>
    <cellStyle name="40% - Accent1 2 6 6" xfId="19616"/>
    <cellStyle name="40% - Accent1 2 6 7" xfId="19617"/>
    <cellStyle name="40% - Accent1 2 6 8" xfId="19618"/>
    <cellStyle name="40% - Accent1 2 7" xfId="255"/>
    <cellStyle name="40% - Accent1 2 7 2" xfId="19619"/>
    <cellStyle name="40% - Accent1 2 7 3" xfId="19620"/>
    <cellStyle name="40% - Accent1 2 7 4" xfId="19621"/>
    <cellStyle name="40% - Accent1 2 8" xfId="256"/>
    <cellStyle name="40% - Accent1 2 8 2" xfId="19622"/>
    <cellStyle name="40% - Accent1 2 9" xfId="19623"/>
    <cellStyle name="40% - Accent1 2 9 2" xfId="19624"/>
    <cellStyle name="40% - Accent1 2_12PCORC Wind Vestas and Royalties" xfId="12695"/>
    <cellStyle name="40% - Accent1 3" xfId="257"/>
    <cellStyle name="40% - Accent1 3 2" xfId="258"/>
    <cellStyle name="40% - Accent1 3 2 2" xfId="259"/>
    <cellStyle name="40% - Accent1 3 2 2 2" xfId="12696"/>
    <cellStyle name="40% - Accent1 3 2 2 3" xfId="19625"/>
    <cellStyle name="40% - Accent1 3 2 2 4" xfId="19626"/>
    <cellStyle name="40% - Accent1 3 2 3" xfId="260"/>
    <cellStyle name="40% - Accent1 3 2 3 2" xfId="12697"/>
    <cellStyle name="40% - Accent1 3 2 3 3" xfId="19627"/>
    <cellStyle name="40% - Accent1 3 2 3 4" xfId="19628"/>
    <cellStyle name="40% - Accent1 3 2 4" xfId="12698"/>
    <cellStyle name="40% - Accent1 3 2 4 2" xfId="12699"/>
    <cellStyle name="40% - Accent1 3 2 5" xfId="12700"/>
    <cellStyle name="40% - Accent1 3 2 6" xfId="19629"/>
    <cellStyle name="40% - Accent1 3 2 7" xfId="19630"/>
    <cellStyle name="40% - Accent1 3 3" xfId="261"/>
    <cellStyle name="40% - Accent1 3 3 2" xfId="262"/>
    <cellStyle name="40% - Accent1 3 3 2 2" xfId="12701"/>
    <cellStyle name="40% - Accent1 3 3 2 3" xfId="12702"/>
    <cellStyle name="40% - Accent1 3 3 2 3 2" xfId="18389"/>
    <cellStyle name="40% - Accent1 3 3 2 4" xfId="19631"/>
    <cellStyle name="40% - Accent1 3 3 3" xfId="12703"/>
    <cellStyle name="40% - Accent1 3 3 3 2" xfId="19632"/>
    <cellStyle name="40% - Accent1 3 3 4" xfId="12704"/>
    <cellStyle name="40% - Accent1 3 3 4 2" xfId="18390"/>
    <cellStyle name="40% - Accent1 3 3 5" xfId="19633"/>
    <cellStyle name="40% - Accent1 3 3 6" xfId="19634"/>
    <cellStyle name="40% - Accent1 3 4" xfId="263"/>
    <cellStyle name="40% - Accent1 3 4 2" xfId="12705"/>
    <cellStyle name="40% - Accent1 3 4 3" xfId="19635"/>
    <cellStyle name="40% - Accent1 3 4 4" xfId="19636"/>
    <cellStyle name="40% - Accent1 3 5" xfId="264"/>
    <cellStyle name="40% - Accent1 3 5 2" xfId="19637"/>
    <cellStyle name="40% - Accent1 3 6" xfId="19638"/>
    <cellStyle name="40% - Accent1 3 7" xfId="19639"/>
    <cellStyle name="40% - Accent1 3 8" xfId="19640"/>
    <cellStyle name="40% - Accent1 4" xfId="265"/>
    <cellStyle name="40% - Accent1 4 2" xfId="266"/>
    <cellStyle name="40% - Accent1 4 2 2" xfId="267"/>
    <cellStyle name="40% - Accent1 4 2 2 2" xfId="12706"/>
    <cellStyle name="40% - Accent1 4 2 2 3" xfId="19641"/>
    <cellStyle name="40% - Accent1 4 2 2 4" xfId="19642"/>
    <cellStyle name="40% - Accent1 4 2 3" xfId="12707"/>
    <cellStyle name="40% - Accent1 4 2 3 2" xfId="19643"/>
    <cellStyle name="40% - Accent1 4 2 4" xfId="19644"/>
    <cellStyle name="40% - Accent1 4 2 5" xfId="19645"/>
    <cellStyle name="40% - Accent1 4 2 6" xfId="19646"/>
    <cellStyle name="40% - Accent1 4 3" xfId="268"/>
    <cellStyle name="40% - Accent1 4 3 2" xfId="269"/>
    <cellStyle name="40% - Accent1 4 3 3" xfId="19647"/>
    <cellStyle name="40% - Accent1 4 3 4" xfId="19648"/>
    <cellStyle name="40% - Accent1 4 4" xfId="270"/>
    <cellStyle name="40% - Accent1 4 4 2" xfId="19649"/>
    <cellStyle name="40% - Accent1 4 4 3" xfId="19650"/>
    <cellStyle name="40% - Accent1 4 4 4" xfId="19651"/>
    <cellStyle name="40% - Accent1 4 5" xfId="271"/>
    <cellStyle name="40% - Accent1 4 5 2" xfId="19652"/>
    <cellStyle name="40% - Accent1 4 6" xfId="19653"/>
    <cellStyle name="40% - Accent1 4 6 2" xfId="19654"/>
    <cellStyle name="40% - Accent1 4 7" xfId="19655"/>
    <cellStyle name="40% - Accent1 4 8" xfId="19656"/>
    <cellStyle name="40% - Accent1 5" xfId="272"/>
    <cellStyle name="40% - Accent1 5 2" xfId="273"/>
    <cellStyle name="40% - Accent1 5 2 2" xfId="12708"/>
    <cellStyle name="40% - Accent1 5 2 2 2" xfId="19657"/>
    <cellStyle name="40% - Accent1 5 2 2 2 2" xfId="19658"/>
    <cellStyle name="40% - Accent1 5 2 2 2 3" xfId="19659"/>
    <cellStyle name="40% - Accent1 5 2 2 3" xfId="19660"/>
    <cellStyle name="40% - Accent1 5 2 2 3 2" xfId="19661"/>
    <cellStyle name="40% - Accent1 5 2 2 4" xfId="19662"/>
    <cellStyle name="40% - Accent1 5 2 2 5" xfId="19663"/>
    <cellStyle name="40% - Accent1 5 2 3" xfId="19664"/>
    <cellStyle name="40% - Accent1 5 2 4" xfId="19665"/>
    <cellStyle name="40% - Accent1 5 3" xfId="274"/>
    <cellStyle name="40% - Accent1 5 3 2" xfId="12709"/>
    <cellStyle name="40% - Accent1 5 3 3" xfId="19666"/>
    <cellStyle name="40% - Accent1 5 3 4" xfId="19667"/>
    <cellStyle name="40% - Accent1 5 4" xfId="12710"/>
    <cellStyle name="40% - Accent1 5 4 2" xfId="12711"/>
    <cellStyle name="40% - Accent1 5 5" xfId="12712"/>
    <cellStyle name="40% - Accent1 5 5 2" xfId="19668"/>
    <cellStyle name="40% - Accent1 5 5 2 2" xfId="19669"/>
    <cellStyle name="40% - Accent1 5 5 2 3" xfId="19670"/>
    <cellStyle name="40% - Accent1 5 5 3" xfId="19671"/>
    <cellStyle name="40% - Accent1 5 5 3 2" xfId="19672"/>
    <cellStyle name="40% - Accent1 5 5 4" xfId="19673"/>
    <cellStyle name="40% - Accent1 5 5 5" xfId="19674"/>
    <cellStyle name="40% - Accent1 5 6" xfId="19675"/>
    <cellStyle name="40% - Accent1 5 6 2" xfId="19676"/>
    <cellStyle name="40% - Accent1 5 6 2 2" xfId="19677"/>
    <cellStyle name="40% - Accent1 5 6 2 3" xfId="19678"/>
    <cellStyle name="40% - Accent1 5 6 3" xfId="19679"/>
    <cellStyle name="40% - Accent1 5 6 3 2" xfId="19680"/>
    <cellStyle name="40% - Accent1 5 6 4" xfId="19681"/>
    <cellStyle name="40% - Accent1 5 6 5" xfId="19682"/>
    <cellStyle name="40% - Accent1 5 6 6" xfId="19683"/>
    <cellStyle name="40% - Accent1 5 6 7" xfId="19684"/>
    <cellStyle name="40% - Accent1 5 7" xfId="19685"/>
    <cellStyle name="40% - Accent1 5 7 2" xfId="19686"/>
    <cellStyle name="40% - Accent1 5 7 2 2" xfId="19687"/>
    <cellStyle name="40% - Accent1 5 7 3" xfId="19688"/>
    <cellStyle name="40% - Accent1 5 7 4" xfId="19689"/>
    <cellStyle name="40% - Accent1 5 8" xfId="19690"/>
    <cellStyle name="40% - Accent1 5 8 2" xfId="19691"/>
    <cellStyle name="40% - Accent1 5 9" xfId="19692"/>
    <cellStyle name="40% - Accent1 6" xfId="275"/>
    <cellStyle name="40% - Accent1 6 2" xfId="276"/>
    <cellStyle name="40% - Accent1 6 2 2" xfId="12713"/>
    <cellStyle name="40% - Accent1 6 2 3" xfId="12714"/>
    <cellStyle name="40% - Accent1 6 2 3 2" xfId="18391"/>
    <cellStyle name="40% - Accent1 6 2 4" xfId="19693"/>
    <cellStyle name="40% - Accent1 6 3" xfId="12715"/>
    <cellStyle name="40% - Accent1 6 3 2" xfId="12716"/>
    <cellStyle name="40% - Accent1 6 4" xfId="12717"/>
    <cellStyle name="40% - Accent1 6 4 2" xfId="19694"/>
    <cellStyle name="40% - Accent1 6 4 2 2" xfId="19695"/>
    <cellStyle name="40% - Accent1 6 4 3" xfId="19696"/>
    <cellStyle name="40% - Accent1 6 4 4" xfId="19697"/>
    <cellStyle name="40% - Accent1 6 4 5" xfId="19698"/>
    <cellStyle name="40% - Accent1 6 4 6" xfId="19699"/>
    <cellStyle name="40% - Accent1 6 5" xfId="12718"/>
    <cellStyle name="40% - Accent1 6 5 2" xfId="18392"/>
    <cellStyle name="40% - Accent1 6 5 3" xfId="19700"/>
    <cellStyle name="40% - Accent1 6 5 4" xfId="19701"/>
    <cellStyle name="40% - Accent1 6 5 5" xfId="19702"/>
    <cellStyle name="40% - Accent1 6 6" xfId="19703"/>
    <cellStyle name="40% - Accent1 6 7" xfId="19704"/>
    <cellStyle name="40% - Accent1 6 8" xfId="19705"/>
    <cellStyle name="40% - Accent1 6 9" xfId="19706"/>
    <cellStyle name="40% - Accent1 7" xfId="277"/>
    <cellStyle name="40% - Accent1 7 2" xfId="12719"/>
    <cellStyle name="40% - Accent1 7 2 2" xfId="19707"/>
    <cellStyle name="40% - Accent1 7 2 2 2" xfId="19708"/>
    <cellStyle name="40% - Accent1 7 2 3" xfId="19709"/>
    <cellStyle name="40% - Accent1 7 2 4" xfId="19710"/>
    <cellStyle name="40% - Accent1 7 3" xfId="19711"/>
    <cellStyle name="40% - Accent1 7 3 2" xfId="19712"/>
    <cellStyle name="40% - Accent1 7 3 3" xfId="19713"/>
    <cellStyle name="40% - Accent1 7 4" xfId="19714"/>
    <cellStyle name="40% - Accent1 7 4 2" xfId="19715"/>
    <cellStyle name="40% - Accent1 7 4 3" xfId="19716"/>
    <cellStyle name="40% - Accent1 7 5" xfId="19717"/>
    <cellStyle name="40% - Accent1 7 6" xfId="19718"/>
    <cellStyle name="40% - Accent1 8" xfId="12720"/>
    <cellStyle name="40% - Accent1 8 2" xfId="12721"/>
    <cellStyle name="40% - Accent1 8 2 2" xfId="19719"/>
    <cellStyle name="40% - Accent1 8 2 2 2" xfId="19720"/>
    <cellStyle name="40% - Accent1 8 2 3" xfId="19721"/>
    <cellStyle name="40% - Accent1 8 2 4" xfId="19722"/>
    <cellStyle name="40% - Accent1 8 3" xfId="19723"/>
    <cellStyle name="40% - Accent1 8 3 2" xfId="19724"/>
    <cellStyle name="40% - Accent1 8 3 2 2" xfId="19725"/>
    <cellStyle name="40% - Accent1 8 3 3" xfId="19726"/>
    <cellStyle name="40% - Accent1 8 3 4" xfId="19727"/>
    <cellStyle name="40% - Accent1 8 4" xfId="19728"/>
    <cellStyle name="40% - Accent1 9" xfId="12722"/>
    <cellStyle name="40% - Accent1 9 2" xfId="12723"/>
    <cellStyle name="40% - Accent1 9 2 2" xfId="19729"/>
    <cellStyle name="40% - Accent1 9 2 3" xfId="19730"/>
    <cellStyle name="40% - Accent1 9 3" xfId="19731"/>
    <cellStyle name="40% - Accent1 9 4" xfId="19732"/>
    <cellStyle name="40% - Accent1 9 5" xfId="19733"/>
    <cellStyle name="40% - Accent2 10" xfId="12724"/>
    <cellStyle name="40% - Accent2 10 2" xfId="12725"/>
    <cellStyle name="40% - Accent2 10 2 2" xfId="19734"/>
    <cellStyle name="40% - Accent2 10 2 3" xfId="19735"/>
    <cellStyle name="40% - Accent2 11" xfId="12726"/>
    <cellStyle name="40% - Accent2 11 2" xfId="12727"/>
    <cellStyle name="40% - Accent2 11 2 2" xfId="18394"/>
    <cellStyle name="40% - Accent2 11 3" xfId="18393"/>
    <cellStyle name="40% - Accent2 12" xfId="12728"/>
    <cellStyle name="40% - Accent2 12 2" xfId="18395"/>
    <cellStyle name="40% - Accent2 2" xfId="278"/>
    <cellStyle name="40% - Accent2 2 10" xfId="19736"/>
    <cellStyle name="40% - Accent2 2 11" xfId="19737"/>
    <cellStyle name="40% - Accent2 2 12" xfId="19738"/>
    <cellStyle name="40% - Accent2 2 12 2" xfId="19739"/>
    <cellStyle name="40% - Accent2 2 2" xfId="279"/>
    <cellStyle name="40% - Accent2 2 2 2" xfId="280"/>
    <cellStyle name="40% - Accent2 2 2 2 2" xfId="281"/>
    <cellStyle name="40% - Accent2 2 2 2 2 2" xfId="12729"/>
    <cellStyle name="40% - Accent2 2 2 2 2 3" xfId="19740"/>
    <cellStyle name="40% - Accent2 2 2 2 3" xfId="12730"/>
    <cellStyle name="40% - Accent2 2 2 2 4" xfId="19741"/>
    <cellStyle name="40% - Accent2 2 2 2 5" xfId="19742"/>
    <cellStyle name="40% - Accent2 2 2 3" xfId="282"/>
    <cellStyle name="40% - Accent2 2 2 3 2" xfId="283"/>
    <cellStyle name="40% - Accent2 2 2 3 2 2" xfId="19743"/>
    <cellStyle name="40% - Accent2 2 2 3 2 3" xfId="19744"/>
    <cellStyle name="40% - Accent2 2 2 3 3" xfId="19745"/>
    <cellStyle name="40% - Accent2 2 2 3 4" xfId="19746"/>
    <cellStyle name="40% - Accent2 2 2 3 5" xfId="19747"/>
    <cellStyle name="40% - Accent2 2 2 4" xfId="284"/>
    <cellStyle name="40% - Accent2 2 2 4 2" xfId="19748"/>
    <cellStyle name="40% - Accent2 2 2 4 3" xfId="19749"/>
    <cellStyle name="40% - Accent2 2 2 4 4" xfId="19750"/>
    <cellStyle name="40% - Accent2 2 2 5" xfId="19751"/>
    <cellStyle name="40% - Accent2 2 2 5 2" xfId="19752"/>
    <cellStyle name="40% - Accent2 2 2 6" xfId="19753"/>
    <cellStyle name="40% - Accent2 2 2 7" xfId="19754"/>
    <cellStyle name="40% - Accent2 2 2 8" xfId="19755"/>
    <cellStyle name="40% - Accent2 2 3" xfId="285"/>
    <cellStyle name="40% - Accent2 2 3 2" xfId="286"/>
    <cellStyle name="40% - Accent2 2 3 2 2" xfId="287"/>
    <cellStyle name="40% - Accent2 2 3 2 2 2" xfId="12731"/>
    <cellStyle name="40% - Accent2 2 3 2 2 3" xfId="19756"/>
    <cellStyle name="40% - Accent2 2 3 2 3" xfId="12732"/>
    <cellStyle name="40% - Accent2 2 3 2 4" xfId="19757"/>
    <cellStyle name="40% - Accent2 2 3 2 5" xfId="19758"/>
    <cellStyle name="40% - Accent2 2 3 3" xfId="288"/>
    <cellStyle name="40% - Accent2 2 3 3 2" xfId="12733"/>
    <cellStyle name="40% - Accent2 2 3 3 3" xfId="19759"/>
    <cellStyle name="40% - Accent2 2 3 3 4" xfId="19760"/>
    <cellStyle name="40% - Accent2 2 3 4" xfId="12734"/>
    <cellStyle name="40% - Accent2 2 3 5" xfId="19761"/>
    <cellStyle name="40% - Accent2 2 3 6" xfId="19762"/>
    <cellStyle name="40% - Accent2 2 3 7" xfId="19763"/>
    <cellStyle name="40% - Accent2 2 4" xfId="289"/>
    <cellStyle name="40% - Accent2 2 4 2" xfId="290"/>
    <cellStyle name="40% - Accent2 2 4 2 2" xfId="12735"/>
    <cellStyle name="40% - Accent2 2 4 2 3" xfId="19764"/>
    <cellStyle name="40% - Accent2 2 4 2 4" xfId="19765"/>
    <cellStyle name="40% - Accent2 2 4 3" xfId="12736"/>
    <cellStyle name="40% - Accent2 2 4 3 2" xfId="12737"/>
    <cellStyle name="40% - Accent2 2 4 4" xfId="12738"/>
    <cellStyle name="40% - Accent2 2 4 5" xfId="19766"/>
    <cellStyle name="40% - Accent2 2 4 6" xfId="19767"/>
    <cellStyle name="40% - Accent2 2 5" xfId="291"/>
    <cellStyle name="40% - Accent2 2 5 2" xfId="12739"/>
    <cellStyle name="40% - Accent2 2 5 3" xfId="19768"/>
    <cellStyle name="40% - Accent2 2 5 4" xfId="19769"/>
    <cellStyle name="40% - Accent2 2 6" xfId="292"/>
    <cellStyle name="40% - Accent2 2 6 2" xfId="18260"/>
    <cellStyle name="40% - Accent2 2 6 2 2" xfId="19770"/>
    <cellStyle name="40% - Accent2 2 6 2 3" xfId="19771"/>
    <cellStyle name="40% - Accent2 2 6 2 4" xfId="19772"/>
    <cellStyle name="40% - Accent2 2 6 3" xfId="19773"/>
    <cellStyle name="40% - Accent2 2 6 3 2" xfId="19774"/>
    <cellStyle name="40% - Accent2 2 6 3 3" xfId="19775"/>
    <cellStyle name="40% - Accent2 2 6 4" xfId="19776"/>
    <cellStyle name="40% - Accent2 2 6 4 2" xfId="19777"/>
    <cellStyle name="40% - Accent2 2 6 5" xfId="19778"/>
    <cellStyle name="40% - Accent2 2 6 6" xfId="19779"/>
    <cellStyle name="40% - Accent2 2 6 7" xfId="19780"/>
    <cellStyle name="40% - Accent2 2 6 8" xfId="19781"/>
    <cellStyle name="40% - Accent2 2 7" xfId="293"/>
    <cellStyle name="40% - Accent2 2 7 2" xfId="19782"/>
    <cellStyle name="40% - Accent2 2 7 3" xfId="19783"/>
    <cellStyle name="40% - Accent2 2 7 4" xfId="19784"/>
    <cellStyle name="40% - Accent2 2 8" xfId="294"/>
    <cellStyle name="40% - Accent2 2 8 2" xfId="19785"/>
    <cellStyle name="40% - Accent2 2 9" xfId="19786"/>
    <cellStyle name="40% - Accent2 2 9 2" xfId="19787"/>
    <cellStyle name="40% - Accent2 2_12PCORC Wind Vestas and Royalties" xfId="12740"/>
    <cellStyle name="40% - Accent2 3" xfId="295"/>
    <cellStyle name="40% - Accent2 3 2" xfId="296"/>
    <cellStyle name="40% - Accent2 3 2 2" xfId="297"/>
    <cellStyle name="40% - Accent2 3 2 2 2" xfId="12741"/>
    <cellStyle name="40% - Accent2 3 2 2 3" xfId="19788"/>
    <cellStyle name="40% - Accent2 3 2 2 4" xfId="19789"/>
    <cellStyle name="40% - Accent2 3 2 3" xfId="298"/>
    <cellStyle name="40% - Accent2 3 2 3 2" xfId="12742"/>
    <cellStyle name="40% - Accent2 3 2 3 3" xfId="19790"/>
    <cellStyle name="40% - Accent2 3 2 3 4" xfId="19791"/>
    <cellStyle name="40% - Accent2 3 2 4" xfId="12743"/>
    <cellStyle name="40% - Accent2 3 2 4 2" xfId="12744"/>
    <cellStyle name="40% - Accent2 3 2 5" xfId="12745"/>
    <cellStyle name="40% - Accent2 3 2 6" xfId="19792"/>
    <cellStyle name="40% - Accent2 3 2 7" xfId="19793"/>
    <cellStyle name="40% - Accent2 3 3" xfId="299"/>
    <cellStyle name="40% - Accent2 3 3 2" xfId="300"/>
    <cellStyle name="40% - Accent2 3 3 2 2" xfId="12746"/>
    <cellStyle name="40% - Accent2 3 3 2 3" xfId="12747"/>
    <cellStyle name="40% - Accent2 3 3 2 3 2" xfId="18396"/>
    <cellStyle name="40% - Accent2 3 3 2 4" xfId="19794"/>
    <cellStyle name="40% - Accent2 3 3 3" xfId="12748"/>
    <cellStyle name="40% - Accent2 3 3 3 2" xfId="19795"/>
    <cellStyle name="40% - Accent2 3 3 4" xfId="12749"/>
    <cellStyle name="40% - Accent2 3 3 4 2" xfId="18397"/>
    <cellStyle name="40% - Accent2 3 3 5" xfId="19796"/>
    <cellStyle name="40% - Accent2 3 3 6" xfId="19797"/>
    <cellStyle name="40% - Accent2 3 4" xfId="301"/>
    <cellStyle name="40% - Accent2 3 4 2" xfId="12750"/>
    <cellStyle name="40% - Accent2 3 4 3" xfId="19798"/>
    <cellStyle name="40% - Accent2 3 4 4" xfId="19799"/>
    <cellStyle name="40% - Accent2 3 5" xfId="302"/>
    <cellStyle name="40% - Accent2 3 5 2" xfId="19800"/>
    <cellStyle name="40% - Accent2 3 6" xfId="19801"/>
    <cellStyle name="40% - Accent2 3 6 2" xfId="19802"/>
    <cellStyle name="40% - Accent2 3 7" xfId="19803"/>
    <cellStyle name="40% - Accent2 3 8" xfId="19804"/>
    <cellStyle name="40% - Accent2 4" xfId="303"/>
    <cellStyle name="40% - Accent2 4 2" xfId="304"/>
    <cellStyle name="40% - Accent2 4 2 2" xfId="305"/>
    <cellStyle name="40% - Accent2 4 2 2 2" xfId="12751"/>
    <cellStyle name="40% - Accent2 4 2 2 3" xfId="19805"/>
    <cellStyle name="40% - Accent2 4 2 2 4" xfId="19806"/>
    <cellStyle name="40% - Accent2 4 2 3" xfId="12752"/>
    <cellStyle name="40% - Accent2 4 2 3 2" xfId="19807"/>
    <cellStyle name="40% - Accent2 4 2 4" xfId="19808"/>
    <cellStyle name="40% - Accent2 4 2 5" xfId="19809"/>
    <cellStyle name="40% - Accent2 4 2 6" xfId="19810"/>
    <cellStyle name="40% - Accent2 4 3" xfId="306"/>
    <cellStyle name="40% - Accent2 4 3 2" xfId="307"/>
    <cellStyle name="40% - Accent2 4 3 3" xfId="19811"/>
    <cellStyle name="40% - Accent2 4 3 4" xfId="19812"/>
    <cellStyle name="40% - Accent2 4 4" xfId="308"/>
    <cellStyle name="40% - Accent2 4 4 2" xfId="19813"/>
    <cellStyle name="40% - Accent2 4 4 3" xfId="19814"/>
    <cellStyle name="40% - Accent2 4 4 4" xfId="19815"/>
    <cellStyle name="40% - Accent2 4 5" xfId="309"/>
    <cellStyle name="40% - Accent2 4 5 2" xfId="19816"/>
    <cellStyle name="40% - Accent2 4 6" xfId="19817"/>
    <cellStyle name="40% - Accent2 4 6 2" xfId="19818"/>
    <cellStyle name="40% - Accent2 4 7" xfId="19819"/>
    <cellStyle name="40% - Accent2 4 8" xfId="19820"/>
    <cellStyle name="40% - Accent2 5" xfId="310"/>
    <cellStyle name="40% - Accent2 5 2" xfId="311"/>
    <cellStyle name="40% - Accent2 5 2 2" xfId="12753"/>
    <cellStyle name="40% - Accent2 5 2 2 2" xfId="19821"/>
    <cellStyle name="40% - Accent2 5 2 2 2 2" xfId="19822"/>
    <cellStyle name="40% - Accent2 5 2 2 2 3" xfId="19823"/>
    <cellStyle name="40% - Accent2 5 2 2 3" xfId="19824"/>
    <cellStyle name="40% - Accent2 5 2 2 3 2" xfId="19825"/>
    <cellStyle name="40% - Accent2 5 2 2 4" xfId="19826"/>
    <cellStyle name="40% - Accent2 5 2 2 5" xfId="19827"/>
    <cellStyle name="40% - Accent2 5 2 3" xfId="19828"/>
    <cellStyle name="40% - Accent2 5 2 4" xfId="19829"/>
    <cellStyle name="40% - Accent2 5 3" xfId="12754"/>
    <cellStyle name="40% - Accent2 5 3 2" xfId="12755"/>
    <cellStyle name="40% - Accent2 5 4" xfId="12756"/>
    <cellStyle name="40% - Accent2 5 4 2" xfId="19830"/>
    <cellStyle name="40% - Accent2 5 4 2 2" xfId="19831"/>
    <cellStyle name="40% - Accent2 5 4 2 3" xfId="19832"/>
    <cellStyle name="40% - Accent2 5 4 3" xfId="19833"/>
    <cellStyle name="40% - Accent2 5 4 3 2" xfId="19834"/>
    <cellStyle name="40% - Accent2 5 4 4" xfId="19835"/>
    <cellStyle name="40% - Accent2 5 4 5" xfId="19836"/>
    <cellStyle name="40% - Accent2 5 5" xfId="19837"/>
    <cellStyle name="40% - Accent2 5 5 2" xfId="19838"/>
    <cellStyle name="40% - Accent2 5 5 2 2" xfId="19839"/>
    <cellStyle name="40% - Accent2 5 5 2 3" xfId="19840"/>
    <cellStyle name="40% - Accent2 5 5 3" xfId="19841"/>
    <cellStyle name="40% - Accent2 5 5 3 2" xfId="19842"/>
    <cellStyle name="40% - Accent2 5 5 4" xfId="19843"/>
    <cellStyle name="40% - Accent2 5 5 5" xfId="19844"/>
    <cellStyle name="40% - Accent2 5 5 6" xfId="19845"/>
    <cellStyle name="40% - Accent2 5 5 7" xfId="19846"/>
    <cellStyle name="40% - Accent2 5 6" xfId="19847"/>
    <cellStyle name="40% - Accent2 5 6 2" xfId="19848"/>
    <cellStyle name="40% - Accent2 5 6 2 2" xfId="19849"/>
    <cellStyle name="40% - Accent2 5 6 3" xfId="19850"/>
    <cellStyle name="40% - Accent2 5 6 4" xfId="19851"/>
    <cellStyle name="40% - Accent2 5 7" xfId="19852"/>
    <cellStyle name="40% - Accent2 5 7 2" xfId="19853"/>
    <cellStyle name="40% - Accent2 5 8" xfId="19854"/>
    <cellStyle name="40% - Accent2 6" xfId="312"/>
    <cellStyle name="40% - Accent2 6 2" xfId="313"/>
    <cellStyle name="40% - Accent2 6 2 2" xfId="12757"/>
    <cellStyle name="40% - Accent2 6 2 3" xfId="12758"/>
    <cellStyle name="40% - Accent2 6 2 3 2" xfId="18398"/>
    <cellStyle name="40% - Accent2 6 2 4" xfId="19855"/>
    <cellStyle name="40% - Accent2 6 3" xfId="12759"/>
    <cellStyle name="40% - Accent2 6 3 2" xfId="12760"/>
    <cellStyle name="40% - Accent2 6 4" xfId="12761"/>
    <cellStyle name="40% - Accent2 6 4 2" xfId="19856"/>
    <cellStyle name="40% - Accent2 6 4 2 2" xfId="19857"/>
    <cellStyle name="40% - Accent2 6 4 3" xfId="19858"/>
    <cellStyle name="40% - Accent2 6 4 4" xfId="19859"/>
    <cellStyle name="40% - Accent2 6 4 5" xfId="19860"/>
    <cellStyle name="40% - Accent2 6 4 6" xfId="19861"/>
    <cellStyle name="40% - Accent2 6 5" xfId="12762"/>
    <cellStyle name="40% - Accent2 6 5 2" xfId="18399"/>
    <cellStyle name="40% - Accent2 6 5 3" xfId="19862"/>
    <cellStyle name="40% - Accent2 6 5 4" xfId="19863"/>
    <cellStyle name="40% - Accent2 6 5 5" xfId="19864"/>
    <cellStyle name="40% - Accent2 6 6" xfId="19865"/>
    <cellStyle name="40% - Accent2 6 7" xfId="19866"/>
    <cellStyle name="40% - Accent2 6 8" xfId="19867"/>
    <cellStyle name="40% - Accent2 6 9" xfId="19868"/>
    <cellStyle name="40% - Accent2 7" xfId="314"/>
    <cellStyle name="40% - Accent2 7 2" xfId="12763"/>
    <cellStyle name="40% - Accent2 7 2 2" xfId="19869"/>
    <cellStyle name="40% - Accent2 7 2 2 2" xfId="19870"/>
    <cellStyle name="40% - Accent2 7 2 3" xfId="19871"/>
    <cellStyle name="40% - Accent2 7 2 4" xfId="19872"/>
    <cellStyle name="40% - Accent2 7 3" xfId="19873"/>
    <cellStyle name="40% - Accent2 7 3 2" xfId="19874"/>
    <cellStyle name="40% - Accent2 7 3 3" xfId="19875"/>
    <cellStyle name="40% - Accent2 7 4" xfId="19876"/>
    <cellStyle name="40% - Accent2 7 4 2" xfId="19877"/>
    <cellStyle name="40% - Accent2 7 4 3" xfId="19878"/>
    <cellStyle name="40% - Accent2 7 5" xfId="19879"/>
    <cellStyle name="40% - Accent2 7 6" xfId="19880"/>
    <cellStyle name="40% - Accent2 8" xfId="12764"/>
    <cellStyle name="40% - Accent2 8 2" xfId="12765"/>
    <cellStyle name="40% - Accent2 8 2 2" xfId="19881"/>
    <cellStyle name="40% - Accent2 8 2 2 2" xfId="19882"/>
    <cellStyle name="40% - Accent2 8 2 3" xfId="19883"/>
    <cellStyle name="40% - Accent2 8 2 4" xfId="19884"/>
    <cellStyle name="40% - Accent2 8 3" xfId="19885"/>
    <cellStyle name="40% - Accent2 8 3 2" xfId="19886"/>
    <cellStyle name="40% - Accent2 8 3 2 2" xfId="19887"/>
    <cellStyle name="40% - Accent2 8 3 3" xfId="19888"/>
    <cellStyle name="40% - Accent2 8 3 4" xfId="19889"/>
    <cellStyle name="40% - Accent2 8 4" xfId="19890"/>
    <cellStyle name="40% - Accent2 9" xfId="12766"/>
    <cellStyle name="40% - Accent2 9 2" xfId="12767"/>
    <cellStyle name="40% - Accent2 9 2 2" xfId="19891"/>
    <cellStyle name="40% - Accent2 9 2 3" xfId="19892"/>
    <cellStyle name="40% - Accent2 9 3" xfId="19893"/>
    <cellStyle name="40% - Accent2 9 4" xfId="19894"/>
    <cellStyle name="40% - Accent2 9 5" xfId="19895"/>
    <cellStyle name="40% - Accent3 10" xfId="12768"/>
    <cellStyle name="40% - Accent3 10 2" xfId="12769"/>
    <cellStyle name="40% - Accent3 10 2 2" xfId="19896"/>
    <cellStyle name="40% - Accent3 10 2 3" xfId="19897"/>
    <cellStyle name="40% - Accent3 11" xfId="12770"/>
    <cellStyle name="40% - Accent3 11 2" xfId="12771"/>
    <cellStyle name="40% - Accent3 11 2 2" xfId="18401"/>
    <cellStyle name="40% - Accent3 11 3" xfId="18400"/>
    <cellStyle name="40% - Accent3 12" xfId="12772"/>
    <cellStyle name="40% - Accent3 12 2" xfId="18402"/>
    <cellStyle name="40% - Accent3 2" xfId="315"/>
    <cellStyle name="40% - Accent3 2 10" xfId="19898"/>
    <cellStyle name="40% - Accent3 2 11" xfId="19899"/>
    <cellStyle name="40% - Accent3 2 12" xfId="19900"/>
    <cellStyle name="40% - Accent3 2 12 2" xfId="19901"/>
    <cellStyle name="40% - Accent3 2 2" xfId="316"/>
    <cellStyle name="40% - Accent3 2 2 2" xfId="317"/>
    <cellStyle name="40% - Accent3 2 2 2 2" xfId="318"/>
    <cellStyle name="40% - Accent3 2 2 2 2 2" xfId="12773"/>
    <cellStyle name="40% - Accent3 2 2 2 2 3" xfId="19902"/>
    <cellStyle name="40% - Accent3 2 2 2 3" xfId="12774"/>
    <cellStyle name="40% - Accent3 2 2 2 4" xfId="19903"/>
    <cellStyle name="40% - Accent3 2 2 2 5" xfId="19904"/>
    <cellStyle name="40% - Accent3 2 2 3" xfId="319"/>
    <cellStyle name="40% - Accent3 2 2 3 2" xfId="320"/>
    <cellStyle name="40% - Accent3 2 2 3 2 2" xfId="19905"/>
    <cellStyle name="40% - Accent3 2 2 3 2 3" xfId="19906"/>
    <cellStyle name="40% - Accent3 2 2 3 3" xfId="19907"/>
    <cellStyle name="40% - Accent3 2 2 3 4" xfId="19908"/>
    <cellStyle name="40% - Accent3 2 2 3 5" xfId="19909"/>
    <cellStyle name="40% - Accent3 2 2 4" xfId="321"/>
    <cellStyle name="40% - Accent3 2 2 4 2" xfId="19910"/>
    <cellStyle name="40% - Accent3 2 2 4 3" xfId="19911"/>
    <cellStyle name="40% - Accent3 2 2 4 4" xfId="19912"/>
    <cellStyle name="40% - Accent3 2 2 5" xfId="19913"/>
    <cellStyle name="40% - Accent3 2 2 5 2" xfId="19914"/>
    <cellStyle name="40% - Accent3 2 2 6" xfId="19915"/>
    <cellStyle name="40% - Accent3 2 2 7" xfId="19916"/>
    <cellStyle name="40% - Accent3 2 2 8" xfId="19917"/>
    <cellStyle name="40% - Accent3 2 3" xfId="322"/>
    <cellStyle name="40% - Accent3 2 3 2" xfId="323"/>
    <cellStyle name="40% - Accent3 2 3 2 2" xfId="324"/>
    <cellStyle name="40% - Accent3 2 3 2 2 2" xfId="12775"/>
    <cellStyle name="40% - Accent3 2 3 2 2 3" xfId="19918"/>
    <cellStyle name="40% - Accent3 2 3 2 3" xfId="12776"/>
    <cellStyle name="40% - Accent3 2 3 2 4" xfId="19919"/>
    <cellStyle name="40% - Accent3 2 3 2 5" xfId="19920"/>
    <cellStyle name="40% - Accent3 2 3 3" xfId="325"/>
    <cellStyle name="40% - Accent3 2 3 3 2" xfId="12777"/>
    <cellStyle name="40% - Accent3 2 3 3 3" xfId="19921"/>
    <cellStyle name="40% - Accent3 2 3 3 4" xfId="19922"/>
    <cellStyle name="40% - Accent3 2 3 4" xfId="12778"/>
    <cellStyle name="40% - Accent3 2 3 5" xfId="19923"/>
    <cellStyle name="40% - Accent3 2 3 6" xfId="19924"/>
    <cellStyle name="40% - Accent3 2 3 7" xfId="19925"/>
    <cellStyle name="40% - Accent3 2 4" xfId="326"/>
    <cellStyle name="40% - Accent3 2 4 2" xfId="327"/>
    <cellStyle name="40% - Accent3 2 4 2 2" xfId="12779"/>
    <cellStyle name="40% - Accent3 2 4 2 3" xfId="19926"/>
    <cellStyle name="40% - Accent3 2 4 2 4" xfId="19927"/>
    <cellStyle name="40% - Accent3 2 4 3" xfId="12780"/>
    <cellStyle name="40% - Accent3 2 4 3 2" xfId="12781"/>
    <cellStyle name="40% - Accent3 2 4 4" xfId="12782"/>
    <cellStyle name="40% - Accent3 2 4 5" xfId="19928"/>
    <cellStyle name="40% - Accent3 2 4 6" xfId="19929"/>
    <cellStyle name="40% - Accent3 2 5" xfId="328"/>
    <cellStyle name="40% - Accent3 2 5 2" xfId="12783"/>
    <cellStyle name="40% - Accent3 2 5 3" xfId="19930"/>
    <cellStyle name="40% - Accent3 2 5 4" xfId="19931"/>
    <cellStyle name="40% - Accent3 2 6" xfId="329"/>
    <cellStyle name="40% - Accent3 2 6 2" xfId="18261"/>
    <cellStyle name="40% - Accent3 2 6 2 2" xfId="19932"/>
    <cellStyle name="40% - Accent3 2 6 2 3" xfId="19933"/>
    <cellStyle name="40% - Accent3 2 6 2 4" xfId="19934"/>
    <cellStyle name="40% - Accent3 2 6 3" xfId="19935"/>
    <cellStyle name="40% - Accent3 2 6 3 2" xfId="19936"/>
    <cellStyle name="40% - Accent3 2 6 3 3" xfId="19937"/>
    <cellStyle name="40% - Accent3 2 6 4" xfId="19938"/>
    <cellStyle name="40% - Accent3 2 6 4 2" xfId="19939"/>
    <cellStyle name="40% - Accent3 2 6 5" xfId="19940"/>
    <cellStyle name="40% - Accent3 2 6 6" xfId="19941"/>
    <cellStyle name="40% - Accent3 2 6 7" xfId="19942"/>
    <cellStyle name="40% - Accent3 2 6 8" xfId="19943"/>
    <cellStyle name="40% - Accent3 2 7" xfId="330"/>
    <cellStyle name="40% - Accent3 2 7 2" xfId="19944"/>
    <cellStyle name="40% - Accent3 2 7 3" xfId="19945"/>
    <cellStyle name="40% - Accent3 2 7 4" xfId="19946"/>
    <cellStyle name="40% - Accent3 2 8" xfId="331"/>
    <cellStyle name="40% - Accent3 2 8 2" xfId="19947"/>
    <cellStyle name="40% - Accent3 2 9" xfId="19948"/>
    <cellStyle name="40% - Accent3 2 9 2" xfId="19949"/>
    <cellStyle name="40% - Accent3 2_12PCORC Wind Vestas and Royalties" xfId="12784"/>
    <cellStyle name="40% - Accent3 3" xfId="332"/>
    <cellStyle name="40% - Accent3 3 2" xfId="333"/>
    <cellStyle name="40% - Accent3 3 2 2" xfId="334"/>
    <cellStyle name="40% - Accent3 3 2 2 2" xfId="12785"/>
    <cellStyle name="40% - Accent3 3 2 2 3" xfId="19950"/>
    <cellStyle name="40% - Accent3 3 2 2 4" xfId="19951"/>
    <cellStyle name="40% - Accent3 3 2 3" xfId="335"/>
    <cellStyle name="40% - Accent3 3 2 3 2" xfId="12786"/>
    <cellStyle name="40% - Accent3 3 2 3 3" xfId="19952"/>
    <cellStyle name="40% - Accent3 3 2 3 4" xfId="19953"/>
    <cellStyle name="40% - Accent3 3 2 4" xfId="12787"/>
    <cellStyle name="40% - Accent3 3 2 4 2" xfId="12788"/>
    <cellStyle name="40% - Accent3 3 2 5" xfId="12789"/>
    <cellStyle name="40% - Accent3 3 2 6" xfId="19954"/>
    <cellStyle name="40% - Accent3 3 2 7" xfId="19955"/>
    <cellStyle name="40% - Accent3 3 3" xfId="336"/>
    <cellStyle name="40% - Accent3 3 3 2" xfId="337"/>
    <cellStyle name="40% - Accent3 3 3 2 2" xfId="12790"/>
    <cellStyle name="40% - Accent3 3 3 2 3" xfId="12791"/>
    <cellStyle name="40% - Accent3 3 3 2 3 2" xfId="18403"/>
    <cellStyle name="40% - Accent3 3 3 2 4" xfId="19956"/>
    <cellStyle name="40% - Accent3 3 3 3" xfId="12792"/>
    <cellStyle name="40% - Accent3 3 3 3 2" xfId="19957"/>
    <cellStyle name="40% - Accent3 3 3 4" xfId="12793"/>
    <cellStyle name="40% - Accent3 3 3 4 2" xfId="18404"/>
    <cellStyle name="40% - Accent3 3 3 5" xfId="19958"/>
    <cellStyle name="40% - Accent3 3 3 6" xfId="19959"/>
    <cellStyle name="40% - Accent3 3 4" xfId="338"/>
    <cellStyle name="40% - Accent3 3 4 2" xfId="12794"/>
    <cellStyle name="40% - Accent3 3 4 3" xfId="19960"/>
    <cellStyle name="40% - Accent3 3 4 4" xfId="19961"/>
    <cellStyle name="40% - Accent3 3 5" xfId="339"/>
    <cellStyle name="40% - Accent3 3 5 2" xfId="19962"/>
    <cellStyle name="40% - Accent3 3 6" xfId="19963"/>
    <cellStyle name="40% - Accent3 3 7" xfId="19964"/>
    <cellStyle name="40% - Accent3 3 8" xfId="19965"/>
    <cellStyle name="40% - Accent3 4" xfId="340"/>
    <cellStyle name="40% - Accent3 4 2" xfId="341"/>
    <cellStyle name="40% - Accent3 4 2 2" xfId="342"/>
    <cellStyle name="40% - Accent3 4 2 2 2" xfId="12795"/>
    <cellStyle name="40% - Accent3 4 2 2 3" xfId="19966"/>
    <cellStyle name="40% - Accent3 4 2 2 4" xfId="19967"/>
    <cellStyle name="40% - Accent3 4 2 3" xfId="12796"/>
    <cellStyle name="40% - Accent3 4 2 3 2" xfId="19968"/>
    <cellStyle name="40% - Accent3 4 2 4" xfId="19969"/>
    <cellStyle name="40% - Accent3 4 2 5" xfId="19970"/>
    <cellStyle name="40% - Accent3 4 2 6" xfId="19971"/>
    <cellStyle name="40% - Accent3 4 3" xfId="343"/>
    <cellStyle name="40% - Accent3 4 3 2" xfId="344"/>
    <cellStyle name="40% - Accent3 4 3 3" xfId="19972"/>
    <cellStyle name="40% - Accent3 4 3 4" xfId="19973"/>
    <cellStyle name="40% - Accent3 4 4" xfId="345"/>
    <cellStyle name="40% - Accent3 4 4 2" xfId="19974"/>
    <cellStyle name="40% - Accent3 4 4 3" xfId="19975"/>
    <cellStyle name="40% - Accent3 4 4 4" xfId="19976"/>
    <cellStyle name="40% - Accent3 4 5" xfId="346"/>
    <cellStyle name="40% - Accent3 4 5 2" xfId="19977"/>
    <cellStyle name="40% - Accent3 4 6" xfId="19978"/>
    <cellStyle name="40% - Accent3 4 6 2" xfId="19979"/>
    <cellStyle name="40% - Accent3 4 7" xfId="19980"/>
    <cellStyle name="40% - Accent3 4 8" xfId="19981"/>
    <cellStyle name="40% - Accent3 5" xfId="347"/>
    <cellStyle name="40% - Accent3 5 2" xfId="348"/>
    <cellStyle name="40% - Accent3 5 2 2" xfId="12797"/>
    <cellStyle name="40% - Accent3 5 2 2 2" xfId="19982"/>
    <cellStyle name="40% - Accent3 5 2 2 2 2" xfId="19983"/>
    <cellStyle name="40% - Accent3 5 2 2 2 3" xfId="19984"/>
    <cellStyle name="40% - Accent3 5 2 2 3" xfId="19985"/>
    <cellStyle name="40% - Accent3 5 2 2 3 2" xfId="19986"/>
    <cellStyle name="40% - Accent3 5 2 2 4" xfId="19987"/>
    <cellStyle name="40% - Accent3 5 2 2 5" xfId="19988"/>
    <cellStyle name="40% - Accent3 5 2 3" xfId="19989"/>
    <cellStyle name="40% - Accent3 5 2 4" xfId="19990"/>
    <cellStyle name="40% - Accent3 5 3" xfId="349"/>
    <cellStyle name="40% - Accent3 5 3 2" xfId="12798"/>
    <cellStyle name="40% - Accent3 5 3 3" xfId="19991"/>
    <cellStyle name="40% - Accent3 5 3 4" xfId="19992"/>
    <cellStyle name="40% - Accent3 5 4" xfId="12799"/>
    <cellStyle name="40% - Accent3 5 4 2" xfId="12800"/>
    <cellStyle name="40% - Accent3 5 5" xfId="12801"/>
    <cellStyle name="40% - Accent3 5 5 2" xfId="19993"/>
    <cellStyle name="40% - Accent3 5 5 2 2" xfId="19994"/>
    <cellStyle name="40% - Accent3 5 5 2 3" xfId="19995"/>
    <cellStyle name="40% - Accent3 5 5 3" xfId="19996"/>
    <cellStyle name="40% - Accent3 5 5 3 2" xfId="19997"/>
    <cellStyle name="40% - Accent3 5 5 4" xfId="19998"/>
    <cellStyle name="40% - Accent3 5 5 5" xfId="19999"/>
    <cellStyle name="40% - Accent3 5 6" xfId="20000"/>
    <cellStyle name="40% - Accent3 5 6 2" xfId="20001"/>
    <cellStyle name="40% - Accent3 5 6 2 2" xfId="20002"/>
    <cellStyle name="40% - Accent3 5 6 2 3" xfId="20003"/>
    <cellStyle name="40% - Accent3 5 6 3" xfId="20004"/>
    <cellStyle name="40% - Accent3 5 6 3 2" xfId="20005"/>
    <cellStyle name="40% - Accent3 5 6 4" xfId="20006"/>
    <cellStyle name="40% - Accent3 5 6 5" xfId="20007"/>
    <cellStyle name="40% - Accent3 5 6 6" xfId="20008"/>
    <cellStyle name="40% - Accent3 5 6 7" xfId="20009"/>
    <cellStyle name="40% - Accent3 5 7" xfId="20010"/>
    <cellStyle name="40% - Accent3 5 7 2" xfId="20011"/>
    <cellStyle name="40% - Accent3 5 7 2 2" xfId="20012"/>
    <cellStyle name="40% - Accent3 5 7 3" xfId="20013"/>
    <cellStyle name="40% - Accent3 5 7 4" xfId="20014"/>
    <cellStyle name="40% - Accent3 5 8" xfId="20015"/>
    <cellStyle name="40% - Accent3 5 8 2" xfId="20016"/>
    <cellStyle name="40% - Accent3 5 9" xfId="20017"/>
    <cellStyle name="40% - Accent3 6" xfId="350"/>
    <cellStyle name="40% - Accent3 6 2" xfId="351"/>
    <cellStyle name="40% - Accent3 6 2 2" xfId="12802"/>
    <cellStyle name="40% - Accent3 6 2 3" xfId="12803"/>
    <cellStyle name="40% - Accent3 6 2 3 2" xfId="18405"/>
    <cellStyle name="40% - Accent3 6 2 4" xfId="20018"/>
    <cellStyle name="40% - Accent3 6 3" xfId="12804"/>
    <cellStyle name="40% - Accent3 6 3 2" xfId="12805"/>
    <cellStyle name="40% - Accent3 6 4" xfId="12806"/>
    <cellStyle name="40% - Accent3 6 4 2" xfId="20019"/>
    <cellStyle name="40% - Accent3 6 4 2 2" xfId="20020"/>
    <cellStyle name="40% - Accent3 6 4 3" xfId="20021"/>
    <cellStyle name="40% - Accent3 6 4 4" xfId="20022"/>
    <cellStyle name="40% - Accent3 6 4 5" xfId="20023"/>
    <cellStyle name="40% - Accent3 6 4 6" xfId="20024"/>
    <cellStyle name="40% - Accent3 6 5" xfId="12807"/>
    <cellStyle name="40% - Accent3 6 5 2" xfId="18406"/>
    <cellStyle name="40% - Accent3 6 5 3" xfId="20025"/>
    <cellStyle name="40% - Accent3 6 5 4" xfId="20026"/>
    <cellStyle name="40% - Accent3 6 5 5" xfId="20027"/>
    <cellStyle name="40% - Accent3 6 6" xfId="20028"/>
    <cellStyle name="40% - Accent3 6 7" xfId="20029"/>
    <cellStyle name="40% - Accent3 6 8" xfId="20030"/>
    <cellStyle name="40% - Accent3 6 9" xfId="20031"/>
    <cellStyle name="40% - Accent3 7" xfId="352"/>
    <cellStyle name="40% - Accent3 7 2" xfId="12808"/>
    <cellStyle name="40% - Accent3 7 2 2" xfId="20032"/>
    <cellStyle name="40% - Accent3 7 2 2 2" xfId="20033"/>
    <cellStyle name="40% - Accent3 7 2 3" xfId="20034"/>
    <cellStyle name="40% - Accent3 7 2 4" xfId="20035"/>
    <cellStyle name="40% - Accent3 7 3" xfId="20036"/>
    <cellStyle name="40% - Accent3 7 3 2" xfId="20037"/>
    <cellStyle name="40% - Accent3 7 3 3" xfId="20038"/>
    <cellStyle name="40% - Accent3 7 4" xfId="20039"/>
    <cellStyle name="40% - Accent3 7 4 2" xfId="20040"/>
    <cellStyle name="40% - Accent3 7 4 3" xfId="20041"/>
    <cellStyle name="40% - Accent3 7 5" xfId="20042"/>
    <cellStyle name="40% - Accent3 7 6" xfId="20043"/>
    <cellStyle name="40% - Accent3 8" xfId="12809"/>
    <cellStyle name="40% - Accent3 8 2" xfId="12810"/>
    <cellStyle name="40% - Accent3 8 2 2" xfId="20044"/>
    <cellStyle name="40% - Accent3 8 2 2 2" xfId="20045"/>
    <cellStyle name="40% - Accent3 8 2 3" xfId="20046"/>
    <cellStyle name="40% - Accent3 8 2 4" xfId="20047"/>
    <cellStyle name="40% - Accent3 8 3" xfId="20048"/>
    <cellStyle name="40% - Accent3 8 3 2" xfId="20049"/>
    <cellStyle name="40% - Accent3 8 3 2 2" xfId="20050"/>
    <cellStyle name="40% - Accent3 8 3 3" xfId="20051"/>
    <cellStyle name="40% - Accent3 8 3 4" xfId="20052"/>
    <cellStyle name="40% - Accent3 8 4" xfId="20053"/>
    <cellStyle name="40% - Accent3 9" xfId="12811"/>
    <cellStyle name="40% - Accent3 9 2" xfId="12812"/>
    <cellStyle name="40% - Accent3 9 2 2" xfId="20054"/>
    <cellStyle name="40% - Accent3 9 2 3" xfId="20055"/>
    <cellStyle name="40% - Accent3 9 3" xfId="20056"/>
    <cellStyle name="40% - Accent3 9 4" xfId="20057"/>
    <cellStyle name="40% - Accent3 9 5" xfId="20058"/>
    <cellStyle name="40% - Accent4 10" xfId="12813"/>
    <cellStyle name="40% - Accent4 10 2" xfId="12814"/>
    <cellStyle name="40% - Accent4 10 2 2" xfId="20059"/>
    <cellStyle name="40% - Accent4 10 2 3" xfId="20060"/>
    <cellStyle name="40% - Accent4 11" xfId="12815"/>
    <cellStyle name="40% - Accent4 11 2" xfId="12816"/>
    <cellStyle name="40% - Accent4 11 2 2" xfId="18408"/>
    <cellStyle name="40% - Accent4 11 3" xfId="18407"/>
    <cellStyle name="40% - Accent4 12" xfId="12817"/>
    <cellStyle name="40% - Accent4 12 2" xfId="18409"/>
    <cellStyle name="40% - Accent4 2" xfId="353"/>
    <cellStyle name="40% - Accent4 2 10" xfId="20061"/>
    <cellStyle name="40% - Accent4 2 11" xfId="20062"/>
    <cellStyle name="40% - Accent4 2 12" xfId="20063"/>
    <cellStyle name="40% - Accent4 2 12 2" xfId="20064"/>
    <cellStyle name="40% - Accent4 2 2" xfId="354"/>
    <cellStyle name="40% - Accent4 2 2 2" xfId="355"/>
    <cellStyle name="40% - Accent4 2 2 2 2" xfId="356"/>
    <cellStyle name="40% - Accent4 2 2 2 2 2" xfId="12818"/>
    <cellStyle name="40% - Accent4 2 2 2 2 3" xfId="20065"/>
    <cellStyle name="40% - Accent4 2 2 2 3" xfId="12819"/>
    <cellStyle name="40% - Accent4 2 2 2 4" xfId="20066"/>
    <cellStyle name="40% - Accent4 2 2 2 5" xfId="20067"/>
    <cellStyle name="40% - Accent4 2 2 3" xfId="357"/>
    <cellStyle name="40% - Accent4 2 2 3 2" xfId="358"/>
    <cellStyle name="40% - Accent4 2 2 3 2 2" xfId="20068"/>
    <cellStyle name="40% - Accent4 2 2 3 2 3" xfId="20069"/>
    <cellStyle name="40% - Accent4 2 2 3 3" xfId="20070"/>
    <cellStyle name="40% - Accent4 2 2 3 4" xfId="20071"/>
    <cellStyle name="40% - Accent4 2 2 3 5" xfId="20072"/>
    <cellStyle name="40% - Accent4 2 2 4" xfId="359"/>
    <cellStyle name="40% - Accent4 2 2 4 2" xfId="20073"/>
    <cellStyle name="40% - Accent4 2 2 4 3" xfId="20074"/>
    <cellStyle name="40% - Accent4 2 2 4 4" xfId="20075"/>
    <cellStyle name="40% - Accent4 2 2 5" xfId="20076"/>
    <cellStyle name="40% - Accent4 2 2 5 2" xfId="20077"/>
    <cellStyle name="40% - Accent4 2 2 6" xfId="20078"/>
    <cellStyle name="40% - Accent4 2 2 7" xfId="20079"/>
    <cellStyle name="40% - Accent4 2 2 8" xfId="20080"/>
    <cellStyle name="40% - Accent4 2 3" xfId="360"/>
    <cellStyle name="40% - Accent4 2 3 2" xfId="361"/>
    <cellStyle name="40% - Accent4 2 3 2 2" xfId="362"/>
    <cellStyle name="40% - Accent4 2 3 2 2 2" xfId="12820"/>
    <cellStyle name="40% - Accent4 2 3 2 2 3" xfId="20081"/>
    <cellStyle name="40% - Accent4 2 3 2 3" xfId="12821"/>
    <cellStyle name="40% - Accent4 2 3 2 4" xfId="20082"/>
    <cellStyle name="40% - Accent4 2 3 2 5" xfId="20083"/>
    <cellStyle name="40% - Accent4 2 3 3" xfId="363"/>
    <cellStyle name="40% - Accent4 2 3 3 2" xfId="12822"/>
    <cellStyle name="40% - Accent4 2 3 3 3" xfId="20084"/>
    <cellStyle name="40% - Accent4 2 3 3 4" xfId="20085"/>
    <cellStyle name="40% - Accent4 2 3 4" xfId="12823"/>
    <cellStyle name="40% - Accent4 2 3 5" xfId="20086"/>
    <cellStyle name="40% - Accent4 2 3 6" xfId="20087"/>
    <cellStyle name="40% - Accent4 2 3 7" xfId="20088"/>
    <cellStyle name="40% - Accent4 2 4" xfId="364"/>
    <cellStyle name="40% - Accent4 2 4 2" xfId="365"/>
    <cellStyle name="40% - Accent4 2 4 2 2" xfId="12824"/>
    <cellStyle name="40% - Accent4 2 4 2 3" xfId="20089"/>
    <cellStyle name="40% - Accent4 2 4 2 4" xfId="20090"/>
    <cellStyle name="40% - Accent4 2 4 3" xfId="12825"/>
    <cellStyle name="40% - Accent4 2 4 3 2" xfId="12826"/>
    <cellStyle name="40% - Accent4 2 4 4" xfId="12827"/>
    <cellStyle name="40% - Accent4 2 4 5" xfId="20091"/>
    <cellStyle name="40% - Accent4 2 4 6" xfId="20092"/>
    <cellStyle name="40% - Accent4 2 5" xfId="366"/>
    <cellStyle name="40% - Accent4 2 5 2" xfId="12828"/>
    <cellStyle name="40% - Accent4 2 5 3" xfId="20093"/>
    <cellStyle name="40% - Accent4 2 5 4" xfId="20094"/>
    <cellStyle name="40% - Accent4 2 6" xfId="367"/>
    <cellStyle name="40% - Accent4 2 6 2" xfId="18262"/>
    <cellStyle name="40% - Accent4 2 6 2 2" xfId="20095"/>
    <cellStyle name="40% - Accent4 2 6 2 3" xfId="20096"/>
    <cellStyle name="40% - Accent4 2 6 2 4" xfId="20097"/>
    <cellStyle name="40% - Accent4 2 6 3" xfId="20098"/>
    <cellStyle name="40% - Accent4 2 6 3 2" xfId="20099"/>
    <cellStyle name="40% - Accent4 2 6 3 3" xfId="20100"/>
    <cellStyle name="40% - Accent4 2 6 4" xfId="20101"/>
    <cellStyle name="40% - Accent4 2 6 4 2" xfId="20102"/>
    <cellStyle name="40% - Accent4 2 6 5" xfId="20103"/>
    <cellStyle name="40% - Accent4 2 6 6" xfId="20104"/>
    <cellStyle name="40% - Accent4 2 6 7" xfId="20105"/>
    <cellStyle name="40% - Accent4 2 6 8" xfId="20106"/>
    <cellStyle name="40% - Accent4 2 7" xfId="368"/>
    <cellStyle name="40% - Accent4 2 7 2" xfId="20107"/>
    <cellStyle name="40% - Accent4 2 7 3" xfId="20108"/>
    <cellStyle name="40% - Accent4 2 7 4" xfId="20109"/>
    <cellStyle name="40% - Accent4 2 8" xfId="369"/>
    <cellStyle name="40% - Accent4 2 8 2" xfId="20110"/>
    <cellStyle name="40% - Accent4 2 9" xfId="20111"/>
    <cellStyle name="40% - Accent4 2 9 2" xfId="20112"/>
    <cellStyle name="40% - Accent4 2_12PCORC Wind Vestas and Royalties" xfId="12829"/>
    <cellStyle name="40% - Accent4 3" xfId="370"/>
    <cellStyle name="40% - Accent4 3 2" xfId="371"/>
    <cellStyle name="40% - Accent4 3 2 2" xfId="372"/>
    <cellStyle name="40% - Accent4 3 2 2 2" xfId="12830"/>
    <cellStyle name="40% - Accent4 3 2 2 3" xfId="20113"/>
    <cellStyle name="40% - Accent4 3 2 2 4" xfId="20114"/>
    <cellStyle name="40% - Accent4 3 2 3" xfId="373"/>
    <cellStyle name="40% - Accent4 3 2 3 2" xfId="12831"/>
    <cellStyle name="40% - Accent4 3 2 3 3" xfId="20115"/>
    <cellStyle name="40% - Accent4 3 2 3 4" xfId="20116"/>
    <cellStyle name="40% - Accent4 3 2 4" xfId="12832"/>
    <cellStyle name="40% - Accent4 3 2 4 2" xfId="12833"/>
    <cellStyle name="40% - Accent4 3 2 5" xfId="12834"/>
    <cellStyle name="40% - Accent4 3 2 6" xfId="20117"/>
    <cellStyle name="40% - Accent4 3 2 7" xfId="20118"/>
    <cellStyle name="40% - Accent4 3 3" xfId="374"/>
    <cellStyle name="40% - Accent4 3 3 2" xfId="375"/>
    <cellStyle name="40% - Accent4 3 3 2 2" xfId="12835"/>
    <cellStyle name="40% - Accent4 3 3 2 3" xfId="12836"/>
    <cellStyle name="40% - Accent4 3 3 2 3 2" xfId="18410"/>
    <cellStyle name="40% - Accent4 3 3 2 4" xfId="20119"/>
    <cellStyle name="40% - Accent4 3 3 3" xfId="12837"/>
    <cellStyle name="40% - Accent4 3 3 3 2" xfId="20120"/>
    <cellStyle name="40% - Accent4 3 3 4" xfId="12838"/>
    <cellStyle name="40% - Accent4 3 3 4 2" xfId="18411"/>
    <cellStyle name="40% - Accent4 3 3 5" xfId="20121"/>
    <cellStyle name="40% - Accent4 3 3 6" xfId="20122"/>
    <cellStyle name="40% - Accent4 3 4" xfId="376"/>
    <cellStyle name="40% - Accent4 3 4 2" xfId="12839"/>
    <cellStyle name="40% - Accent4 3 4 3" xfId="20123"/>
    <cellStyle name="40% - Accent4 3 4 4" xfId="20124"/>
    <cellStyle name="40% - Accent4 3 5" xfId="377"/>
    <cellStyle name="40% - Accent4 3 5 2" xfId="20125"/>
    <cellStyle name="40% - Accent4 3 6" xfId="20126"/>
    <cellStyle name="40% - Accent4 3 7" xfId="20127"/>
    <cellStyle name="40% - Accent4 3 8" xfId="20128"/>
    <cellStyle name="40% - Accent4 4" xfId="378"/>
    <cellStyle name="40% - Accent4 4 2" xfId="379"/>
    <cellStyle name="40% - Accent4 4 2 2" xfId="380"/>
    <cellStyle name="40% - Accent4 4 2 2 2" xfId="12840"/>
    <cellStyle name="40% - Accent4 4 2 2 3" xfId="20129"/>
    <cellStyle name="40% - Accent4 4 2 2 4" xfId="20130"/>
    <cellStyle name="40% - Accent4 4 2 3" xfId="12841"/>
    <cellStyle name="40% - Accent4 4 2 3 2" xfId="20131"/>
    <cellStyle name="40% - Accent4 4 2 4" xfId="20132"/>
    <cellStyle name="40% - Accent4 4 2 5" xfId="20133"/>
    <cellStyle name="40% - Accent4 4 2 6" xfId="20134"/>
    <cellStyle name="40% - Accent4 4 3" xfId="381"/>
    <cellStyle name="40% - Accent4 4 3 2" xfId="382"/>
    <cellStyle name="40% - Accent4 4 3 3" xfId="20135"/>
    <cellStyle name="40% - Accent4 4 3 4" xfId="20136"/>
    <cellStyle name="40% - Accent4 4 4" xfId="383"/>
    <cellStyle name="40% - Accent4 4 4 2" xfId="20137"/>
    <cellStyle name="40% - Accent4 4 4 3" xfId="20138"/>
    <cellStyle name="40% - Accent4 4 4 4" xfId="20139"/>
    <cellStyle name="40% - Accent4 4 5" xfId="384"/>
    <cellStyle name="40% - Accent4 4 5 2" xfId="20140"/>
    <cellStyle name="40% - Accent4 4 6" xfId="20141"/>
    <cellStyle name="40% - Accent4 4 6 2" xfId="20142"/>
    <cellStyle name="40% - Accent4 4 7" xfId="20143"/>
    <cellStyle name="40% - Accent4 4 8" xfId="20144"/>
    <cellStyle name="40% - Accent4 5" xfId="385"/>
    <cellStyle name="40% - Accent4 5 2" xfId="386"/>
    <cellStyle name="40% - Accent4 5 2 2" xfId="12842"/>
    <cellStyle name="40% - Accent4 5 2 2 2" xfId="20145"/>
    <cellStyle name="40% - Accent4 5 2 2 2 2" xfId="20146"/>
    <cellStyle name="40% - Accent4 5 2 2 2 3" xfId="20147"/>
    <cellStyle name="40% - Accent4 5 2 2 3" xfId="20148"/>
    <cellStyle name="40% - Accent4 5 2 2 3 2" xfId="20149"/>
    <cellStyle name="40% - Accent4 5 2 2 4" xfId="20150"/>
    <cellStyle name="40% - Accent4 5 2 2 5" xfId="20151"/>
    <cellStyle name="40% - Accent4 5 2 3" xfId="20152"/>
    <cellStyle name="40% - Accent4 5 2 4" xfId="20153"/>
    <cellStyle name="40% - Accent4 5 3" xfId="387"/>
    <cellStyle name="40% - Accent4 5 3 2" xfId="12843"/>
    <cellStyle name="40% - Accent4 5 3 3" xfId="20154"/>
    <cellStyle name="40% - Accent4 5 3 4" xfId="20155"/>
    <cellStyle name="40% - Accent4 5 4" xfId="12844"/>
    <cellStyle name="40% - Accent4 5 4 2" xfId="12845"/>
    <cellStyle name="40% - Accent4 5 5" xfId="12846"/>
    <cellStyle name="40% - Accent4 5 5 2" xfId="20156"/>
    <cellStyle name="40% - Accent4 5 5 2 2" xfId="20157"/>
    <cellStyle name="40% - Accent4 5 5 2 3" xfId="20158"/>
    <cellStyle name="40% - Accent4 5 5 3" xfId="20159"/>
    <cellStyle name="40% - Accent4 5 5 3 2" xfId="20160"/>
    <cellStyle name="40% - Accent4 5 5 4" xfId="20161"/>
    <cellStyle name="40% - Accent4 5 5 5" xfId="20162"/>
    <cellStyle name="40% - Accent4 5 6" xfId="20163"/>
    <cellStyle name="40% - Accent4 5 6 2" xfId="20164"/>
    <cellStyle name="40% - Accent4 5 6 2 2" xfId="20165"/>
    <cellStyle name="40% - Accent4 5 6 2 3" xfId="20166"/>
    <cellStyle name="40% - Accent4 5 6 3" xfId="20167"/>
    <cellStyle name="40% - Accent4 5 6 3 2" xfId="20168"/>
    <cellStyle name="40% - Accent4 5 6 4" xfId="20169"/>
    <cellStyle name="40% - Accent4 5 6 5" xfId="20170"/>
    <cellStyle name="40% - Accent4 5 6 6" xfId="20171"/>
    <cellStyle name="40% - Accent4 5 6 7" xfId="20172"/>
    <cellStyle name="40% - Accent4 5 7" xfId="20173"/>
    <cellStyle name="40% - Accent4 5 7 2" xfId="20174"/>
    <cellStyle name="40% - Accent4 5 7 2 2" xfId="20175"/>
    <cellStyle name="40% - Accent4 5 7 3" xfId="20176"/>
    <cellStyle name="40% - Accent4 5 7 4" xfId="20177"/>
    <cellStyle name="40% - Accent4 5 8" xfId="20178"/>
    <cellStyle name="40% - Accent4 5 8 2" xfId="20179"/>
    <cellStyle name="40% - Accent4 5 9" xfId="20180"/>
    <cellStyle name="40% - Accent4 6" xfId="388"/>
    <cellStyle name="40% - Accent4 6 2" xfId="389"/>
    <cellStyle name="40% - Accent4 6 2 2" xfId="12847"/>
    <cellStyle name="40% - Accent4 6 2 3" xfId="12848"/>
    <cellStyle name="40% - Accent4 6 2 3 2" xfId="18412"/>
    <cellStyle name="40% - Accent4 6 2 4" xfId="20181"/>
    <cellStyle name="40% - Accent4 6 3" xfId="12849"/>
    <cellStyle name="40% - Accent4 6 3 2" xfId="12850"/>
    <cellStyle name="40% - Accent4 6 4" xfId="12851"/>
    <cellStyle name="40% - Accent4 6 4 2" xfId="20182"/>
    <cellStyle name="40% - Accent4 6 4 2 2" xfId="20183"/>
    <cellStyle name="40% - Accent4 6 4 3" xfId="20184"/>
    <cellStyle name="40% - Accent4 6 4 4" xfId="20185"/>
    <cellStyle name="40% - Accent4 6 4 5" xfId="20186"/>
    <cellStyle name="40% - Accent4 6 4 6" xfId="20187"/>
    <cellStyle name="40% - Accent4 6 5" xfId="12852"/>
    <cellStyle name="40% - Accent4 6 5 2" xfId="18413"/>
    <cellStyle name="40% - Accent4 6 5 3" xfId="20188"/>
    <cellStyle name="40% - Accent4 6 5 4" xfId="20189"/>
    <cellStyle name="40% - Accent4 6 5 5" xfId="20190"/>
    <cellStyle name="40% - Accent4 6 6" xfId="20191"/>
    <cellStyle name="40% - Accent4 6 7" xfId="20192"/>
    <cellStyle name="40% - Accent4 6 8" xfId="20193"/>
    <cellStyle name="40% - Accent4 6 9" xfId="20194"/>
    <cellStyle name="40% - Accent4 7" xfId="390"/>
    <cellStyle name="40% - Accent4 7 2" xfId="12853"/>
    <cellStyle name="40% - Accent4 7 2 2" xfId="20195"/>
    <cellStyle name="40% - Accent4 7 2 2 2" xfId="20196"/>
    <cellStyle name="40% - Accent4 7 2 3" xfId="20197"/>
    <cellStyle name="40% - Accent4 7 2 4" xfId="20198"/>
    <cellStyle name="40% - Accent4 7 3" xfId="20199"/>
    <cellStyle name="40% - Accent4 7 3 2" xfId="20200"/>
    <cellStyle name="40% - Accent4 7 3 3" xfId="20201"/>
    <cellStyle name="40% - Accent4 7 4" xfId="20202"/>
    <cellStyle name="40% - Accent4 7 4 2" xfId="20203"/>
    <cellStyle name="40% - Accent4 7 4 3" xfId="20204"/>
    <cellStyle name="40% - Accent4 7 5" xfId="20205"/>
    <cellStyle name="40% - Accent4 7 6" xfId="20206"/>
    <cellStyle name="40% - Accent4 8" xfId="12854"/>
    <cellStyle name="40% - Accent4 8 2" xfId="12855"/>
    <cellStyle name="40% - Accent4 8 2 2" xfId="20207"/>
    <cellStyle name="40% - Accent4 8 2 2 2" xfId="20208"/>
    <cellStyle name="40% - Accent4 8 2 3" xfId="20209"/>
    <cellStyle name="40% - Accent4 8 2 4" xfId="20210"/>
    <cellStyle name="40% - Accent4 8 3" xfId="20211"/>
    <cellStyle name="40% - Accent4 8 3 2" xfId="20212"/>
    <cellStyle name="40% - Accent4 8 3 2 2" xfId="20213"/>
    <cellStyle name="40% - Accent4 8 3 3" xfId="20214"/>
    <cellStyle name="40% - Accent4 8 3 4" xfId="20215"/>
    <cellStyle name="40% - Accent4 8 4" xfId="20216"/>
    <cellStyle name="40% - Accent4 9" xfId="12856"/>
    <cellStyle name="40% - Accent4 9 2" xfId="12857"/>
    <cellStyle name="40% - Accent4 9 2 2" xfId="20217"/>
    <cellStyle name="40% - Accent4 9 2 3" xfId="20218"/>
    <cellStyle name="40% - Accent4 9 3" xfId="20219"/>
    <cellStyle name="40% - Accent4 9 4" xfId="20220"/>
    <cellStyle name="40% - Accent4 9 5" xfId="20221"/>
    <cellStyle name="40% - Accent5 10" xfId="12858"/>
    <cellStyle name="40% - Accent5 10 2" xfId="12859"/>
    <cellStyle name="40% - Accent5 10 2 2" xfId="20222"/>
    <cellStyle name="40% - Accent5 10 2 3" xfId="20223"/>
    <cellStyle name="40% - Accent5 11" xfId="12860"/>
    <cellStyle name="40% - Accent5 11 2" xfId="12861"/>
    <cellStyle name="40% - Accent5 11 2 2" xfId="18415"/>
    <cellStyle name="40% - Accent5 11 3" xfId="18414"/>
    <cellStyle name="40% - Accent5 12" xfId="12862"/>
    <cellStyle name="40% - Accent5 12 2" xfId="18416"/>
    <cellStyle name="40% - Accent5 2" xfId="391"/>
    <cellStyle name="40% - Accent5 2 10" xfId="20224"/>
    <cellStyle name="40% - Accent5 2 11" xfId="20225"/>
    <cellStyle name="40% - Accent5 2 12" xfId="20226"/>
    <cellStyle name="40% - Accent5 2 12 2" xfId="20227"/>
    <cellStyle name="40% - Accent5 2 2" xfId="392"/>
    <cellStyle name="40% - Accent5 2 2 2" xfId="393"/>
    <cellStyle name="40% - Accent5 2 2 2 2" xfId="394"/>
    <cellStyle name="40% - Accent5 2 2 2 2 2" xfId="12863"/>
    <cellStyle name="40% - Accent5 2 2 2 2 3" xfId="20228"/>
    <cellStyle name="40% - Accent5 2 2 2 3" xfId="12864"/>
    <cellStyle name="40% - Accent5 2 2 2 4" xfId="20229"/>
    <cellStyle name="40% - Accent5 2 2 2 5" xfId="20230"/>
    <cellStyle name="40% - Accent5 2 2 3" xfId="395"/>
    <cellStyle name="40% - Accent5 2 2 3 2" xfId="396"/>
    <cellStyle name="40% - Accent5 2 2 3 2 2" xfId="20231"/>
    <cellStyle name="40% - Accent5 2 2 3 2 3" xfId="20232"/>
    <cellStyle name="40% - Accent5 2 2 3 3" xfId="20233"/>
    <cellStyle name="40% - Accent5 2 2 3 4" xfId="20234"/>
    <cellStyle name="40% - Accent5 2 2 3 5" xfId="20235"/>
    <cellStyle name="40% - Accent5 2 2 4" xfId="397"/>
    <cellStyle name="40% - Accent5 2 2 4 2" xfId="20236"/>
    <cellStyle name="40% - Accent5 2 2 4 3" xfId="20237"/>
    <cellStyle name="40% - Accent5 2 2 4 4" xfId="20238"/>
    <cellStyle name="40% - Accent5 2 2 5" xfId="20239"/>
    <cellStyle name="40% - Accent5 2 2 5 2" xfId="20240"/>
    <cellStyle name="40% - Accent5 2 2 6" xfId="20241"/>
    <cellStyle name="40% - Accent5 2 2 7" xfId="20242"/>
    <cellStyle name="40% - Accent5 2 2 8" xfId="20243"/>
    <cellStyle name="40% - Accent5 2 3" xfId="398"/>
    <cellStyle name="40% - Accent5 2 3 2" xfId="399"/>
    <cellStyle name="40% - Accent5 2 3 2 2" xfId="400"/>
    <cellStyle name="40% - Accent5 2 3 2 2 2" xfId="12865"/>
    <cellStyle name="40% - Accent5 2 3 2 2 3" xfId="20244"/>
    <cellStyle name="40% - Accent5 2 3 2 3" xfId="12866"/>
    <cellStyle name="40% - Accent5 2 3 2 4" xfId="20245"/>
    <cellStyle name="40% - Accent5 2 3 2 5" xfId="20246"/>
    <cellStyle name="40% - Accent5 2 3 3" xfId="401"/>
    <cellStyle name="40% - Accent5 2 3 3 2" xfId="12867"/>
    <cellStyle name="40% - Accent5 2 3 3 3" xfId="20247"/>
    <cellStyle name="40% - Accent5 2 3 3 4" xfId="20248"/>
    <cellStyle name="40% - Accent5 2 3 4" xfId="12868"/>
    <cellStyle name="40% - Accent5 2 3 5" xfId="20249"/>
    <cellStyle name="40% - Accent5 2 3 6" xfId="20250"/>
    <cellStyle name="40% - Accent5 2 3 7" xfId="20251"/>
    <cellStyle name="40% - Accent5 2 4" xfId="402"/>
    <cellStyle name="40% - Accent5 2 4 2" xfId="403"/>
    <cellStyle name="40% - Accent5 2 4 2 2" xfId="12869"/>
    <cellStyle name="40% - Accent5 2 4 2 3" xfId="20252"/>
    <cellStyle name="40% - Accent5 2 4 2 4" xfId="20253"/>
    <cellStyle name="40% - Accent5 2 4 3" xfId="12870"/>
    <cellStyle name="40% - Accent5 2 4 3 2" xfId="12871"/>
    <cellStyle name="40% - Accent5 2 4 4" xfId="12872"/>
    <cellStyle name="40% - Accent5 2 4 5" xfId="20254"/>
    <cellStyle name="40% - Accent5 2 4 6" xfId="20255"/>
    <cellStyle name="40% - Accent5 2 5" xfId="404"/>
    <cellStyle name="40% - Accent5 2 5 2" xfId="12873"/>
    <cellStyle name="40% - Accent5 2 5 3" xfId="20256"/>
    <cellStyle name="40% - Accent5 2 5 4" xfId="20257"/>
    <cellStyle name="40% - Accent5 2 6" xfId="405"/>
    <cellStyle name="40% - Accent5 2 6 2" xfId="18263"/>
    <cellStyle name="40% - Accent5 2 6 2 2" xfId="20258"/>
    <cellStyle name="40% - Accent5 2 6 2 3" xfId="20259"/>
    <cellStyle name="40% - Accent5 2 6 2 4" xfId="20260"/>
    <cellStyle name="40% - Accent5 2 6 3" xfId="20261"/>
    <cellStyle name="40% - Accent5 2 6 3 2" xfId="20262"/>
    <cellStyle name="40% - Accent5 2 6 3 3" xfId="20263"/>
    <cellStyle name="40% - Accent5 2 6 4" xfId="20264"/>
    <cellStyle name="40% - Accent5 2 6 4 2" xfId="20265"/>
    <cellStyle name="40% - Accent5 2 6 5" xfId="20266"/>
    <cellStyle name="40% - Accent5 2 6 6" xfId="20267"/>
    <cellStyle name="40% - Accent5 2 6 7" xfId="20268"/>
    <cellStyle name="40% - Accent5 2 6 8" xfId="20269"/>
    <cellStyle name="40% - Accent5 2 7" xfId="406"/>
    <cellStyle name="40% - Accent5 2 7 2" xfId="20270"/>
    <cellStyle name="40% - Accent5 2 7 3" xfId="20271"/>
    <cellStyle name="40% - Accent5 2 7 4" xfId="20272"/>
    <cellStyle name="40% - Accent5 2 8" xfId="407"/>
    <cellStyle name="40% - Accent5 2 8 2" xfId="20273"/>
    <cellStyle name="40% - Accent5 2 9" xfId="20274"/>
    <cellStyle name="40% - Accent5 2 9 2" xfId="20275"/>
    <cellStyle name="40% - Accent5 2_12PCORC Wind Vestas and Royalties" xfId="12874"/>
    <cellStyle name="40% - Accent5 3" xfId="408"/>
    <cellStyle name="40% - Accent5 3 2" xfId="409"/>
    <cellStyle name="40% - Accent5 3 2 2" xfId="410"/>
    <cellStyle name="40% - Accent5 3 2 2 2" xfId="12875"/>
    <cellStyle name="40% - Accent5 3 2 2 3" xfId="20276"/>
    <cellStyle name="40% - Accent5 3 2 2 4" xfId="20277"/>
    <cellStyle name="40% - Accent5 3 2 3" xfId="411"/>
    <cellStyle name="40% - Accent5 3 2 3 2" xfId="12876"/>
    <cellStyle name="40% - Accent5 3 2 3 3" xfId="20278"/>
    <cellStyle name="40% - Accent5 3 2 3 4" xfId="20279"/>
    <cellStyle name="40% - Accent5 3 2 4" xfId="12877"/>
    <cellStyle name="40% - Accent5 3 2 4 2" xfId="12878"/>
    <cellStyle name="40% - Accent5 3 2 5" xfId="12879"/>
    <cellStyle name="40% - Accent5 3 2 6" xfId="20280"/>
    <cellStyle name="40% - Accent5 3 2 7" xfId="20281"/>
    <cellStyle name="40% - Accent5 3 3" xfId="412"/>
    <cellStyle name="40% - Accent5 3 3 2" xfId="413"/>
    <cellStyle name="40% - Accent5 3 3 2 2" xfId="12880"/>
    <cellStyle name="40% - Accent5 3 3 2 3" xfId="12881"/>
    <cellStyle name="40% - Accent5 3 3 2 3 2" xfId="18417"/>
    <cellStyle name="40% - Accent5 3 3 2 4" xfId="20282"/>
    <cellStyle name="40% - Accent5 3 3 3" xfId="12882"/>
    <cellStyle name="40% - Accent5 3 3 3 2" xfId="20283"/>
    <cellStyle name="40% - Accent5 3 3 4" xfId="12883"/>
    <cellStyle name="40% - Accent5 3 3 4 2" xfId="18418"/>
    <cellStyle name="40% - Accent5 3 3 5" xfId="20284"/>
    <cellStyle name="40% - Accent5 3 3 6" xfId="20285"/>
    <cellStyle name="40% - Accent5 3 4" xfId="414"/>
    <cellStyle name="40% - Accent5 3 4 2" xfId="12884"/>
    <cellStyle name="40% - Accent5 3 4 3" xfId="20286"/>
    <cellStyle name="40% - Accent5 3 4 4" xfId="20287"/>
    <cellStyle name="40% - Accent5 3 5" xfId="415"/>
    <cellStyle name="40% - Accent5 3 5 2" xfId="20288"/>
    <cellStyle name="40% - Accent5 3 6" xfId="20289"/>
    <cellStyle name="40% - Accent5 3 7" xfId="20290"/>
    <cellStyle name="40% - Accent5 3 8" xfId="20291"/>
    <cellStyle name="40% - Accent5 4" xfId="416"/>
    <cellStyle name="40% - Accent5 4 2" xfId="417"/>
    <cellStyle name="40% - Accent5 4 2 2" xfId="418"/>
    <cellStyle name="40% - Accent5 4 2 2 2" xfId="12885"/>
    <cellStyle name="40% - Accent5 4 2 2 3" xfId="20292"/>
    <cellStyle name="40% - Accent5 4 2 2 4" xfId="20293"/>
    <cellStyle name="40% - Accent5 4 2 3" xfId="12886"/>
    <cellStyle name="40% - Accent5 4 2 3 2" xfId="20294"/>
    <cellStyle name="40% - Accent5 4 2 4" xfId="20295"/>
    <cellStyle name="40% - Accent5 4 2 5" xfId="20296"/>
    <cellStyle name="40% - Accent5 4 2 6" xfId="20297"/>
    <cellStyle name="40% - Accent5 4 3" xfId="419"/>
    <cellStyle name="40% - Accent5 4 3 2" xfId="420"/>
    <cellStyle name="40% - Accent5 4 3 3" xfId="20298"/>
    <cellStyle name="40% - Accent5 4 3 4" xfId="20299"/>
    <cellStyle name="40% - Accent5 4 4" xfId="421"/>
    <cellStyle name="40% - Accent5 4 4 2" xfId="20300"/>
    <cellStyle name="40% - Accent5 4 4 3" xfId="20301"/>
    <cellStyle name="40% - Accent5 4 4 4" xfId="20302"/>
    <cellStyle name="40% - Accent5 4 5" xfId="422"/>
    <cellStyle name="40% - Accent5 4 5 2" xfId="20303"/>
    <cellStyle name="40% - Accent5 4 6" xfId="20304"/>
    <cellStyle name="40% - Accent5 4 6 2" xfId="20305"/>
    <cellStyle name="40% - Accent5 4 7" xfId="20306"/>
    <cellStyle name="40% - Accent5 4 8" xfId="20307"/>
    <cellStyle name="40% - Accent5 5" xfId="423"/>
    <cellStyle name="40% - Accent5 5 2" xfId="424"/>
    <cellStyle name="40% - Accent5 5 2 2" xfId="12887"/>
    <cellStyle name="40% - Accent5 5 2 2 2" xfId="20308"/>
    <cellStyle name="40% - Accent5 5 2 2 2 2" xfId="20309"/>
    <cellStyle name="40% - Accent5 5 2 2 2 3" xfId="20310"/>
    <cellStyle name="40% - Accent5 5 2 2 3" xfId="20311"/>
    <cellStyle name="40% - Accent5 5 2 2 3 2" xfId="20312"/>
    <cellStyle name="40% - Accent5 5 2 2 4" xfId="20313"/>
    <cellStyle name="40% - Accent5 5 2 2 5" xfId="20314"/>
    <cellStyle name="40% - Accent5 5 2 3" xfId="20315"/>
    <cellStyle name="40% - Accent5 5 2 4" xfId="20316"/>
    <cellStyle name="40% - Accent5 5 3" xfId="425"/>
    <cellStyle name="40% - Accent5 5 3 2" xfId="12888"/>
    <cellStyle name="40% - Accent5 5 3 3" xfId="20317"/>
    <cellStyle name="40% - Accent5 5 3 4" xfId="20318"/>
    <cellStyle name="40% - Accent5 5 4" xfId="12889"/>
    <cellStyle name="40% - Accent5 5 4 2" xfId="12890"/>
    <cellStyle name="40% - Accent5 5 5" xfId="12891"/>
    <cellStyle name="40% - Accent5 5 5 2" xfId="20319"/>
    <cellStyle name="40% - Accent5 5 5 2 2" xfId="20320"/>
    <cellStyle name="40% - Accent5 5 5 2 3" xfId="20321"/>
    <cellStyle name="40% - Accent5 5 5 3" xfId="20322"/>
    <cellStyle name="40% - Accent5 5 5 3 2" xfId="20323"/>
    <cellStyle name="40% - Accent5 5 5 4" xfId="20324"/>
    <cellStyle name="40% - Accent5 5 5 5" xfId="20325"/>
    <cellStyle name="40% - Accent5 5 6" xfId="20326"/>
    <cellStyle name="40% - Accent5 5 6 2" xfId="20327"/>
    <cellStyle name="40% - Accent5 5 6 2 2" xfId="20328"/>
    <cellStyle name="40% - Accent5 5 6 2 3" xfId="20329"/>
    <cellStyle name="40% - Accent5 5 6 3" xfId="20330"/>
    <cellStyle name="40% - Accent5 5 6 3 2" xfId="20331"/>
    <cellStyle name="40% - Accent5 5 6 4" xfId="20332"/>
    <cellStyle name="40% - Accent5 5 6 5" xfId="20333"/>
    <cellStyle name="40% - Accent5 5 6 6" xfId="20334"/>
    <cellStyle name="40% - Accent5 5 6 7" xfId="20335"/>
    <cellStyle name="40% - Accent5 5 7" xfId="20336"/>
    <cellStyle name="40% - Accent5 5 7 2" xfId="20337"/>
    <cellStyle name="40% - Accent5 5 7 2 2" xfId="20338"/>
    <cellStyle name="40% - Accent5 5 7 3" xfId="20339"/>
    <cellStyle name="40% - Accent5 5 7 4" xfId="20340"/>
    <cellStyle name="40% - Accent5 5 8" xfId="20341"/>
    <cellStyle name="40% - Accent5 5 8 2" xfId="20342"/>
    <cellStyle name="40% - Accent5 5 9" xfId="20343"/>
    <cellStyle name="40% - Accent5 6" xfId="426"/>
    <cellStyle name="40% - Accent5 6 2" xfId="427"/>
    <cellStyle name="40% - Accent5 6 2 2" xfId="12892"/>
    <cellStyle name="40% - Accent5 6 2 3" xfId="12893"/>
    <cellStyle name="40% - Accent5 6 2 3 2" xfId="18419"/>
    <cellStyle name="40% - Accent5 6 2 4" xfId="20344"/>
    <cellStyle name="40% - Accent5 6 3" xfId="12894"/>
    <cellStyle name="40% - Accent5 6 3 2" xfId="12895"/>
    <cellStyle name="40% - Accent5 6 4" xfId="12896"/>
    <cellStyle name="40% - Accent5 6 4 2" xfId="20345"/>
    <cellStyle name="40% - Accent5 6 4 2 2" xfId="20346"/>
    <cellStyle name="40% - Accent5 6 4 3" xfId="20347"/>
    <cellStyle name="40% - Accent5 6 4 4" xfId="20348"/>
    <cellStyle name="40% - Accent5 6 4 5" xfId="20349"/>
    <cellStyle name="40% - Accent5 6 4 6" xfId="20350"/>
    <cellStyle name="40% - Accent5 6 5" xfId="12897"/>
    <cellStyle name="40% - Accent5 6 5 2" xfId="18420"/>
    <cellStyle name="40% - Accent5 6 5 3" xfId="20351"/>
    <cellStyle name="40% - Accent5 6 5 4" xfId="20352"/>
    <cellStyle name="40% - Accent5 6 5 5" xfId="20353"/>
    <cellStyle name="40% - Accent5 6 6" xfId="20354"/>
    <cellStyle name="40% - Accent5 6 7" xfId="20355"/>
    <cellStyle name="40% - Accent5 6 8" xfId="20356"/>
    <cellStyle name="40% - Accent5 6 9" xfId="20357"/>
    <cellStyle name="40% - Accent5 7" xfId="428"/>
    <cellStyle name="40% - Accent5 7 2" xfId="12898"/>
    <cellStyle name="40% - Accent5 7 2 2" xfId="20358"/>
    <cellStyle name="40% - Accent5 7 2 2 2" xfId="20359"/>
    <cellStyle name="40% - Accent5 7 2 3" xfId="20360"/>
    <cellStyle name="40% - Accent5 7 2 4" xfId="20361"/>
    <cellStyle name="40% - Accent5 7 3" xfId="20362"/>
    <cellStyle name="40% - Accent5 7 3 2" xfId="20363"/>
    <cellStyle name="40% - Accent5 7 3 3" xfId="20364"/>
    <cellStyle name="40% - Accent5 7 4" xfId="20365"/>
    <cellStyle name="40% - Accent5 7 4 2" xfId="20366"/>
    <cellStyle name="40% - Accent5 7 4 3" xfId="20367"/>
    <cellStyle name="40% - Accent5 7 5" xfId="20368"/>
    <cellStyle name="40% - Accent5 7 6" xfId="20369"/>
    <cellStyle name="40% - Accent5 8" xfId="12899"/>
    <cellStyle name="40% - Accent5 8 2" xfId="12900"/>
    <cellStyle name="40% - Accent5 8 2 2" xfId="20370"/>
    <cellStyle name="40% - Accent5 8 2 2 2" xfId="20371"/>
    <cellStyle name="40% - Accent5 8 2 3" xfId="20372"/>
    <cellStyle name="40% - Accent5 8 2 4" xfId="20373"/>
    <cellStyle name="40% - Accent5 8 3" xfId="20374"/>
    <cellStyle name="40% - Accent5 8 3 2" xfId="20375"/>
    <cellStyle name="40% - Accent5 8 3 2 2" xfId="20376"/>
    <cellStyle name="40% - Accent5 8 3 3" xfId="20377"/>
    <cellStyle name="40% - Accent5 8 3 4" xfId="20378"/>
    <cellStyle name="40% - Accent5 8 4" xfId="20379"/>
    <cellStyle name="40% - Accent5 9" xfId="12901"/>
    <cellStyle name="40% - Accent5 9 2" xfId="12902"/>
    <cellStyle name="40% - Accent5 9 2 2" xfId="20380"/>
    <cellStyle name="40% - Accent5 9 2 3" xfId="20381"/>
    <cellStyle name="40% - Accent5 9 3" xfId="20382"/>
    <cellStyle name="40% - Accent5 9 4" xfId="20383"/>
    <cellStyle name="40% - Accent5 9 5" xfId="20384"/>
    <cellStyle name="40% - Accent6 10" xfId="12903"/>
    <cellStyle name="40% - Accent6 10 2" xfId="12904"/>
    <cellStyle name="40% - Accent6 10 2 2" xfId="20385"/>
    <cellStyle name="40% - Accent6 10 2 3" xfId="20386"/>
    <cellStyle name="40% - Accent6 11" xfId="12905"/>
    <cellStyle name="40% - Accent6 11 2" xfId="12906"/>
    <cellStyle name="40% - Accent6 11 2 2" xfId="18422"/>
    <cellStyle name="40% - Accent6 11 3" xfId="18421"/>
    <cellStyle name="40% - Accent6 12" xfId="12907"/>
    <cellStyle name="40% - Accent6 12 2" xfId="18423"/>
    <cellStyle name="40% - Accent6 2" xfId="429"/>
    <cellStyle name="40% - Accent6 2 10" xfId="20387"/>
    <cellStyle name="40% - Accent6 2 11" xfId="20388"/>
    <cellStyle name="40% - Accent6 2 12" xfId="20389"/>
    <cellStyle name="40% - Accent6 2 12 2" xfId="20390"/>
    <cellStyle name="40% - Accent6 2 2" xfId="430"/>
    <cellStyle name="40% - Accent6 2 2 2" xfId="431"/>
    <cellStyle name="40% - Accent6 2 2 2 2" xfId="432"/>
    <cellStyle name="40% - Accent6 2 2 2 2 2" xfId="12908"/>
    <cellStyle name="40% - Accent6 2 2 2 2 3" xfId="20391"/>
    <cellStyle name="40% - Accent6 2 2 2 3" xfId="12909"/>
    <cellStyle name="40% - Accent6 2 2 2 4" xfId="20392"/>
    <cellStyle name="40% - Accent6 2 2 2 5" xfId="20393"/>
    <cellStyle name="40% - Accent6 2 2 3" xfId="433"/>
    <cellStyle name="40% - Accent6 2 2 3 2" xfId="434"/>
    <cellStyle name="40% - Accent6 2 2 3 2 2" xfId="20394"/>
    <cellStyle name="40% - Accent6 2 2 3 2 3" xfId="20395"/>
    <cellStyle name="40% - Accent6 2 2 3 3" xfId="20396"/>
    <cellStyle name="40% - Accent6 2 2 3 4" xfId="20397"/>
    <cellStyle name="40% - Accent6 2 2 3 5" xfId="20398"/>
    <cellStyle name="40% - Accent6 2 2 4" xfId="435"/>
    <cellStyle name="40% - Accent6 2 2 4 2" xfId="20399"/>
    <cellStyle name="40% - Accent6 2 2 4 3" xfId="20400"/>
    <cellStyle name="40% - Accent6 2 2 4 4" xfId="20401"/>
    <cellStyle name="40% - Accent6 2 2 5" xfId="20402"/>
    <cellStyle name="40% - Accent6 2 2 5 2" xfId="20403"/>
    <cellStyle name="40% - Accent6 2 2 6" xfId="20404"/>
    <cellStyle name="40% - Accent6 2 2 7" xfId="20405"/>
    <cellStyle name="40% - Accent6 2 2 8" xfId="20406"/>
    <cellStyle name="40% - Accent6 2 3" xfId="436"/>
    <cellStyle name="40% - Accent6 2 3 2" xfId="437"/>
    <cellStyle name="40% - Accent6 2 3 2 2" xfId="438"/>
    <cellStyle name="40% - Accent6 2 3 2 2 2" xfId="12910"/>
    <cellStyle name="40% - Accent6 2 3 2 2 3" xfId="20407"/>
    <cellStyle name="40% - Accent6 2 3 2 3" xfId="12911"/>
    <cellStyle name="40% - Accent6 2 3 2 4" xfId="20408"/>
    <cellStyle name="40% - Accent6 2 3 2 5" xfId="20409"/>
    <cellStyle name="40% - Accent6 2 3 3" xfId="439"/>
    <cellStyle name="40% - Accent6 2 3 3 2" xfId="12912"/>
    <cellStyle name="40% - Accent6 2 3 3 3" xfId="20410"/>
    <cellStyle name="40% - Accent6 2 3 3 4" xfId="20411"/>
    <cellStyle name="40% - Accent6 2 3 4" xfId="12913"/>
    <cellStyle name="40% - Accent6 2 3 5" xfId="20412"/>
    <cellStyle name="40% - Accent6 2 3 6" xfId="20413"/>
    <cellStyle name="40% - Accent6 2 3 7" xfId="20414"/>
    <cellStyle name="40% - Accent6 2 4" xfId="440"/>
    <cellStyle name="40% - Accent6 2 4 2" xfId="441"/>
    <cellStyle name="40% - Accent6 2 4 2 2" xfId="12914"/>
    <cellStyle name="40% - Accent6 2 4 2 3" xfId="20415"/>
    <cellStyle name="40% - Accent6 2 4 2 4" xfId="20416"/>
    <cellStyle name="40% - Accent6 2 4 3" xfId="12915"/>
    <cellStyle name="40% - Accent6 2 4 3 2" xfId="12916"/>
    <cellStyle name="40% - Accent6 2 4 4" xfId="12917"/>
    <cellStyle name="40% - Accent6 2 4 5" xfId="20417"/>
    <cellStyle name="40% - Accent6 2 4 6" xfId="20418"/>
    <cellStyle name="40% - Accent6 2 5" xfId="442"/>
    <cellStyle name="40% - Accent6 2 5 2" xfId="12918"/>
    <cellStyle name="40% - Accent6 2 5 3" xfId="20419"/>
    <cellStyle name="40% - Accent6 2 5 4" xfId="20420"/>
    <cellStyle name="40% - Accent6 2 6" xfId="443"/>
    <cellStyle name="40% - Accent6 2 6 2" xfId="18264"/>
    <cellStyle name="40% - Accent6 2 6 2 2" xfId="20421"/>
    <cellStyle name="40% - Accent6 2 6 2 3" xfId="20422"/>
    <cellStyle name="40% - Accent6 2 6 2 4" xfId="20423"/>
    <cellStyle name="40% - Accent6 2 6 3" xfId="20424"/>
    <cellStyle name="40% - Accent6 2 6 3 2" xfId="20425"/>
    <cellStyle name="40% - Accent6 2 6 3 3" xfId="20426"/>
    <cellStyle name="40% - Accent6 2 6 4" xfId="20427"/>
    <cellStyle name="40% - Accent6 2 6 4 2" xfId="20428"/>
    <cellStyle name="40% - Accent6 2 6 5" xfId="20429"/>
    <cellStyle name="40% - Accent6 2 6 6" xfId="20430"/>
    <cellStyle name="40% - Accent6 2 6 7" xfId="20431"/>
    <cellStyle name="40% - Accent6 2 6 8" xfId="20432"/>
    <cellStyle name="40% - Accent6 2 7" xfId="444"/>
    <cellStyle name="40% - Accent6 2 7 2" xfId="20433"/>
    <cellStyle name="40% - Accent6 2 7 3" xfId="20434"/>
    <cellStyle name="40% - Accent6 2 7 4" xfId="20435"/>
    <cellStyle name="40% - Accent6 2 8" xfId="445"/>
    <cellStyle name="40% - Accent6 2 8 2" xfId="20436"/>
    <cellStyle name="40% - Accent6 2 9" xfId="20437"/>
    <cellStyle name="40% - Accent6 2 9 2" xfId="20438"/>
    <cellStyle name="40% - Accent6 2_12PCORC Wind Vestas and Royalties" xfId="12919"/>
    <cellStyle name="40% - Accent6 3" xfId="446"/>
    <cellStyle name="40% - Accent6 3 2" xfId="447"/>
    <cellStyle name="40% - Accent6 3 2 2" xfId="448"/>
    <cellStyle name="40% - Accent6 3 2 2 2" xfId="12920"/>
    <cellStyle name="40% - Accent6 3 2 2 3" xfId="20439"/>
    <cellStyle name="40% - Accent6 3 2 2 4" xfId="20440"/>
    <cellStyle name="40% - Accent6 3 2 3" xfId="449"/>
    <cellStyle name="40% - Accent6 3 2 3 2" xfId="12921"/>
    <cellStyle name="40% - Accent6 3 2 3 3" xfId="20441"/>
    <cellStyle name="40% - Accent6 3 2 3 4" xfId="20442"/>
    <cellStyle name="40% - Accent6 3 2 4" xfId="12922"/>
    <cellStyle name="40% - Accent6 3 2 4 2" xfId="12923"/>
    <cellStyle name="40% - Accent6 3 2 5" xfId="12924"/>
    <cellStyle name="40% - Accent6 3 2 6" xfId="20443"/>
    <cellStyle name="40% - Accent6 3 2 7" xfId="20444"/>
    <cellStyle name="40% - Accent6 3 3" xfId="450"/>
    <cellStyle name="40% - Accent6 3 3 2" xfId="451"/>
    <cellStyle name="40% - Accent6 3 3 2 2" xfId="12925"/>
    <cellStyle name="40% - Accent6 3 3 2 3" xfId="12926"/>
    <cellStyle name="40% - Accent6 3 3 2 3 2" xfId="18424"/>
    <cellStyle name="40% - Accent6 3 3 2 4" xfId="20445"/>
    <cellStyle name="40% - Accent6 3 3 3" xfId="12927"/>
    <cellStyle name="40% - Accent6 3 3 3 2" xfId="20446"/>
    <cellStyle name="40% - Accent6 3 3 4" xfId="12928"/>
    <cellStyle name="40% - Accent6 3 3 4 2" xfId="18425"/>
    <cellStyle name="40% - Accent6 3 3 5" xfId="20447"/>
    <cellStyle name="40% - Accent6 3 3 6" xfId="20448"/>
    <cellStyle name="40% - Accent6 3 4" xfId="452"/>
    <cellStyle name="40% - Accent6 3 4 2" xfId="12929"/>
    <cellStyle name="40% - Accent6 3 4 3" xfId="20449"/>
    <cellStyle name="40% - Accent6 3 4 4" xfId="20450"/>
    <cellStyle name="40% - Accent6 3 5" xfId="453"/>
    <cellStyle name="40% - Accent6 3 5 2" xfId="20451"/>
    <cellStyle name="40% - Accent6 3 6" xfId="20452"/>
    <cellStyle name="40% - Accent6 3 7" xfId="20453"/>
    <cellStyle name="40% - Accent6 3 8" xfId="20454"/>
    <cellStyle name="40% - Accent6 4" xfId="454"/>
    <cellStyle name="40% - Accent6 4 2" xfId="455"/>
    <cellStyle name="40% - Accent6 4 2 2" xfId="456"/>
    <cellStyle name="40% - Accent6 4 2 2 2" xfId="12930"/>
    <cellStyle name="40% - Accent6 4 2 2 3" xfId="20455"/>
    <cellStyle name="40% - Accent6 4 2 2 4" xfId="20456"/>
    <cellStyle name="40% - Accent6 4 2 3" xfId="12931"/>
    <cellStyle name="40% - Accent6 4 2 3 2" xfId="20457"/>
    <cellStyle name="40% - Accent6 4 2 4" xfId="20458"/>
    <cellStyle name="40% - Accent6 4 2 5" xfId="20459"/>
    <cellStyle name="40% - Accent6 4 2 6" xfId="20460"/>
    <cellStyle name="40% - Accent6 4 3" xfId="457"/>
    <cellStyle name="40% - Accent6 4 3 2" xfId="458"/>
    <cellStyle name="40% - Accent6 4 3 3" xfId="20461"/>
    <cellStyle name="40% - Accent6 4 3 4" xfId="20462"/>
    <cellStyle name="40% - Accent6 4 4" xfId="459"/>
    <cellStyle name="40% - Accent6 4 4 2" xfId="20463"/>
    <cellStyle name="40% - Accent6 4 4 3" xfId="20464"/>
    <cellStyle name="40% - Accent6 4 4 4" xfId="20465"/>
    <cellStyle name="40% - Accent6 4 5" xfId="460"/>
    <cellStyle name="40% - Accent6 4 5 2" xfId="20466"/>
    <cellStyle name="40% - Accent6 4 6" xfId="20467"/>
    <cellStyle name="40% - Accent6 4 6 2" xfId="20468"/>
    <cellStyle name="40% - Accent6 4 7" xfId="20469"/>
    <cellStyle name="40% - Accent6 4 8" xfId="20470"/>
    <cellStyle name="40% - Accent6 5" xfId="461"/>
    <cellStyle name="40% - Accent6 5 2" xfId="462"/>
    <cellStyle name="40% - Accent6 5 2 2" xfId="12932"/>
    <cellStyle name="40% - Accent6 5 2 2 2" xfId="20471"/>
    <cellStyle name="40% - Accent6 5 2 2 2 2" xfId="20472"/>
    <cellStyle name="40% - Accent6 5 2 2 2 3" xfId="20473"/>
    <cellStyle name="40% - Accent6 5 2 2 3" xfId="20474"/>
    <cellStyle name="40% - Accent6 5 2 2 3 2" xfId="20475"/>
    <cellStyle name="40% - Accent6 5 2 2 4" xfId="20476"/>
    <cellStyle name="40% - Accent6 5 2 2 5" xfId="20477"/>
    <cellStyle name="40% - Accent6 5 2 3" xfId="20478"/>
    <cellStyle name="40% - Accent6 5 2 4" xfId="20479"/>
    <cellStyle name="40% - Accent6 5 3" xfId="463"/>
    <cellStyle name="40% - Accent6 5 3 2" xfId="12933"/>
    <cellStyle name="40% - Accent6 5 3 3" xfId="20480"/>
    <cellStyle name="40% - Accent6 5 3 4" xfId="20481"/>
    <cellStyle name="40% - Accent6 5 4" xfId="12934"/>
    <cellStyle name="40% - Accent6 5 4 2" xfId="12935"/>
    <cellStyle name="40% - Accent6 5 5" xfId="12936"/>
    <cellStyle name="40% - Accent6 5 5 2" xfId="20482"/>
    <cellStyle name="40% - Accent6 5 5 2 2" xfId="20483"/>
    <cellStyle name="40% - Accent6 5 5 2 3" xfId="20484"/>
    <cellStyle name="40% - Accent6 5 5 3" xfId="20485"/>
    <cellStyle name="40% - Accent6 5 5 3 2" xfId="20486"/>
    <cellStyle name="40% - Accent6 5 5 4" xfId="20487"/>
    <cellStyle name="40% - Accent6 5 5 5" xfId="20488"/>
    <cellStyle name="40% - Accent6 5 6" xfId="20489"/>
    <cellStyle name="40% - Accent6 5 6 2" xfId="20490"/>
    <cellStyle name="40% - Accent6 5 6 2 2" xfId="20491"/>
    <cellStyle name="40% - Accent6 5 6 2 3" xfId="20492"/>
    <cellStyle name="40% - Accent6 5 6 3" xfId="20493"/>
    <cellStyle name="40% - Accent6 5 6 3 2" xfId="20494"/>
    <cellStyle name="40% - Accent6 5 6 4" xfId="20495"/>
    <cellStyle name="40% - Accent6 5 6 5" xfId="20496"/>
    <cellStyle name="40% - Accent6 5 6 6" xfId="20497"/>
    <cellStyle name="40% - Accent6 5 6 7" xfId="20498"/>
    <cellStyle name="40% - Accent6 5 7" xfId="20499"/>
    <cellStyle name="40% - Accent6 5 7 2" xfId="20500"/>
    <cellStyle name="40% - Accent6 5 7 2 2" xfId="20501"/>
    <cellStyle name="40% - Accent6 5 7 3" xfId="20502"/>
    <cellStyle name="40% - Accent6 5 7 4" xfId="20503"/>
    <cellStyle name="40% - Accent6 5 8" xfId="20504"/>
    <cellStyle name="40% - Accent6 5 8 2" xfId="20505"/>
    <cellStyle name="40% - Accent6 5 9" xfId="20506"/>
    <cellStyle name="40% - Accent6 6" xfId="464"/>
    <cellStyle name="40% - Accent6 6 2" xfId="465"/>
    <cellStyle name="40% - Accent6 6 2 2" xfId="12937"/>
    <cellStyle name="40% - Accent6 6 2 3" xfId="12938"/>
    <cellStyle name="40% - Accent6 6 2 3 2" xfId="18426"/>
    <cellStyle name="40% - Accent6 6 2 4" xfId="20507"/>
    <cellStyle name="40% - Accent6 6 3" xfId="12939"/>
    <cellStyle name="40% - Accent6 6 3 2" xfId="12940"/>
    <cellStyle name="40% - Accent6 6 4" xfId="12941"/>
    <cellStyle name="40% - Accent6 6 4 2" xfId="20508"/>
    <cellStyle name="40% - Accent6 6 4 2 2" xfId="20509"/>
    <cellStyle name="40% - Accent6 6 4 3" xfId="20510"/>
    <cellStyle name="40% - Accent6 6 4 4" xfId="20511"/>
    <cellStyle name="40% - Accent6 6 4 5" xfId="20512"/>
    <cellStyle name="40% - Accent6 6 4 6" xfId="20513"/>
    <cellStyle name="40% - Accent6 6 5" xfId="12942"/>
    <cellStyle name="40% - Accent6 6 5 2" xfId="18427"/>
    <cellStyle name="40% - Accent6 6 5 3" xfId="20514"/>
    <cellStyle name="40% - Accent6 6 5 4" xfId="20515"/>
    <cellStyle name="40% - Accent6 6 5 5" xfId="20516"/>
    <cellStyle name="40% - Accent6 6 6" xfId="20517"/>
    <cellStyle name="40% - Accent6 6 7" xfId="20518"/>
    <cellStyle name="40% - Accent6 6 8" xfId="20519"/>
    <cellStyle name="40% - Accent6 6 9" xfId="20520"/>
    <cellStyle name="40% - Accent6 7" xfId="466"/>
    <cellStyle name="40% - Accent6 7 2" xfId="12943"/>
    <cellStyle name="40% - Accent6 7 2 2" xfId="20521"/>
    <cellStyle name="40% - Accent6 7 2 2 2" xfId="20522"/>
    <cellStyle name="40% - Accent6 7 2 3" xfId="20523"/>
    <cellStyle name="40% - Accent6 7 2 4" xfId="20524"/>
    <cellStyle name="40% - Accent6 7 3" xfId="20525"/>
    <cellStyle name="40% - Accent6 7 3 2" xfId="20526"/>
    <cellStyle name="40% - Accent6 7 3 3" xfId="20527"/>
    <cellStyle name="40% - Accent6 7 4" xfId="20528"/>
    <cellStyle name="40% - Accent6 7 4 2" xfId="20529"/>
    <cellStyle name="40% - Accent6 7 4 3" xfId="20530"/>
    <cellStyle name="40% - Accent6 7 5" xfId="20531"/>
    <cellStyle name="40% - Accent6 7 6" xfId="20532"/>
    <cellStyle name="40% - Accent6 8" xfId="12944"/>
    <cellStyle name="40% - Accent6 8 2" xfId="12945"/>
    <cellStyle name="40% - Accent6 8 2 2" xfId="20533"/>
    <cellStyle name="40% - Accent6 8 2 2 2" xfId="20534"/>
    <cellStyle name="40% - Accent6 8 2 3" xfId="20535"/>
    <cellStyle name="40% - Accent6 8 2 4" xfId="20536"/>
    <cellStyle name="40% - Accent6 8 3" xfId="20537"/>
    <cellStyle name="40% - Accent6 8 3 2" xfId="20538"/>
    <cellStyle name="40% - Accent6 8 3 2 2" xfId="20539"/>
    <cellStyle name="40% - Accent6 8 3 3" xfId="20540"/>
    <cellStyle name="40% - Accent6 8 3 4" xfId="20541"/>
    <cellStyle name="40% - Accent6 8 4" xfId="20542"/>
    <cellStyle name="40% - Accent6 9" xfId="12946"/>
    <cellStyle name="40% - Accent6 9 2" xfId="12947"/>
    <cellStyle name="40% - Accent6 9 2 2" xfId="20543"/>
    <cellStyle name="40% - Accent6 9 2 3" xfId="20544"/>
    <cellStyle name="40% - Accent6 9 3" xfId="20545"/>
    <cellStyle name="40% - Accent6 9 4" xfId="20546"/>
    <cellStyle name="40% - Accent6 9 5" xfId="20547"/>
    <cellStyle name="60% - Accent1 2" xfId="467"/>
    <cellStyle name="60% - Accent1 2 2" xfId="468"/>
    <cellStyle name="60% - Accent1 2 2 2" xfId="12948"/>
    <cellStyle name="60% - Accent1 2 2 2 2" xfId="12949"/>
    <cellStyle name="60% - Accent1 2 2 3" xfId="12950"/>
    <cellStyle name="60% - Accent1 2 3" xfId="12951"/>
    <cellStyle name="60% - Accent1 2 3 2" xfId="12952"/>
    <cellStyle name="60% - Accent1 2 3 2 2" xfId="12953"/>
    <cellStyle name="60% - Accent1 2 3 3" xfId="12954"/>
    <cellStyle name="60% - Accent1 2 3 3 2" xfId="12955"/>
    <cellStyle name="60% - Accent1 2 3 4" xfId="12956"/>
    <cellStyle name="60% - Accent1 2 4" xfId="12957"/>
    <cellStyle name="60% - Accent1 2 4 2" xfId="12958"/>
    <cellStyle name="60% - Accent1 2 5" xfId="12959"/>
    <cellStyle name="60% - Accent1 3" xfId="469"/>
    <cellStyle name="60% - Accent1 3 2" xfId="470"/>
    <cellStyle name="60% - Accent1 3 2 2" xfId="12960"/>
    <cellStyle name="60% - Accent1 3 3" xfId="12961"/>
    <cellStyle name="60% - Accent1 4" xfId="471"/>
    <cellStyle name="60% - Accent1 4 2" xfId="12962"/>
    <cellStyle name="60% - Accent1 4 2 2" xfId="12963"/>
    <cellStyle name="60% - Accent1 4 3" xfId="12964"/>
    <cellStyle name="60% - Accent1 5" xfId="12965"/>
    <cellStyle name="60% - Accent1 5 2" xfId="12966"/>
    <cellStyle name="60% - Accent1 5 2 2" xfId="12967"/>
    <cellStyle name="60% - Accent1 5 3" xfId="12968"/>
    <cellStyle name="60% - Accent1 6" xfId="12969"/>
    <cellStyle name="60% - Accent1 6 2" xfId="12970"/>
    <cellStyle name="60% - Accent2 2" xfId="472"/>
    <cellStyle name="60% - Accent2 2 2" xfId="473"/>
    <cellStyle name="60% - Accent2 2 2 2" xfId="12971"/>
    <cellStyle name="60% - Accent2 2 2 2 2" xfId="12972"/>
    <cellStyle name="60% - Accent2 2 2 3" xfId="12973"/>
    <cellStyle name="60% - Accent2 2 3" xfId="12974"/>
    <cellStyle name="60% - Accent2 2 3 2" xfId="12975"/>
    <cellStyle name="60% - Accent2 2 3 2 2" xfId="12976"/>
    <cellStyle name="60% - Accent2 2 3 3" xfId="12977"/>
    <cellStyle name="60% - Accent2 2 3 3 2" xfId="12978"/>
    <cellStyle name="60% - Accent2 2 3 4" xfId="12979"/>
    <cellStyle name="60% - Accent2 2 4" xfId="12980"/>
    <cellStyle name="60% - Accent2 2 4 2" xfId="12981"/>
    <cellStyle name="60% - Accent2 2 5" xfId="12982"/>
    <cellStyle name="60% - Accent2 3" xfId="474"/>
    <cellStyle name="60% - Accent2 3 2" xfId="475"/>
    <cellStyle name="60% - Accent2 3 2 2" xfId="12983"/>
    <cellStyle name="60% - Accent2 3 3" xfId="12984"/>
    <cellStyle name="60% - Accent2 4" xfId="476"/>
    <cellStyle name="60% - Accent2 4 2" xfId="12985"/>
    <cellStyle name="60% - Accent2 4 2 2" xfId="12986"/>
    <cellStyle name="60% - Accent2 4 3" xfId="12987"/>
    <cellStyle name="60% - Accent2 5" xfId="12988"/>
    <cellStyle name="60% - Accent2 5 2" xfId="12989"/>
    <cellStyle name="60% - Accent2 5 2 2" xfId="12990"/>
    <cellStyle name="60% - Accent2 5 3" xfId="12991"/>
    <cellStyle name="60% - Accent2 6" xfId="12992"/>
    <cellStyle name="60% - Accent2 6 2" xfId="12993"/>
    <cellStyle name="60% - Accent3 2" xfId="477"/>
    <cellStyle name="60% - Accent3 2 2" xfId="478"/>
    <cellStyle name="60% - Accent3 2 2 2" xfId="12994"/>
    <cellStyle name="60% - Accent3 2 2 2 2" xfId="12995"/>
    <cellStyle name="60% - Accent3 2 2 3" xfId="12996"/>
    <cellStyle name="60% - Accent3 2 3" xfId="12997"/>
    <cellStyle name="60% - Accent3 2 3 2" xfId="12998"/>
    <cellStyle name="60% - Accent3 2 3 2 2" xfId="12999"/>
    <cellStyle name="60% - Accent3 2 3 3" xfId="13000"/>
    <cellStyle name="60% - Accent3 2 3 3 2" xfId="13001"/>
    <cellStyle name="60% - Accent3 2 3 4" xfId="13002"/>
    <cellStyle name="60% - Accent3 2 4" xfId="13003"/>
    <cellStyle name="60% - Accent3 2 4 2" xfId="13004"/>
    <cellStyle name="60% - Accent3 2 5" xfId="13005"/>
    <cellStyle name="60% - Accent3 3" xfId="479"/>
    <cellStyle name="60% - Accent3 3 2" xfId="480"/>
    <cellStyle name="60% - Accent3 3 2 2" xfId="13006"/>
    <cellStyle name="60% - Accent3 3 3" xfId="13007"/>
    <cellStyle name="60% - Accent3 4" xfId="481"/>
    <cellStyle name="60% - Accent3 4 2" xfId="13008"/>
    <cellStyle name="60% - Accent3 4 2 2" xfId="13009"/>
    <cellStyle name="60% - Accent3 4 3" xfId="13010"/>
    <cellStyle name="60% - Accent3 5" xfId="13011"/>
    <cellStyle name="60% - Accent3 5 2" xfId="13012"/>
    <cellStyle name="60% - Accent3 5 2 2" xfId="13013"/>
    <cellStyle name="60% - Accent3 5 3" xfId="13014"/>
    <cellStyle name="60% - Accent3 6" xfId="13015"/>
    <cellStyle name="60% - Accent3 6 2" xfId="13016"/>
    <cellStyle name="60% - Accent4 2" xfId="482"/>
    <cellStyle name="60% - Accent4 2 2" xfId="483"/>
    <cellStyle name="60% - Accent4 2 2 2" xfId="13017"/>
    <cellStyle name="60% - Accent4 2 2 2 2" xfId="13018"/>
    <cellStyle name="60% - Accent4 2 2 3" xfId="13019"/>
    <cellStyle name="60% - Accent4 2 3" xfId="13020"/>
    <cellStyle name="60% - Accent4 2 3 2" xfId="13021"/>
    <cellStyle name="60% - Accent4 2 3 2 2" xfId="13022"/>
    <cellStyle name="60% - Accent4 2 3 3" xfId="13023"/>
    <cellStyle name="60% - Accent4 2 3 3 2" xfId="13024"/>
    <cellStyle name="60% - Accent4 2 3 4" xfId="13025"/>
    <cellStyle name="60% - Accent4 2 4" xfId="13026"/>
    <cellStyle name="60% - Accent4 2 4 2" xfId="13027"/>
    <cellStyle name="60% - Accent4 2 5" xfId="13028"/>
    <cellStyle name="60% - Accent4 3" xfId="484"/>
    <cellStyle name="60% - Accent4 3 2" xfId="485"/>
    <cellStyle name="60% - Accent4 3 2 2" xfId="13029"/>
    <cellStyle name="60% - Accent4 3 3" xfId="13030"/>
    <cellStyle name="60% - Accent4 4" xfId="486"/>
    <cellStyle name="60% - Accent4 4 2" xfId="13031"/>
    <cellStyle name="60% - Accent4 4 2 2" xfId="13032"/>
    <cellStyle name="60% - Accent4 4 3" xfId="13033"/>
    <cellStyle name="60% - Accent4 5" xfId="13034"/>
    <cellStyle name="60% - Accent4 5 2" xfId="13035"/>
    <cellStyle name="60% - Accent4 5 2 2" xfId="13036"/>
    <cellStyle name="60% - Accent4 5 3" xfId="13037"/>
    <cellStyle name="60% - Accent4 6" xfId="13038"/>
    <cellStyle name="60% - Accent4 6 2" xfId="13039"/>
    <cellStyle name="60% - Accent5 2" xfId="487"/>
    <cellStyle name="60% - Accent5 2 2" xfId="488"/>
    <cellStyle name="60% - Accent5 2 2 2" xfId="13040"/>
    <cellStyle name="60% - Accent5 2 2 2 2" xfId="13041"/>
    <cellStyle name="60% - Accent5 2 2 3" xfId="13042"/>
    <cellStyle name="60% - Accent5 2 3" xfId="13043"/>
    <cellStyle name="60% - Accent5 2 3 2" xfId="13044"/>
    <cellStyle name="60% - Accent5 2 3 2 2" xfId="13045"/>
    <cellStyle name="60% - Accent5 2 3 3" xfId="13046"/>
    <cellStyle name="60% - Accent5 2 3 3 2" xfId="13047"/>
    <cellStyle name="60% - Accent5 2 3 4" xfId="13048"/>
    <cellStyle name="60% - Accent5 2 4" xfId="13049"/>
    <cellStyle name="60% - Accent5 2 4 2" xfId="13050"/>
    <cellStyle name="60% - Accent5 2 5" xfId="13051"/>
    <cellStyle name="60% - Accent5 3" xfId="489"/>
    <cellStyle name="60% - Accent5 3 2" xfId="490"/>
    <cellStyle name="60% - Accent5 3 2 2" xfId="13052"/>
    <cellStyle name="60% - Accent5 3 3" xfId="13053"/>
    <cellStyle name="60% - Accent5 4" xfId="491"/>
    <cellStyle name="60% - Accent5 4 2" xfId="13054"/>
    <cellStyle name="60% - Accent5 4 2 2" xfId="13055"/>
    <cellStyle name="60% - Accent5 4 3" xfId="13056"/>
    <cellStyle name="60% - Accent5 5" xfId="13057"/>
    <cellStyle name="60% - Accent5 5 2" xfId="13058"/>
    <cellStyle name="60% - Accent5 5 2 2" xfId="13059"/>
    <cellStyle name="60% - Accent5 5 3" xfId="13060"/>
    <cellStyle name="60% - Accent5 6" xfId="13061"/>
    <cellStyle name="60% - Accent5 6 2" xfId="13062"/>
    <cellStyle name="60% - Accent6 2" xfId="492"/>
    <cellStyle name="60% - Accent6 2 2" xfId="493"/>
    <cellStyle name="60% - Accent6 2 2 2" xfId="13063"/>
    <cellStyle name="60% - Accent6 2 2 2 2" xfId="13064"/>
    <cellStyle name="60% - Accent6 2 2 3" xfId="13065"/>
    <cellStyle name="60% - Accent6 2 3" xfId="13066"/>
    <cellStyle name="60% - Accent6 2 3 2" xfId="13067"/>
    <cellStyle name="60% - Accent6 2 3 2 2" xfId="13068"/>
    <cellStyle name="60% - Accent6 2 3 3" xfId="13069"/>
    <cellStyle name="60% - Accent6 2 3 3 2" xfId="13070"/>
    <cellStyle name="60% - Accent6 2 3 4" xfId="13071"/>
    <cellStyle name="60% - Accent6 2 4" xfId="13072"/>
    <cellStyle name="60% - Accent6 2 4 2" xfId="13073"/>
    <cellStyle name="60% - Accent6 2 5" xfId="13074"/>
    <cellStyle name="60% - Accent6 3" xfId="494"/>
    <cellStyle name="60% - Accent6 3 2" xfId="495"/>
    <cellStyle name="60% - Accent6 3 2 2" xfId="13075"/>
    <cellStyle name="60% - Accent6 3 3" xfId="13076"/>
    <cellStyle name="60% - Accent6 4" xfId="496"/>
    <cellStyle name="60% - Accent6 4 2" xfId="13077"/>
    <cellStyle name="60% - Accent6 4 2 2" xfId="13078"/>
    <cellStyle name="60% - Accent6 4 3" xfId="13079"/>
    <cellStyle name="60% - Accent6 5" xfId="13080"/>
    <cellStyle name="60% - Accent6 5 2" xfId="13081"/>
    <cellStyle name="60% - Accent6 5 2 2" xfId="13082"/>
    <cellStyle name="60% - Accent6 5 3" xfId="13083"/>
    <cellStyle name="60% - Accent6 6" xfId="13084"/>
    <cellStyle name="60% - Accent6 6 2" xfId="13085"/>
    <cellStyle name="Accent1 - 20%" xfId="13086"/>
    <cellStyle name="Accent1 - 20% 2" xfId="13087"/>
    <cellStyle name="Accent1 - 40%" xfId="13088"/>
    <cellStyle name="Accent1 - 40% 2" xfId="13089"/>
    <cellStyle name="Accent1 - 60%" xfId="13090"/>
    <cellStyle name="Accent1 - 60% 2" xfId="13091"/>
    <cellStyle name="Accent1 2" xfId="497"/>
    <cellStyle name="Accent1 2 2" xfId="498"/>
    <cellStyle name="Accent1 2 2 2" xfId="13092"/>
    <cellStyle name="Accent1 2 2 2 2" xfId="13093"/>
    <cellStyle name="Accent1 2 2 3" xfId="13094"/>
    <cellStyle name="Accent1 2 3" xfId="13095"/>
    <cellStyle name="Accent1 2 3 2" xfId="13096"/>
    <cellStyle name="Accent1 2 3 2 2" xfId="13097"/>
    <cellStyle name="Accent1 2 3 3" xfId="13098"/>
    <cellStyle name="Accent1 2 3 3 2" xfId="13099"/>
    <cellStyle name="Accent1 2 3 4" xfId="13100"/>
    <cellStyle name="Accent1 2 4" xfId="13101"/>
    <cellStyle name="Accent1 2 4 2" xfId="13102"/>
    <cellStyle name="Accent1 2 5" xfId="13103"/>
    <cellStyle name="Accent1 3" xfId="499"/>
    <cellStyle name="Accent1 3 2" xfId="500"/>
    <cellStyle name="Accent1 3 2 2" xfId="13104"/>
    <cellStyle name="Accent1 3 3" xfId="13105"/>
    <cellStyle name="Accent1 4" xfId="501"/>
    <cellStyle name="Accent1 4 2" xfId="13106"/>
    <cellStyle name="Accent1 4 2 2" xfId="13107"/>
    <cellStyle name="Accent1 4 3" xfId="13108"/>
    <cellStyle name="Accent1 5" xfId="13109"/>
    <cellStyle name="Accent1 5 2" xfId="13110"/>
    <cellStyle name="Accent1 5 2 2" xfId="13111"/>
    <cellStyle name="Accent1 5 3" xfId="13112"/>
    <cellStyle name="Accent1 6" xfId="13113"/>
    <cellStyle name="Accent1 6 2" xfId="13114"/>
    <cellStyle name="Accent1 7" xfId="13115"/>
    <cellStyle name="Accent1 8" xfId="13116"/>
    <cellStyle name="Accent1 9" xfId="13117"/>
    <cellStyle name="Accent2 - 20%" xfId="13118"/>
    <cellStyle name="Accent2 - 20% 2" xfId="13119"/>
    <cellStyle name="Accent2 - 40%" xfId="13120"/>
    <cellStyle name="Accent2 - 40% 2" xfId="13121"/>
    <cellStyle name="Accent2 - 60%" xfId="13122"/>
    <cellStyle name="Accent2 - 60% 2" xfId="13123"/>
    <cellStyle name="Accent2 2" xfId="502"/>
    <cellStyle name="Accent2 2 2" xfId="503"/>
    <cellStyle name="Accent2 2 2 2" xfId="13124"/>
    <cellStyle name="Accent2 2 2 2 2" xfId="13125"/>
    <cellStyle name="Accent2 2 2 3" xfId="13126"/>
    <cellStyle name="Accent2 2 3" xfId="13127"/>
    <cellStyle name="Accent2 2 3 2" xfId="13128"/>
    <cellStyle name="Accent2 2 3 2 2" xfId="13129"/>
    <cellStyle name="Accent2 2 3 3" xfId="13130"/>
    <cellStyle name="Accent2 2 3 3 2" xfId="13131"/>
    <cellStyle name="Accent2 2 3 4" xfId="13132"/>
    <cellStyle name="Accent2 2 4" xfId="13133"/>
    <cellStyle name="Accent2 2 4 2" xfId="13134"/>
    <cellStyle name="Accent2 2 5" xfId="13135"/>
    <cellStyle name="Accent2 3" xfId="504"/>
    <cellStyle name="Accent2 3 2" xfId="505"/>
    <cellStyle name="Accent2 3 2 2" xfId="13136"/>
    <cellStyle name="Accent2 3 3" xfId="13137"/>
    <cellStyle name="Accent2 4" xfId="506"/>
    <cellStyle name="Accent2 4 2" xfId="13138"/>
    <cellStyle name="Accent2 4 2 2" xfId="13139"/>
    <cellStyle name="Accent2 4 3" xfId="13140"/>
    <cellStyle name="Accent2 5" xfId="13141"/>
    <cellStyle name="Accent2 5 2" xfId="13142"/>
    <cellStyle name="Accent2 5 2 2" xfId="13143"/>
    <cellStyle name="Accent2 5 3" xfId="13144"/>
    <cellStyle name="Accent2 6" xfId="13145"/>
    <cellStyle name="Accent2 6 2" xfId="13146"/>
    <cellStyle name="Accent2 7" xfId="13147"/>
    <cellStyle name="Accent2 8" xfId="13148"/>
    <cellStyle name="Accent2 9" xfId="13149"/>
    <cellStyle name="Accent3 - 20%" xfId="13150"/>
    <cellStyle name="Accent3 - 20% 2" xfId="13151"/>
    <cellStyle name="Accent3 - 40%" xfId="13152"/>
    <cellStyle name="Accent3 - 40% 2" xfId="13153"/>
    <cellStyle name="Accent3 - 60%" xfId="13154"/>
    <cellStyle name="Accent3 - 60% 2" xfId="13155"/>
    <cellStyle name="Accent3 2" xfId="507"/>
    <cellStyle name="Accent3 2 2" xfId="508"/>
    <cellStyle name="Accent3 2 2 2" xfId="13156"/>
    <cellStyle name="Accent3 2 2 2 2" xfId="13157"/>
    <cellStyle name="Accent3 2 2 3" xfId="13158"/>
    <cellStyle name="Accent3 2 3" xfId="13159"/>
    <cellStyle name="Accent3 2 3 2" xfId="13160"/>
    <cellStyle name="Accent3 2 3 2 2" xfId="13161"/>
    <cellStyle name="Accent3 2 3 3" xfId="13162"/>
    <cellStyle name="Accent3 2 3 3 2" xfId="13163"/>
    <cellStyle name="Accent3 2 3 4" xfId="13164"/>
    <cellStyle name="Accent3 2 4" xfId="13165"/>
    <cellStyle name="Accent3 2 4 2" xfId="13166"/>
    <cellStyle name="Accent3 2 5" xfId="13167"/>
    <cellStyle name="Accent3 3" xfId="509"/>
    <cellStyle name="Accent3 3 2" xfId="510"/>
    <cellStyle name="Accent3 3 2 2" xfId="13168"/>
    <cellStyle name="Accent3 3 3" xfId="13169"/>
    <cellStyle name="Accent3 4" xfId="511"/>
    <cellStyle name="Accent3 4 2" xfId="13170"/>
    <cellStyle name="Accent3 4 2 2" xfId="13171"/>
    <cellStyle name="Accent3 4 3" xfId="13172"/>
    <cellStyle name="Accent3 5" xfId="13173"/>
    <cellStyle name="Accent3 5 2" xfId="13174"/>
    <cellStyle name="Accent3 5 2 2" xfId="13175"/>
    <cellStyle name="Accent3 5 3" xfId="13176"/>
    <cellStyle name="Accent3 6" xfId="13177"/>
    <cellStyle name="Accent3 6 2" xfId="13178"/>
    <cellStyle name="Accent3 7" xfId="13179"/>
    <cellStyle name="Accent3 8" xfId="13180"/>
    <cellStyle name="Accent3 9" xfId="13181"/>
    <cellStyle name="Accent4 - 20%" xfId="13182"/>
    <cellStyle name="Accent4 - 20% 2" xfId="13183"/>
    <cellStyle name="Accent4 - 40%" xfId="13184"/>
    <cellStyle name="Accent4 - 40% 2" xfId="13185"/>
    <cellStyle name="Accent4 - 60%" xfId="13186"/>
    <cellStyle name="Accent4 - 60% 2" xfId="13187"/>
    <cellStyle name="Accent4 2" xfId="512"/>
    <cellStyle name="Accent4 2 2" xfId="513"/>
    <cellStyle name="Accent4 2 2 2" xfId="13188"/>
    <cellStyle name="Accent4 2 2 2 2" xfId="13189"/>
    <cellStyle name="Accent4 2 2 3" xfId="13190"/>
    <cellStyle name="Accent4 2 3" xfId="13191"/>
    <cellStyle name="Accent4 2 3 2" xfId="13192"/>
    <cellStyle name="Accent4 2 3 2 2" xfId="13193"/>
    <cellStyle name="Accent4 2 3 3" xfId="13194"/>
    <cellStyle name="Accent4 2 4" xfId="13195"/>
    <cellStyle name="Accent4 2 4 2" xfId="13196"/>
    <cellStyle name="Accent4 2 5" xfId="13197"/>
    <cellStyle name="Accent4 3" xfId="514"/>
    <cellStyle name="Accent4 3 2" xfId="515"/>
    <cellStyle name="Accent4 3 2 2" xfId="13198"/>
    <cellStyle name="Accent4 3 3" xfId="13199"/>
    <cellStyle name="Accent4 4" xfId="516"/>
    <cellStyle name="Accent4 4 2" xfId="13200"/>
    <cellStyle name="Accent4 4 2 2" xfId="13201"/>
    <cellStyle name="Accent4 4 3" xfId="13202"/>
    <cellStyle name="Accent4 5" xfId="13203"/>
    <cellStyle name="Accent4 5 2" xfId="13204"/>
    <cellStyle name="Accent4 5 2 2" xfId="13205"/>
    <cellStyle name="Accent4 5 3" xfId="13206"/>
    <cellStyle name="Accent4 6" xfId="13207"/>
    <cellStyle name="Accent4 6 2" xfId="13208"/>
    <cellStyle name="Accent4 7" xfId="13209"/>
    <cellStyle name="Accent4 8" xfId="13210"/>
    <cellStyle name="Accent4 9" xfId="13211"/>
    <cellStyle name="Accent5 - 20%" xfId="13212"/>
    <cellStyle name="Accent5 - 20% 2" xfId="13213"/>
    <cellStyle name="Accent5 - 40%" xfId="13214"/>
    <cellStyle name="Accent5 - 40% 2" xfId="13215"/>
    <cellStyle name="Accent5 - 60%" xfId="13216"/>
    <cellStyle name="Accent5 - 60% 2" xfId="13217"/>
    <cellStyle name="Accent5 2" xfId="517"/>
    <cellStyle name="Accent5 2 2" xfId="518"/>
    <cellStyle name="Accent5 2 2 2" xfId="13218"/>
    <cellStyle name="Accent5 2 2 2 2" xfId="13219"/>
    <cellStyle name="Accent5 2 2 3" xfId="13220"/>
    <cellStyle name="Accent5 2 3" xfId="13221"/>
    <cellStyle name="Accent5 2 3 2" xfId="13222"/>
    <cellStyle name="Accent5 2 3 2 2" xfId="13223"/>
    <cellStyle name="Accent5 2 3 3" xfId="13224"/>
    <cellStyle name="Accent5 2 4" xfId="13225"/>
    <cellStyle name="Accent5 2 4 2" xfId="13226"/>
    <cellStyle name="Accent5 2 5" xfId="13227"/>
    <cellStyle name="Accent5 3" xfId="519"/>
    <cellStyle name="Accent5 3 2" xfId="13228"/>
    <cellStyle name="Accent5 3 2 2" xfId="13229"/>
    <cellStyle name="Accent5 3 3" xfId="13230"/>
    <cellStyle name="Accent5 4" xfId="520"/>
    <cellStyle name="Accent5 4 2" xfId="13231"/>
    <cellStyle name="Accent5 4 2 2" xfId="13232"/>
    <cellStyle name="Accent5 4 3" xfId="13233"/>
    <cellStyle name="Accent5 5" xfId="13234"/>
    <cellStyle name="Accent5 5 2" xfId="13235"/>
    <cellStyle name="Accent5 6" xfId="13236"/>
    <cellStyle name="Accent5 7" xfId="13237"/>
    <cellStyle name="Accent5 8" xfId="13238"/>
    <cellStyle name="Accent5 9" xfId="13239"/>
    <cellStyle name="Accent6 - 20%" xfId="13240"/>
    <cellStyle name="Accent6 - 20% 2" xfId="13241"/>
    <cellStyle name="Accent6 - 40%" xfId="13242"/>
    <cellStyle name="Accent6 - 40% 2" xfId="13243"/>
    <cellStyle name="Accent6 - 60%" xfId="13244"/>
    <cellStyle name="Accent6 - 60% 2" xfId="13245"/>
    <cellStyle name="Accent6 2" xfId="521"/>
    <cellStyle name="Accent6 2 2" xfId="522"/>
    <cellStyle name="Accent6 2 2 2" xfId="13246"/>
    <cellStyle name="Accent6 2 2 2 2" xfId="13247"/>
    <cellStyle name="Accent6 2 2 3" xfId="13248"/>
    <cellStyle name="Accent6 2 3" xfId="13249"/>
    <cellStyle name="Accent6 2 3 2" xfId="13250"/>
    <cellStyle name="Accent6 2 3 2 2" xfId="13251"/>
    <cellStyle name="Accent6 2 3 3" xfId="13252"/>
    <cellStyle name="Accent6 2 3 3 2" xfId="13253"/>
    <cellStyle name="Accent6 2 3 4" xfId="13254"/>
    <cellStyle name="Accent6 2 4" xfId="13255"/>
    <cellStyle name="Accent6 2 4 2" xfId="13256"/>
    <cellStyle name="Accent6 2 5" xfId="13257"/>
    <cellStyle name="Accent6 3" xfId="523"/>
    <cellStyle name="Accent6 3 2" xfId="524"/>
    <cellStyle name="Accent6 3 2 2" xfId="13258"/>
    <cellStyle name="Accent6 3 3" xfId="13259"/>
    <cellStyle name="Accent6 4" xfId="525"/>
    <cellStyle name="Accent6 4 2" xfId="13260"/>
    <cellStyle name="Accent6 4 2 2" xfId="13261"/>
    <cellStyle name="Accent6 4 3" xfId="13262"/>
    <cellStyle name="Accent6 5" xfId="13263"/>
    <cellStyle name="Accent6 5 2" xfId="13264"/>
    <cellStyle name="Accent6 5 2 2" xfId="13265"/>
    <cellStyle name="Accent6 5 3" xfId="13266"/>
    <cellStyle name="Accent6 6" xfId="13267"/>
    <cellStyle name="Accent6 6 2" xfId="13268"/>
    <cellStyle name="Accent6 7" xfId="13269"/>
    <cellStyle name="Accent6 8" xfId="13270"/>
    <cellStyle name="Accent6 9" xfId="13271"/>
    <cellStyle name="Bad 2" xfId="526"/>
    <cellStyle name="Bad 2 2" xfId="527"/>
    <cellStyle name="Bad 2 2 2" xfId="13272"/>
    <cellStyle name="Bad 2 2 2 2" xfId="13273"/>
    <cellStyle name="Bad 2 2 3" xfId="13274"/>
    <cellStyle name="Bad 2 3" xfId="13275"/>
    <cellStyle name="Bad 2 3 2" xfId="13276"/>
    <cellStyle name="Bad 2 3 2 2" xfId="13277"/>
    <cellStyle name="Bad 2 3 3" xfId="13278"/>
    <cellStyle name="Bad 2 3 3 2" xfId="13279"/>
    <cellStyle name="Bad 2 3 4" xfId="13280"/>
    <cellStyle name="Bad 2 4" xfId="13281"/>
    <cellStyle name="Bad 2 4 2" xfId="13282"/>
    <cellStyle name="Bad 2 5" xfId="13283"/>
    <cellStyle name="Bad 3" xfId="528"/>
    <cellStyle name="Bad 3 2" xfId="529"/>
    <cellStyle name="Bad 3 2 2" xfId="13284"/>
    <cellStyle name="Bad 3 3" xfId="13285"/>
    <cellStyle name="Bad 4" xfId="530"/>
    <cellStyle name="Bad 4 2" xfId="13286"/>
    <cellStyle name="Bad 4 2 2" xfId="13287"/>
    <cellStyle name="Bad 4 3" xfId="13288"/>
    <cellStyle name="Bad 5" xfId="13289"/>
    <cellStyle name="Bad 5 2" xfId="13290"/>
    <cellStyle name="Bad 5 2 2" xfId="13291"/>
    <cellStyle name="Bad 5 3" xfId="13292"/>
    <cellStyle name="Bad 6" xfId="13293"/>
    <cellStyle name="Bad 6 2" xfId="13294"/>
    <cellStyle name="Band 2" xfId="13295"/>
    <cellStyle name="Band 2 2" xfId="13296"/>
    <cellStyle name="blank" xfId="13297"/>
    <cellStyle name="bld-li - Style4" xfId="13298"/>
    <cellStyle name="bld-li - Style4 2" xfId="13299"/>
    <cellStyle name="bld-li - Style4 2 2" xfId="13300"/>
    <cellStyle name="bld-li - Style4 2 2 2" xfId="13301"/>
    <cellStyle name="bld-li - Style4 2 3" xfId="13302"/>
    <cellStyle name="bld-li - Style4 2 3 2" xfId="13303"/>
    <cellStyle name="bld-li - Style4 2 4" xfId="13304"/>
    <cellStyle name="bld-li - Style4 2 4 2" xfId="13305"/>
    <cellStyle name="bld-li - Style4 3" xfId="13306"/>
    <cellStyle name="bld-li - Style4 3 2" xfId="13307"/>
    <cellStyle name="bld-li - Style4 4" xfId="13308"/>
    <cellStyle name="bld-li - Style4 4 2" xfId="13309"/>
    <cellStyle name="bld-li - Style4 5" xfId="13310"/>
    <cellStyle name="bld-li - Style4 5 2" xfId="13311"/>
    <cellStyle name="BuffetDate162" xfId="13312"/>
    <cellStyle name="BuffetValue2" xfId="13313"/>
    <cellStyle name="C06_Main text" xfId="13314"/>
    <cellStyle name="C07_Main text Bold Green" xfId="13315"/>
    <cellStyle name="C08_2001 Col heads" xfId="13316"/>
    <cellStyle name="C10_2001 Figs Black" xfId="13317"/>
    <cellStyle name="C11_2002 Figs Bold Green" xfId="13318"/>
    <cellStyle name="C13_2001 Figs 1 decimals" xfId="13319"/>
    <cellStyle name="C15_Main text Bold Black" xfId="13320"/>
    <cellStyle name="Calc Currency (0)" xfId="13321"/>
    <cellStyle name="Calc Currency (0) 2" xfId="13322"/>
    <cellStyle name="Calc Currency (0) 2 2" xfId="13323"/>
    <cellStyle name="Calc Currency (0) 2 2 2" xfId="13324"/>
    <cellStyle name="Calc Currency (0) 2 3" xfId="13325"/>
    <cellStyle name="Calc Currency (0) 2 3 2" xfId="13326"/>
    <cellStyle name="Calc Currency (0) 2 4" xfId="13327"/>
    <cellStyle name="Calc Currency (0) 3" xfId="13328"/>
    <cellStyle name="Calculation 2" xfId="531"/>
    <cellStyle name="Calculation 2 2" xfId="532"/>
    <cellStyle name="Calculation 2 2 2" xfId="13329"/>
    <cellStyle name="Calculation 2 2 2 2" xfId="13330"/>
    <cellStyle name="Calculation 2 2 2 3" xfId="13331"/>
    <cellStyle name="Calculation 2 2 2 3 2" xfId="18429"/>
    <cellStyle name="Calculation 2 2 2 4" xfId="18428"/>
    <cellStyle name="Calculation 2 2 3" xfId="13332"/>
    <cellStyle name="Calculation 2 2 3 2" xfId="13333"/>
    <cellStyle name="Calculation 2 2 4" xfId="13334"/>
    <cellStyle name="Calculation 2 2 4 2" xfId="13335"/>
    <cellStyle name="Calculation 2 2 5" xfId="13336"/>
    <cellStyle name="Calculation 2 2 6" xfId="13337"/>
    <cellStyle name="Calculation 2 2 6 2" xfId="18430"/>
    <cellStyle name="Calculation 2 3" xfId="13338"/>
    <cellStyle name="Calculation 2 3 2" xfId="13339"/>
    <cellStyle name="Calculation 2 3 2 2" xfId="13340"/>
    <cellStyle name="Calculation 2 3 3" xfId="13341"/>
    <cellStyle name="Calculation 2 4" xfId="13342"/>
    <cellStyle name="Calculation 2 5" xfId="18265"/>
    <cellStyle name="Calculation 3" xfId="533"/>
    <cellStyle name="Calculation 3 2" xfId="534"/>
    <cellStyle name="Calculation 3 2 2" xfId="13343"/>
    <cellStyle name="Calculation 3 2 2 2" xfId="13344"/>
    <cellStyle name="Calculation 3 2 3" xfId="13345"/>
    <cellStyle name="Calculation 3 2 3 2" xfId="13346"/>
    <cellStyle name="Calculation 3 2 4" xfId="13347"/>
    <cellStyle name="Calculation 3 3" xfId="13348"/>
    <cellStyle name="Calculation 3 3 2" xfId="13349"/>
    <cellStyle name="Calculation 3 3 2 2" xfId="18432"/>
    <cellStyle name="Calculation 3 3 3" xfId="18431"/>
    <cellStyle name="Calculation 3 4" xfId="18266"/>
    <cellStyle name="Calculation 4" xfId="535"/>
    <cellStyle name="Calculation 4 2" xfId="13350"/>
    <cellStyle name="Calculation 4 2 2" xfId="13351"/>
    <cellStyle name="Calculation 4 3" xfId="13352"/>
    <cellStyle name="Calculation 5" xfId="13353"/>
    <cellStyle name="Calculation 5 2" xfId="13354"/>
    <cellStyle name="Calculation 5 2 2" xfId="13355"/>
    <cellStyle name="Calculation 5 3" xfId="13356"/>
    <cellStyle name="Calculation 6" xfId="13357"/>
    <cellStyle name="Calculation 6 2" xfId="13358"/>
    <cellStyle name="Calculation 6 2 2" xfId="13359"/>
    <cellStyle name="Calculation 6 3" xfId="13360"/>
    <cellStyle name="Calculation 6 3 2" xfId="13361"/>
    <cellStyle name="Calculation 6 4" xfId="13362"/>
    <cellStyle name="Calculation 7" xfId="13363"/>
    <cellStyle name="Calculation 7 2" xfId="13364"/>
    <cellStyle name="Calculation 7 2 2" xfId="13365"/>
    <cellStyle name="Calculation 7 3" xfId="13366"/>
    <cellStyle name="Calculation 8" xfId="13367"/>
    <cellStyle name="Calculation 8 2" xfId="13368"/>
    <cellStyle name="Calculation 8 2 2" xfId="13369"/>
    <cellStyle name="Calculation 8 3" xfId="13370"/>
    <cellStyle name="Calculation 9" xfId="13371"/>
    <cellStyle name="Calculation 9 2" xfId="13372"/>
    <cellStyle name="Calculation 9 2 2" xfId="13373"/>
    <cellStyle name="Calculation 9 3" xfId="13374"/>
    <cellStyle name="Check Cell 2" xfId="536"/>
    <cellStyle name="Check Cell 2 2" xfId="537"/>
    <cellStyle name="Check Cell 2 2 2" xfId="13375"/>
    <cellStyle name="Check Cell 2 2 2 2" xfId="13376"/>
    <cellStyle name="Check Cell 2 2 3" xfId="13377"/>
    <cellStyle name="Check Cell 2 3" xfId="13378"/>
    <cellStyle name="Check Cell 2 3 2" xfId="13379"/>
    <cellStyle name="Check Cell 2 3 2 2" xfId="13380"/>
    <cellStyle name="Check Cell 2 3 3" xfId="13381"/>
    <cellStyle name="Check Cell 2 4" xfId="13382"/>
    <cellStyle name="Check Cell 2 4 2" xfId="13383"/>
    <cellStyle name="Check Cell 2 5" xfId="13384"/>
    <cellStyle name="Check Cell 3" xfId="538"/>
    <cellStyle name="Check Cell 3 2" xfId="13385"/>
    <cellStyle name="Check Cell 3 2 2" xfId="13386"/>
    <cellStyle name="Check Cell 3 3" xfId="13387"/>
    <cellStyle name="Check Cell 4" xfId="539"/>
    <cellStyle name="Check Cell 4 2" xfId="13388"/>
    <cellStyle name="Check Cell 4 2 2" xfId="13389"/>
    <cellStyle name="Check Cell 4 3" xfId="13390"/>
    <cellStyle name="Check Cell 5" xfId="13391"/>
    <cellStyle name="Check Cell 5 2" xfId="13392"/>
    <cellStyle name="Check Cell 6" xfId="13393"/>
    <cellStyle name="CheckCell" xfId="13394"/>
    <cellStyle name="CheckCell 2" xfId="13395"/>
    <cellStyle name="CheckCell 2 2" xfId="13396"/>
    <cellStyle name="CheckCell 2 2 2" xfId="13397"/>
    <cellStyle name="CheckCell 2 3" xfId="13398"/>
    <cellStyle name="CheckCell 3" xfId="13399"/>
    <cellStyle name="CheckCell 3 2" xfId="13400"/>
    <cellStyle name="CheckCell 4" xfId="13401"/>
    <cellStyle name="CheckCell 4 2" xfId="13402"/>
    <cellStyle name="CheckCell 5" xfId="13403"/>
    <cellStyle name="CheckCell_Electric Rev Req Model (2009 GRC) Rebuttal" xfId="18228"/>
    <cellStyle name="ColumnHeading" xfId="13404"/>
    <cellStyle name="ColumnHeading 2" xfId="13405"/>
    <cellStyle name="ColumnHeadings" xfId="13406"/>
    <cellStyle name="ColumnHeadings2" xfId="13407"/>
    <cellStyle name="ColumnHeadings2 2" xfId="13408"/>
    <cellStyle name="ColumnHeadings2 2 2" xfId="13409"/>
    <cellStyle name="ColumnHeadings2 2 3" xfId="13410"/>
    <cellStyle name="ColumnHeadings2 2 4" xfId="13411"/>
    <cellStyle name="ColumnHeadings2 3" xfId="13412"/>
    <cellStyle name="ColumnHeadings2 4" xfId="13413"/>
    <cellStyle name="ColumnHeadings2 5" xfId="13414"/>
    <cellStyle name="Comma" xfId="1" builtinId="3"/>
    <cellStyle name="Comma  - Style1" xfId="13415"/>
    <cellStyle name="Comma  - Style2" xfId="13416"/>
    <cellStyle name="Comma  - Style3" xfId="13417"/>
    <cellStyle name="Comma  - Style4" xfId="13418"/>
    <cellStyle name="Comma  - Style5" xfId="13419"/>
    <cellStyle name="Comma  - Style6" xfId="13420"/>
    <cellStyle name="Comma  - Style7" xfId="13421"/>
    <cellStyle name="Comma  - Style8" xfId="13422"/>
    <cellStyle name="Comma 10" xfId="540"/>
    <cellStyle name="Comma 10 2" xfId="541"/>
    <cellStyle name="Comma 10 2 2" xfId="13423"/>
    <cellStyle name="Comma 10 2 2 2" xfId="891"/>
    <cellStyle name="Comma 10 2 2 3" xfId="3"/>
    <cellStyle name="Comma 10 2 3" xfId="13424"/>
    <cellStyle name="Comma 10 2 4" xfId="18268"/>
    <cellStyle name="Comma 10 2 5" xfId="20548"/>
    <cellStyle name="Comma 10 3" xfId="888"/>
    <cellStyle name="Comma 10 3 2" xfId="13425"/>
    <cellStyle name="Comma 10 3 3" xfId="20549"/>
    <cellStyle name="Comma 10 4" xfId="13426"/>
    <cellStyle name="Comma 10 4 2" xfId="20550"/>
    <cellStyle name="Comma 10 5" xfId="18267"/>
    <cellStyle name="Comma 10 6" xfId="20551"/>
    <cellStyle name="Comma 10 7" xfId="20552"/>
    <cellStyle name="Comma 10 8" xfId="20553"/>
    <cellStyle name="Comma 11" xfId="542"/>
    <cellStyle name="Comma 11 2" xfId="13427"/>
    <cellStyle name="Comma 11 2 2" xfId="13428"/>
    <cellStyle name="Comma 11 3" xfId="13429"/>
    <cellStyle name="Comma 11 3 2" xfId="13430"/>
    <cellStyle name="Comma 11 4" xfId="13431"/>
    <cellStyle name="Comma 12" xfId="543"/>
    <cellStyle name="Comma 12 2" xfId="13432"/>
    <cellStyle name="Comma 12 2 2" xfId="13433"/>
    <cellStyle name="Comma 12 3" xfId="13434"/>
    <cellStyle name="Comma 12 3 2" xfId="13435"/>
    <cellStyle name="Comma 12 4" xfId="13436"/>
    <cellStyle name="Comma 13" xfId="544"/>
    <cellStyle name="Comma 13 2" xfId="13437"/>
    <cellStyle name="Comma 13 2 2" xfId="13438"/>
    <cellStyle name="Comma 13 2 3" xfId="20554"/>
    <cellStyle name="Comma 13 3" xfId="13439"/>
    <cellStyle name="Comma 13 3 2" xfId="13440"/>
    <cellStyle name="Comma 13 4" xfId="13441"/>
    <cellStyle name="Comma 13 5" xfId="18269"/>
    <cellStyle name="Comma 13 6" xfId="20555"/>
    <cellStyle name="Comma 13 7" xfId="20556"/>
    <cellStyle name="Comma 14" xfId="13442"/>
    <cellStyle name="Comma 14 2" xfId="13443"/>
    <cellStyle name="Comma 14 2 2" xfId="13444"/>
    <cellStyle name="Comma 14 3" xfId="13445"/>
    <cellStyle name="Comma 14 3 2" xfId="13446"/>
    <cellStyle name="Comma 14 4" xfId="13447"/>
    <cellStyle name="Comma 14 5" xfId="20557"/>
    <cellStyle name="Comma 15" xfId="13448"/>
    <cellStyle name="Comma 15 2" xfId="13449"/>
    <cellStyle name="Comma 15 2 2" xfId="13450"/>
    <cellStyle name="Comma 15 3" xfId="13451"/>
    <cellStyle name="Comma 15 4" xfId="13452"/>
    <cellStyle name="Comma 15 5" xfId="20558"/>
    <cellStyle name="Comma 16" xfId="13453"/>
    <cellStyle name="Comma 16 2" xfId="13454"/>
    <cellStyle name="Comma 16 2 2" xfId="13455"/>
    <cellStyle name="Comma 16 2 2 2" xfId="13456"/>
    <cellStyle name="Comma 16 2 3" xfId="13457"/>
    <cellStyle name="Comma 16 3" xfId="13458"/>
    <cellStyle name="Comma 16 3 2" xfId="13459"/>
    <cellStyle name="Comma 16 4" xfId="13460"/>
    <cellStyle name="Comma 17" xfId="13461"/>
    <cellStyle name="Comma 17 2" xfId="13462"/>
    <cellStyle name="Comma 17 2 2" xfId="13463"/>
    <cellStyle name="Comma 17 3" xfId="13464"/>
    <cellStyle name="Comma 17 3 2" xfId="13465"/>
    <cellStyle name="Comma 17 4" xfId="13466"/>
    <cellStyle name="Comma 18" xfId="13467"/>
    <cellStyle name="Comma 18 2" xfId="13468"/>
    <cellStyle name="Comma 18 2 2" xfId="13469"/>
    <cellStyle name="Comma 18 2 2 2" xfId="13470"/>
    <cellStyle name="Comma 18 2 3" xfId="13471"/>
    <cellStyle name="Comma 18 3" xfId="13472"/>
    <cellStyle name="Comma 18 3 2" xfId="13473"/>
    <cellStyle name="Comma 18 4" xfId="13474"/>
    <cellStyle name="Comma 19" xfId="13475"/>
    <cellStyle name="Comma 19 2" xfId="13476"/>
    <cellStyle name="Comma 19 2 2" xfId="13477"/>
    <cellStyle name="Comma 19 3" xfId="13478"/>
    <cellStyle name="Comma 2" xfId="9"/>
    <cellStyle name="Comma 2 10" xfId="13479"/>
    <cellStyle name="Comma 2 10 2" xfId="13480"/>
    <cellStyle name="Comma 2 11" xfId="13481"/>
    <cellStyle name="Comma 2 2" xfId="545"/>
    <cellStyle name="Comma 2 2 2" xfId="13482"/>
    <cellStyle name="Comma 2 2 2 2" xfId="13483"/>
    <cellStyle name="Comma 2 2 2 2 2" xfId="13484"/>
    <cellStyle name="Comma 2 2 2 3" xfId="13485"/>
    <cellStyle name="Comma 2 2 2 3 2" xfId="13486"/>
    <cellStyle name="Comma 2 2 2 4" xfId="13487"/>
    <cellStyle name="Comma 2 2 3" xfId="13488"/>
    <cellStyle name="Comma 2 2 3 2" xfId="13489"/>
    <cellStyle name="Comma 2 2 4" xfId="13490"/>
    <cellStyle name="Comma 2 2 5" xfId="13491"/>
    <cellStyle name="Comma 2 2_DEM-WP(C) Chelan Power Costs" xfId="13492"/>
    <cellStyle name="Comma 2 3" xfId="13493"/>
    <cellStyle name="Comma 2 3 2" xfId="13494"/>
    <cellStyle name="Comma 2 3 2 2" xfId="13495"/>
    <cellStyle name="Comma 2 3 2 2 2" xfId="13496"/>
    <cellStyle name="Comma 2 3 2 3" xfId="13497"/>
    <cellStyle name="Comma 2 3 3" xfId="13498"/>
    <cellStyle name="Comma 2 3 3 2" xfId="13499"/>
    <cellStyle name="Comma 2 3 4" xfId="13500"/>
    <cellStyle name="Comma 2 4" xfId="13501"/>
    <cellStyle name="Comma 2 4 2" xfId="13502"/>
    <cellStyle name="Comma 2 4 2 2" xfId="13503"/>
    <cellStyle name="Comma 2 4 3" xfId="13504"/>
    <cellStyle name="Comma 2 5" xfId="13505"/>
    <cellStyle name="Comma 2 5 2" xfId="13506"/>
    <cellStyle name="Comma 2 5 2 2" xfId="13507"/>
    <cellStyle name="Comma 2 5 3" xfId="13508"/>
    <cellStyle name="Comma 2 6" xfId="13509"/>
    <cellStyle name="Comma 2 6 2" xfId="13510"/>
    <cellStyle name="Comma 2 6 2 2" xfId="13511"/>
    <cellStyle name="Comma 2 6 3" xfId="13512"/>
    <cellStyle name="Comma 2 7" xfId="13513"/>
    <cellStyle name="Comma 2 7 2" xfId="13514"/>
    <cellStyle name="Comma 2 7 2 2" xfId="13515"/>
    <cellStyle name="Comma 2 7 3" xfId="13516"/>
    <cellStyle name="Comma 2 8" xfId="13517"/>
    <cellStyle name="Comma 2 8 2" xfId="13518"/>
    <cellStyle name="Comma 2 8 2 2" xfId="13519"/>
    <cellStyle name="Comma 2 8 3" xfId="13520"/>
    <cellStyle name="Comma 2 9" xfId="13521"/>
    <cellStyle name="Comma 2 9 2" xfId="13522"/>
    <cellStyle name="Comma 2 9 2 2" xfId="13523"/>
    <cellStyle name="Comma 2 9 3" xfId="13524"/>
    <cellStyle name="Comma 2_4 31E Reg Asset  Liab and EXH D" xfId="13525"/>
    <cellStyle name="Comma 20" xfId="13526"/>
    <cellStyle name="Comma 20 2" xfId="13527"/>
    <cellStyle name="Comma 20 2 2" xfId="13528"/>
    <cellStyle name="Comma 20 3" xfId="13529"/>
    <cellStyle name="Comma 21" xfId="13530"/>
    <cellStyle name="Comma 21 2" xfId="13531"/>
    <cellStyle name="Comma 21 2 2" xfId="13532"/>
    <cellStyle name="Comma 21 3" xfId="13533"/>
    <cellStyle name="Comma 22" xfId="13534"/>
    <cellStyle name="Comma 22 2" xfId="13535"/>
    <cellStyle name="Comma 22 2 2" xfId="13536"/>
    <cellStyle name="Comma 22 3" xfId="13537"/>
    <cellStyle name="Comma 23" xfId="13538"/>
    <cellStyle name="Comma 23 2" xfId="13539"/>
    <cellStyle name="Comma 23 2 2" xfId="13540"/>
    <cellStyle name="Comma 23 3" xfId="13541"/>
    <cellStyle name="Comma 23 3 2" xfId="13542"/>
    <cellStyle name="Comma 23 3 2 2" xfId="18435"/>
    <cellStyle name="Comma 23 3 3" xfId="18434"/>
    <cellStyle name="Comma 23 4" xfId="13543"/>
    <cellStyle name="Comma 23 4 2" xfId="18436"/>
    <cellStyle name="Comma 23 5" xfId="18433"/>
    <cellStyle name="Comma 24" xfId="13544"/>
    <cellStyle name="Comma 24 2" xfId="13545"/>
    <cellStyle name="Comma 24 2 2" xfId="13546"/>
    <cellStyle name="Comma 24 3" xfId="13547"/>
    <cellStyle name="Comma 25" xfId="13548"/>
    <cellStyle name="Comma 25 2" xfId="13549"/>
    <cellStyle name="Comma 26" xfId="13550"/>
    <cellStyle name="Comma 26 2" xfId="13551"/>
    <cellStyle name="Comma 26 2 2" xfId="13552"/>
    <cellStyle name="Comma 26 3" xfId="13553"/>
    <cellStyle name="Comma 27" xfId="13554"/>
    <cellStyle name="Comma 27 2" xfId="13555"/>
    <cellStyle name="Comma 27 2 2" xfId="13556"/>
    <cellStyle name="Comma 27 3" xfId="13557"/>
    <cellStyle name="Comma 28" xfId="13558"/>
    <cellStyle name="Comma 28 2" xfId="13559"/>
    <cellStyle name="Comma 28 2 2" xfId="13560"/>
    <cellStyle name="Comma 28 3" xfId="13561"/>
    <cellStyle name="Comma 29" xfId="13562"/>
    <cellStyle name="Comma 29 2" xfId="13563"/>
    <cellStyle name="Comma 3" xfId="546"/>
    <cellStyle name="Comma 3 10" xfId="20559"/>
    <cellStyle name="Comma 3 11" xfId="20560"/>
    <cellStyle name="Comma 3 12" xfId="20561"/>
    <cellStyle name="Comma 3 2" xfId="547"/>
    <cellStyle name="Comma 3 2 2" xfId="13564"/>
    <cellStyle name="Comma 3 2 2 2" xfId="13565"/>
    <cellStyle name="Comma 3 2 3" xfId="13566"/>
    <cellStyle name="Comma 3 3" xfId="548"/>
    <cellStyle name="Comma 3 3 2" xfId="549"/>
    <cellStyle name="Comma 3 3 2 2" xfId="18272"/>
    <cellStyle name="Comma 3 3 2 3" xfId="20562"/>
    <cellStyle name="Comma 3 3 2 4" xfId="20563"/>
    <cellStyle name="Comma 3 3 2 5" xfId="20564"/>
    <cellStyle name="Comma 3 3 3" xfId="18271"/>
    <cellStyle name="Comma 3 3 3 2" xfId="20565"/>
    <cellStyle name="Comma 3 3 3 3" xfId="20566"/>
    <cellStyle name="Comma 3 3 4" xfId="20567"/>
    <cellStyle name="Comma 3 3 4 2" xfId="20568"/>
    <cellStyle name="Comma 3 3 5" xfId="20569"/>
    <cellStyle name="Comma 3 3 6" xfId="20570"/>
    <cellStyle name="Comma 3 3 7" xfId="20571"/>
    <cellStyle name="Comma 3 3 8" xfId="20572"/>
    <cellStyle name="Comma 3 4" xfId="550"/>
    <cellStyle name="Comma 3 4 2" xfId="13567"/>
    <cellStyle name="Comma 3 4 2 2" xfId="13568"/>
    <cellStyle name="Comma 3 4 3" xfId="13569"/>
    <cellStyle name="Comma 3 4 4" xfId="13570"/>
    <cellStyle name="Comma 3 4 5" xfId="13571"/>
    <cellStyle name="Comma 3 5" xfId="551"/>
    <cellStyle name="Comma 3 5 2" xfId="13572"/>
    <cellStyle name="Comma 3 5 3" xfId="18273"/>
    <cellStyle name="Comma 3 5 4" xfId="20573"/>
    <cellStyle name="Comma 3 6" xfId="13573"/>
    <cellStyle name="Comma 3 6 2" xfId="20574"/>
    <cellStyle name="Comma 3 7" xfId="18270"/>
    <cellStyle name="Comma 3 8" xfId="20575"/>
    <cellStyle name="Comma 3 9" xfId="20576"/>
    <cellStyle name="Comma 30" xfId="13574"/>
    <cellStyle name="Comma 30 2" xfId="13575"/>
    <cellStyle name="Comma 31" xfId="13576"/>
    <cellStyle name="Comma 31 2" xfId="13577"/>
    <cellStyle name="Comma 32" xfId="13578"/>
    <cellStyle name="Comma 32 2" xfId="13579"/>
    <cellStyle name="Comma 33" xfId="13580"/>
    <cellStyle name="Comma 33 2" xfId="13581"/>
    <cellStyle name="Comma 34" xfId="13582"/>
    <cellStyle name="Comma 34 2" xfId="13583"/>
    <cellStyle name="Comma 35" xfId="13584"/>
    <cellStyle name="Comma 35 2" xfId="13585"/>
    <cellStyle name="Comma 36" xfId="13586"/>
    <cellStyle name="Comma 36 2" xfId="13587"/>
    <cellStyle name="Comma 37" xfId="13588"/>
    <cellStyle name="Comma 37 2" xfId="13589"/>
    <cellStyle name="Comma 38" xfId="13590"/>
    <cellStyle name="Comma 38 2" xfId="13591"/>
    <cellStyle name="Comma 39" xfId="13592"/>
    <cellStyle name="Comma 4" xfId="552"/>
    <cellStyle name="Comma 4 2" xfId="553"/>
    <cellStyle name="Comma 4 2 2" xfId="13593"/>
    <cellStyle name="Comma 4 2 2 2" xfId="13594"/>
    <cellStyle name="Comma 4 2 2 2 2" xfId="13595"/>
    <cellStyle name="Comma 4 2 2 3" xfId="13596"/>
    <cellStyle name="Comma 4 2 3" xfId="13597"/>
    <cellStyle name="Comma 4 2 3 2" xfId="13598"/>
    <cellStyle name="Comma 4 2 4" xfId="13599"/>
    <cellStyle name="Comma 4 3" xfId="13600"/>
    <cellStyle name="Comma 4 3 2" xfId="13601"/>
    <cellStyle name="Comma 4 4" xfId="13602"/>
    <cellStyle name="Comma 4 4 2" xfId="13603"/>
    <cellStyle name="Comma 4 5" xfId="13604"/>
    <cellStyle name="Comma 40" xfId="13605"/>
    <cellStyle name="Comma 41" xfId="13606"/>
    <cellStyle name="Comma 42" xfId="13607"/>
    <cellStyle name="Comma 43" xfId="13608"/>
    <cellStyle name="Comma 44" xfId="13609"/>
    <cellStyle name="Comma 45" xfId="13610"/>
    <cellStyle name="Comma 46" xfId="13611"/>
    <cellStyle name="Comma 47" xfId="13612"/>
    <cellStyle name="Comma 47 2" xfId="13613"/>
    <cellStyle name="Comma 48" xfId="13614"/>
    <cellStyle name="Comma 48 2" xfId="13615"/>
    <cellStyle name="Comma 48 3" xfId="13616"/>
    <cellStyle name="Comma 48 3 2" xfId="18438"/>
    <cellStyle name="Comma 48 4" xfId="18437"/>
    <cellStyle name="Comma 49" xfId="13617"/>
    <cellStyle name="Comma 5" xfId="554"/>
    <cellStyle name="Comma 5 2" xfId="555"/>
    <cellStyle name="Comma 5 2 2" xfId="13618"/>
    <cellStyle name="Comma 5 2 2 2" xfId="13619"/>
    <cellStyle name="Comma 5 2 3" xfId="13620"/>
    <cellStyle name="Comma 5 3" xfId="13621"/>
    <cellStyle name="Comma 5 3 2" xfId="13622"/>
    <cellStyle name="Comma 5 4" xfId="13623"/>
    <cellStyle name="Comma 50" xfId="13624"/>
    <cellStyle name="Comma 50 2" xfId="13625"/>
    <cellStyle name="Comma 50 2 2" xfId="18440"/>
    <cellStyle name="Comma 50 3" xfId="18439"/>
    <cellStyle name="Comma 51" xfId="13626"/>
    <cellStyle name="Comma 51 2" xfId="13627"/>
    <cellStyle name="Comma 52" xfId="13628"/>
    <cellStyle name="Comma 52 2" xfId="13629"/>
    <cellStyle name="Comma 52 2 2" xfId="18442"/>
    <cellStyle name="Comma 52 3" xfId="18441"/>
    <cellStyle name="Comma 53" xfId="13630"/>
    <cellStyle name="Comma 53 2" xfId="18443"/>
    <cellStyle name="Comma 54" xfId="13631"/>
    <cellStyle name="Comma 55" xfId="21233"/>
    <cellStyle name="Comma 6" xfId="556"/>
    <cellStyle name="Comma 6 2" xfId="557"/>
    <cellStyle name="Comma 6 2 2" xfId="13632"/>
    <cellStyle name="Comma 6 2 2 2" xfId="13633"/>
    <cellStyle name="Comma 6 2 3" xfId="13634"/>
    <cellStyle name="Comma 6 2 3 2" xfId="13635"/>
    <cellStyle name="Comma 6 2 4" xfId="13636"/>
    <cellStyle name="Comma 6 3" xfId="13637"/>
    <cellStyle name="Comma 6 3 2" xfId="13638"/>
    <cellStyle name="Comma 6 4" xfId="13639"/>
    <cellStyle name="Comma 7" xfId="558"/>
    <cellStyle name="Comma 7 2" xfId="559"/>
    <cellStyle name="Comma 7 2 2" xfId="560"/>
    <cellStyle name="Comma 7 2 2 2" xfId="18276"/>
    <cellStyle name="Comma 7 2 2 3" xfId="20577"/>
    <cellStyle name="Comma 7 2 2 4" xfId="20578"/>
    <cellStyle name="Comma 7 2 2 5" xfId="20579"/>
    <cellStyle name="Comma 7 2 3" xfId="18275"/>
    <cellStyle name="Comma 7 2 3 2" xfId="20580"/>
    <cellStyle name="Comma 7 2 3 3" xfId="20581"/>
    <cellStyle name="Comma 7 2 4" xfId="20582"/>
    <cellStyle name="Comma 7 2 4 2" xfId="20583"/>
    <cellStyle name="Comma 7 2 5" xfId="20584"/>
    <cellStyle name="Comma 7 2 6" xfId="20585"/>
    <cellStyle name="Comma 7 2 7" xfId="20586"/>
    <cellStyle name="Comma 7 2 8" xfId="20587"/>
    <cellStyle name="Comma 7 3" xfId="561"/>
    <cellStyle name="Comma 7 3 2" xfId="13640"/>
    <cellStyle name="Comma 7 3 3" xfId="18277"/>
    <cellStyle name="Comma 7 3 4" xfId="20588"/>
    <cellStyle name="Comma 7 3 5" xfId="20589"/>
    <cellStyle name="Comma 7 4" xfId="13641"/>
    <cellStyle name="Comma 7 4 2" xfId="20590"/>
    <cellStyle name="Comma 7 4 3" xfId="20591"/>
    <cellStyle name="Comma 7 5" xfId="18274"/>
    <cellStyle name="Comma 7 5 2" xfId="20592"/>
    <cellStyle name="Comma 7 6" xfId="20593"/>
    <cellStyle name="Comma 7 7" xfId="20594"/>
    <cellStyle name="Comma 7 8" xfId="20595"/>
    <cellStyle name="Comma 7 9" xfId="20596"/>
    <cellStyle name="Comma 8" xfId="562"/>
    <cellStyle name="Comma 8 2" xfId="13642"/>
    <cellStyle name="Comma 8 2 2" xfId="13643"/>
    <cellStyle name="Comma 8 3" xfId="13644"/>
    <cellStyle name="Comma 8 3 2" xfId="13645"/>
    <cellStyle name="Comma 8 4" xfId="13646"/>
    <cellStyle name="Comma 9" xfId="563"/>
    <cellStyle name="Comma 9 2" xfId="564"/>
    <cellStyle name="Comma 9 2 2" xfId="13647"/>
    <cellStyle name="Comma 9 2 3" xfId="18279"/>
    <cellStyle name="Comma 9 2 4" xfId="20597"/>
    <cellStyle name="Comma 9 2 5" xfId="20598"/>
    <cellStyle name="Comma 9 3" xfId="13648"/>
    <cellStyle name="Comma 9 3 2" xfId="13649"/>
    <cellStyle name="Comma 9 3 3" xfId="20599"/>
    <cellStyle name="Comma 9 4" xfId="13650"/>
    <cellStyle name="Comma 9 4 2" xfId="20600"/>
    <cellStyle name="Comma 9 5" xfId="18278"/>
    <cellStyle name="Comma 9 6" xfId="20601"/>
    <cellStyle name="Comma 9 7" xfId="20602"/>
    <cellStyle name="Comma 9 8" xfId="20603"/>
    <cellStyle name="Comma_PCA Adj Agrmt Exhibit A3" xfId="21229"/>
    <cellStyle name="Comma0" xfId="13651"/>
    <cellStyle name="Comma0 - Style1" xfId="13652"/>
    <cellStyle name="Comma0 - Style2" xfId="13653"/>
    <cellStyle name="Comma0 - Style2 2" xfId="13654"/>
    <cellStyle name="Comma0 - Style4" xfId="13655"/>
    <cellStyle name="Comma0 - Style4 2" xfId="13656"/>
    <cellStyle name="Comma0 - Style5" xfId="13657"/>
    <cellStyle name="Comma0 - Style5 2" xfId="13658"/>
    <cellStyle name="Comma0 - Style5_Electric Rev Req Model (2009 GRC) Rebuttal" xfId="18229"/>
    <cellStyle name="Comma0 2" xfId="13659"/>
    <cellStyle name="Comma0 2 2" xfId="13660"/>
    <cellStyle name="Comma0 3" xfId="13661"/>
    <cellStyle name="Comma0 3 2" xfId="13662"/>
    <cellStyle name="Comma0 4" xfId="13663"/>
    <cellStyle name="Comma0 4 2" xfId="13664"/>
    <cellStyle name="Comma0 5" xfId="13665"/>
    <cellStyle name="Comma0 5 2" xfId="13666"/>
    <cellStyle name="Comma0 5 2 2" xfId="13667"/>
    <cellStyle name="Comma0 5 3" xfId="13668"/>
    <cellStyle name="Comma0 6" xfId="13669"/>
    <cellStyle name="Comma0_00COS Ind Allocators" xfId="13670"/>
    <cellStyle name="Comma1 - Style1" xfId="13671"/>
    <cellStyle name="Comma1 - Style1 2" xfId="13672"/>
    <cellStyle name="Comma1 - Style1_Electric Rev Req Model (2009 GRC) Rebuttal" xfId="18230"/>
    <cellStyle name="Comma1 - Style2" xfId="13673"/>
    <cellStyle name="Comment" xfId="13674"/>
    <cellStyle name="Copied" xfId="13675"/>
    <cellStyle name="Copied 2" xfId="13676"/>
    <cellStyle name="Copied 2 2" xfId="13677"/>
    <cellStyle name="Copied 2 2 2" xfId="13678"/>
    <cellStyle name="Copied 2 3" xfId="13679"/>
    <cellStyle name="Copied 3" xfId="13680"/>
    <cellStyle name="COST1" xfId="13681"/>
    <cellStyle name="COST1 2" xfId="13682"/>
    <cellStyle name="COST1 2 2" xfId="13683"/>
    <cellStyle name="COST1 2 2 2" xfId="13684"/>
    <cellStyle name="COST1 2 3" xfId="13685"/>
    <cellStyle name="COST1 3" xfId="13686"/>
    <cellStyle name="CountryTitle" xfId="13687"/>
    <cellStyle name="Curren - Style1" xfId="13688"/>
    <cellStyle name="Curren - Style1 2" xfId="13689"/>
    <cellStyle name="Curren - Style2" xfId="13690"/>
    <cellStyle name="Curren - Style2 2" xfId="13691"/>
    <cellStyle name="Curren - Style2_Electric Rev Req Model (2009 GRC) Rebuttal" xfId="18231"/>
    <cellStyle name="Curren - Style3" xfId="13692"/>
    <cellStyle name="Curren - Style4" xfId="13693"/>
    <cellStyle name="Curren - Style5" xfId="13694"/>
    <cellStyle name="Curren - Style5 2" xfId="13695"/>
    <cellStyle name="Curren - Style6" xfId="13696"/>
    <cellStyle name="Curren - Style6 2" xfId="13697"/>
    <cellStyle name="Curren - Style6_Electric Rev Req Model (2009 GRC) Rebuttal" xfId="18232"/>
    <cellStyle name="Currency" xfId="21227" builtinId="4"/>
    <cellStyle name="Currency 10" xfId="565"/>
    <cellStyle name="Currency 10 2" xfId="566"/>
    <cellStyle name="Currency 10 2 2" xfId="890"/>
    <cellStyle name="Currency 10 2 3" xfId="18281"/>
    <cellStyle name="Currency 10 2 4" xfId="20604"/>
    <cellStyle name="Currency 10 2 5" xfId="20605"/>
    <cellStyle name="Currency 10 3" xfId="13698"/>
    <cellStyle name="Currency 10 3 2" xfId="13699"/>
    <cellStyle name="Currency 10 3 3" xfId="20606"/>
    <cellStyle name="Currency 10 3 4" xfId="4"/>
    <cellStyle name="Currency 10 4" xfId="13700"/>
    <cellStyle name="Currency 10 4 2" xfId="20607"/>
    <cellStyle name="Currency 10 5" xfId="18280"/>
    <cellStyle name="Currency 10 6" xfId="20608"/>
    <cellStyle name="Currency 10 7" xfId="20609"/>
    <cellStyle name="Currency 10 8" xfId="20610"/>
    <cellStyle name="Currency 11" xfId="567"/>
    <cellStyle name="Currency 11 2" xfId="13701"/>
    <cellStyle name="Currency 11 2 2" xfId="13702"/>
    <cellStyle name="Currency 11 3" xfId="13703"/>
    <cellStyle name="Currency 11 3 2" xfId="13704"/>
    <cellStyle name="Currency 11 4" xfId="13705"/>
    <cellStyle name="Currency 12" xfId="568"/>
    <cellStyle name="Currency 12 2" xfId="13706"/>
    <cellStyle name="Currency 12 2 2" xfId="13707"/>
    <cellStyle name="Currency 12 2 2 2" xfId="13708"/>
    <cellStyle name="Currency 12 2 3" xfId="13709"/>
    <cellStyle name="Currency 12 3" xfId="13710"/>
    <cellStyle name="Currency 12 3 2" xfId="13711"/>
    <cellStyle name="Currency 12 3 2 2" xfId="13712"/>
    <cellStyle name="Currency 12 3 3" xfId="13713"/>
    <cellStyle name="Currency 12 4" xfId="13714"/>
    <cellStyle name="Currency 12 4 2" xfId="13715"/>
    <cellStyle name="Currency 12 4 2 2" xfId="13716"/>
    <cellStyle name="Currency 12 4 3" xfId="13717"/>
    <cellStyle name="Currency 12 5" xfId="13718"/>
    <cellStyle name="Currency 12 5 2" xfId="13719"/>
    <cellStyle name="Currency 12 6" xfId="13720"/>
    <cellStyle name="Currency 13" xfId="569"/>
    <cellStyle name="Currency 13 2" xfId="13721"/>
    <cellStyle name="Currency 13 2 2" xfId="13722"/>
    <cellStyle name="Currency 13 2 2 2" xfId="13723"/>
    <cellStyle name="Currency 13 2 3" xfId="13724"/>
    <cellStyle name="Currency 13 3" xfId="13725"/>
    <cellStyle name="Currency 13 3 2" xfId="13726"/>
    <cellStyle name="Currency 13 4" xfId="13727"/>
    <cellStyle name="Currency 13 4 2" xfId="13728"/>
    <cellStyle name="Currency 13 5" xfId="13729"/>
    <cellStyle name="Currency 13 6" xfId="18282"/>
    <cellStyle name="Currency 13 7" xfId="20611"/>
    <cellStyle name="Currency 14" xfId="13730"/>
    <cellStyle name="Currency 14 2" xfId="13731"/>
    <cellStyle name="Currency 14 2 2" xfId="20612"/>
    <cellStyle name="Currency 14 3" xfId="20613"/>
    <cellStyle name="Currency 14 4" xfId="20614"/>
    <cellStyle name="Currency 14 5" xfId="20615"/>
    <cellStyle name="Currency 15" xfId="13732"/>
    <cellStyle name="Currency 15 2" xfId="13733"/>
    <cellStyle name="Currency 15 2 2" xfId="13734"/>
    <cellStyle name="Currency 15 3" xfId="13735"/>
    <cellStyle name="Currency 15 3 2" xfId="13736"/>
    <cellStyle name="Currency 15 4" xfId="13737"/>
    <cellStyle name="Currency 16" xfId="13738"/>
    <cellStyle name="Currency 16 2" xfId="13739"/>
    <cellStyle name="Currency 16 2 2" xfId="13740"/>
    <cellStyle name="Currency 16 3" xfId="13741"/>
    <cellStyle name="Currency 17" xfId="13742"/>
    <cellStyle name="Currency 17 2" xfId="13743"/>
    <cellStyle name="Currency 18" xfId="13744"/>
    <cellStyle name="Currency 18 2" xfId="13745"/>
    <cellStyle name="Currency 19" xfId="13746"/>
    <cellStyle name="Currency 19 2" xfId="13747"/>
    <cellStyle name="Currency 2" xfId="12"/>
    <cellStyle name="Currency 2 10" xfId="13748"/>
    <cellStyle name="Currency 2 2" xfId="570"/>
    <cellStyle name="Currency 2 2 2" xfId="13749"/>
    <cellStyle name="Currency 2 2 2 2" xfId="13750"/>
    <cellStyle name="Currency 2 2 3" xfId="13751"/>
    <cellStyle name="Currency 2 2 3 2" xfId="13752"/>
    <cellStyle name="Currency 2 2 4" xfId="13753"/>
    <cellStyle name="Currency 2 2 5" xfId="18251"/>
    <cellStyle name="Currency 2 3" xfId="13754"/>
    <cellStyle name="Currency 2 3 2" xfId="13755"/>
    <cellStyle name="Currency 2 3 2 2" xfId="13756"/>
    <cellStyle name="Currency 2 3 3" xfId="13757"/>
    <cellStyle name="Currency 2 4" xfId="13758"/>
    <cellStyle name="Currency 2 4 2" xfId="13759"/>
    <cellStyle name="Currency 2 4 2 2" xfId="13760"/>
    <cellStyle name="Currency 2 4 3" xfId="13761"/>
    <cellStyle name="Currency 2 5" xfId="13762"/>
    <cellStyle name="Currency 2 5 2" xfId="13763"/>
    <cellStyle name="Currency 2 5 2 2" xfId="13764"/>
    <cellStyle name="Currency 2 5 3" xfId="13765"/>
    <cellStyle name="Currency 2 6" xfId="13766"/>
    <cellStyle name="Currency 2 6 2" xfId="13767"/>
    <cellStyle name="Currency 2 6 2 2" xfId="13768"/>
    <cellStyle name="Currency 2 6 3" xfId="13769"/>
    <cellStyle name="Currency 2 7" xfId="13770"/>
    <cellStyle name="Currency 2 7 2" xfId="13771"/>
    <cellStyle name="Currency 2 7 2 2" xfId="13772"/>
    <cellStyle name="Currency 2 7 3" xfId="13773"/>
    <cellStyle name="Currency 2 8" xfId="13774"/>
    <cellStyle name="Currency 2 8 2" xfId="13775"/>
    <cellStyle name="Currency 2 8 2 2" xfId="13776"/>
    <cellStyle name="Currency 2 8 3" xfId="13777"/>
    <cellStyle name="Currency 2 9" xfId="13778"/>
    <cellStyle name="Currency 2 9 2" xfId="13779"/>
    <cellStyle name="Currency 20" xfId="13780"/>
    <cellStyle name="Currency 20 2" xfId="13781"/>
    <cellStyle name="Currency 21" xfId="13782"/>
    <cellStyle name="Currency 21 2" xfId="13783"/>
    <cellStyle name="Currency 22" xfId="13784"/>
    <cellStyle name="Currency 22 2" xfId="13785"/>
    <cellStyle name="Currency 23" xfId="13786"/>
    <cellStyle name="Currency 23 2" xfId="13787"/>
    <cellStyle name="Currency 23 2 2" xfId="18445"/>
    <cellStyle name="Currency 23 3" xfId="18444"/>
    <cellStyle name="Currency 24" xfId="13788"/>
    <cellStyle name="Currency 24 2" xfId="18446"/>
    <cellStyle name="Currency 25" xfId="13789"/>
    <cellStyle name="Currency 26" xfId="21231"/>
    <cellStyle name="Currency 3" xfId="571"/>
    <cellStyle name="Currency 3 10" xfId="20616"/>
    <cellStyle name="Currency 3 11" xfId="20617"/>
    <cellStyle name="Currency 3 12" xfId="20618"/>
    <cellStyle name="Currency 3 13" xfId="20619"/>
    <cellStyle name="Currency 3 2" xfId="572"/>
    <cellStyle name="Currency 3 2 2" xfId="13790"/>
    <cellStyle name="Currency 3 2 2 2" xfId="13791"/>
    <cellStyle name="Currency 3 2 3" xfId="13792"/>
    <cellStyle name="Currency 3 3" xfId="573"/>
    <cellStyle name="Currency 3 3 2" xfId="574"/>
    <cellStyle name="Currency 3 3 2 2" xfId="18285"/>
    <cellStyle name="Currency 3 3 2 3" xfId="20620"/>
    <cellStyle name="Currency 3 3 2 4" xfId="20621"/>
    <cellStyle name="Currency 3 3 2 5" xfId="20622"/>
    <cellStyle name="Currency 3 3 3" xfId="18284"/>
    <cellStyle name="Currency 3 3 3 2" xfId="20623"/>
    <cellStyle name="Currency 3 3 3 3" xfId="20624"/>
    <cellStyle name="Currency 3 3 4" xfId="20625"/>
    <cellStyle name="Currency 3 3 4 2" xfId="20626"/>
    <cellStyle name="Currency 3 3 5" xfId="20627"/>
    <cellStyle name="Currency 3 3 6" xfId="20628"/>
    <cellStyle name="Currency 3 3 7" xfId="20629"/>
    <cellStyle name="Currency 3 3 8" xfId="20630"/>
    <cellStyle name="Currency 3 4" xfId="575"/>
    <cellStyle name="Currency 3 4 2" xfId="13793"/>
    <cellStyle name="Currency 3 4 2 2" xfId="13794"/>
    <cellStyle name="Currency 3 4 3" xfId="13795"/>
    <cellStyle name="Currency 3 4 4" xfId="13796"/>
    <cellStyle name="Currency 3 4 5" xfId="13797"/>
    <cellStyle name="Currency 3 5" xfId="576"/>
    <cellStyle name="Currency 3 5 2" xfId="18286"/>
    <cellStyle name="Currency 3 5 2 2" xfId="20631"/>
    <cellStyle name="Currency 3 5 3" xfId="20632"/>
    <cellStyle name="Currency 3 5 3 2" xfId="20633"/>
    <cellStyle name="Currency 3 5 4" xfId="20634"/>
    <cellStyle name="Currency 3 5 5" xfId="20635"/>
    <cellStyle name="Currency 3 5 6" xfId="20636"/>
    <cellStyle name="Currency 3 5 7" xfId="20637"/>
    <cellStyle name="Currency 3 6" xfId="18283"/>
    <cellStyle name="Currency 3 6 2" xfId="20638"/>
    <cellStyle name="Currency 3 6 2 2" xfId="20639"/>
    <cellStyle name="Currency 3 6 3" xfId="20640"/>
    <cellStyle name="Currency 3 6 3 2" xfId="20641"/>
    <cellStyle name="Currency 3 6 4" xfId="20642"/>
    <cellStyle name="Currency 3 6 5" xfId="20643"/>
    <cellStyle name="Currency 3 6 6" xfId="20644"/>
    <cellStyle name="Currency 3 7" xfId="20645"/>
    <cellStyle name="Currency 3 7 2" xfId="20646"/>
    <cellStyle name="Currency 3 7 2 2" xfId="20647"/>
    <cellStyle name="Currency 3 7 3" xfId="20648"/>
    <cellStyle name="Currency 3 7 4" xfId="20649"/>
    <cellStyle name="Currency 3 7 5" xfId="20650"/>
    <cellStyle name="Currency 3 8" xfId="20651"/>
    <cellStyle name="Currency 3 8 2" xfId="20652"/>
    <cellStyle name="Currency 3 9" xfId="20653"/>
    <cellStyle name="Currency 4" xfId="577"/>
    <cellStyle name="Currency 4 10" xfId="20654"/>
    <cellStyle name="Currency 4 11" xfId="20655"/>
    <cellStyle name="Currency 4 12" xfId="20656"/>
    <cellStyle name="Currency 4 13" xfId="20657"/>
    <cellStyle name="Currency 4 2" xfId="578"/>
    <cellStyle name="Currency 4 2 2" xfId="13798"/>
    <cellStyle name="Currency 4 2 2 2" xfId="13799"/>
    <cellStyle name="Currency 4 2 3" xfId="13800"/>
    <cellStyle name="Currency 4 2 3 2" xfId="13801"/>
    <cellStyle name="Currency 4 2 4" xfId="13802"/>
    <cellStyle name="Currency 4 3" xfId="579"/>
    <cellStyle name="Currency 4 3 2" xfId="580"/>
    <cellStyle name="Currency 4 3 2 2" xfId="18289"/>
    <cellStyle name="Currency 4 3 2 3" xfId="20658"/>
    <cellStyle name="Currency 4 3 2 4" xfId="20659"/>
    <cellStyle name="Currency 4 3 2 5" xfId="20660"/>
    <cellStyle name="Currency 4 3 3" xfId="18288"/>
    <cellStyle name="Currency 4 3 3 2" xfId="20661"/>
    <cellStyle name="Currency 4 3 3 3" xfId="20662"/>
    <cellStyle name="Currency 4 3 4" xfId="20663"/>
    <cellStyle name="Currency 4 3 4 2" xfId="20664"/>
    <cellStyle name="Currency 4 3 5" xfId="20665"/>
    <cellStyle name="Currency 4 3 6" xfId="20666"/>
    <cellStyle name="Currency 4 3 7" xfId="20667"/>
    <cellStyle name="Currency 4 3 8" xfId="20668"/>
    <cellStyle name="Currency 4 4" xfId="581"/>
    <cellStyle name="Currency 4 4 2" xfId="20669"/>
    <cellStyle name="Currency 4 4 3" xfId="20670"/>
    <cellStyle name="Currency 4 5" xfId="582"/>
    <cellStyle name="Currency 4 5 2" xfId="18290"/>
    <cellStyle name="Currency 4 5 3" xfId="20671"/>
    <cellStyle name="Currency 4 5 4" xfId="20672"/>
    <cellStyle name="Currency 4 6" xfId="18287"/>
    <cellStyle name="Currency 4 6 2" xfId="20673"/>
    <cellStyle name="Currency 4 7" xfId="20674"/>
    <cellStyle name="Currency 4 8" xfId="20675"/>
    <cellStyle name="Currency 4 9" xfId="20676"/>
    <cellStyle name="Currency 4_2009 GRC Compliance Filing (Electric) for Exh A-1" xfId="13803"/>
    <cellStyle name="Currency 5" xfId="583"/>
    <cellStyle name="Currency 5 2" xfId="584"/>
    <cellStyle name="Currency 5 2 2" xfId="13804"/>
    <cellStyle name="Currency 5 2 3" xfId="20677"/>
    <cellStyle name="Currency 5 3" xfId="13805"/>
    <cellStyle name="Currency 5 3 2" xfId="13806"/>
    <cellStyle name="Currency 5 4" xfId="13807"/>
    <cellStyle name="Currency 6" xfId="585"/>
    <cellStyle name="Currency 6 2" xfId="586"/>
    <cellStyle name="Currency 6 2 2" xfId="13808"/>
    <cellStyle name="Currency 6 2 3" xfId="20678"/>
    <cellStyle name="Currency 6 3" xfId="13809"/>
    <cellStyle name="Currency 6 3 2" xfId="13810"/>
    <cellStyle name="Currency 6 4" xfId="13811"/>
    <cellStyle name="Currency 7" xfId="587"/>
    <cellStyle name="Currency 7 10" xfId="20679"/>
    <cellStyle name="Currency 7 2" xfId="588"/>
    <cellStyle name="Currency 7 2 2" xfId="589"/>
    <cellStyle name="Currency 7 2 2 2" xfId="18293"/>
    <cellStyle name="Currency 7 2 2 3" xfId="20680"/>
    <cellStyle name="Currency 7 2 2 4" xfId="20681"/>
    <cellStyle name="Currency 7 2 2 5" xfId="20682"/>
    <cellStyle name="Currency 7 2 3" xfId="18292"/>
    <cellStyle name="Currency 7 2 3 2" xfId="20683"/>
    <cellStyle name="Currency 7 2 3 3" xfId="20684"/>
    <cellStyle name="Currency 7 2 4" xfId="20685"/>
    <cellStyle name="Currency 7 2 4 2" xfId="20686"/>
    <cellStyle name="Currency 7 2 5" xfId="20687"/>
    <cellStyle name="Currency 7 2 6" xfId="20688"/>
    <cellStyle name="Currency 7 2 7" xfId="20689"/>
    <cellStyle name="Currency 7 2 8" xfId="20690"/>
    <cellStyle name="Currency 7 3" xfId="590"/>
    <cellStyle name="Currency 7 3 2" xfId="13812"/>
    <cellStyle name="Currency 7 3 3" xfId="18294"/>
    <cellStyle name="Currency 7 3 4" xfId="20691"/>
    <cellStyle name="Currency 7 3 5" xfId="20692"/>
    <cellStyle name="Currency 7 4" xfId="13813"/>
    <cellStyle name="Currency 7 4 2" xfId="20693"/>
    <cellStyle name="Currency 7 4 3" xfId="20694"/>
    <cellStyle name="Currency 7 5" xfId="18291"/>
    <cellStyle name="Currency 7 5 2" xfId="20695"/>
    <cellStyle name="Currency 7 6" xfId="20696"/>
    <cellStyle name="Currency 7 7" xfId="20697"/>
    <cellStyle name="Currency 7 8" xfId="20698"/>
    <cellStyle name="Currency 7 9" xfId="20699"/>
    <cellStyle name="Currency 8" xfId="591"/>
    <cellStyle name="Currency 8 2" xfId="13814"/>
    <cellStyle name="Currency 8 2 2" xfId="13815"/>
    <cellStyle name="Currency 8 3" xfId="13816"/>
    <cellStyle name="Currency 8 3 2" xfId="13817"/>
    <cellStyle name="Currency 8 4" xfId="13818"/>
    <cellStyle name="Currency 9" xfId="592"/>
    <cellStyle name="Currency 9 2" xfId="593"/>
    <cellStyle name="Currency 9 2 2" xfId="13819"/>
    <cellStyle name="Currency 9 2 3" xfId="18296"/>
    <cellStyle name="Currency 9 2 4" xfId="20700"/>
    <cellStyle name="Currency 9 2 5" xfId="20701"/>
    <cellStyle name="Currency 9 3" xfId="13820"/>
    <cellStyle name="Currency 9 3 2" xfId="13821"/>
    <cellStyle name="Currency 9 3 3" xfId="20702"/>
    <cellStyle name="Currency 9 4" xfId="13822"/>
    <cellStyle name="Currency 9 4 2" xfId="20703"/>
    <cellStyle name="Currency 9 5" xfId="18295"/>
    <cellStyle name="Currency 9 6" xfId="20704"/>
    <cellStyle name="Currency 9 7" xfId="20705"/>
    <cellStyle name="Currency 9 8" xfId="20706"/>
    <cellStyle name="Currency0" xfId="13823"/>
    <cellStyle name="Currency0 2" xfId="13824"/>
    <cellStyle name="Currency0 2 2" xfId="13825"/>
    <cellStyle name="Currency0 2 2 2" xfId="13826"/>
    <cellStyle name="Currency0 2 3" xfId="13827"/>
    <cellStyle name="Currency0 2 3 2" xfId="13828"/>
    <cellStyle name="Currency0 2 4" xfId="13829"/>
    <cellStyle name="Currency0 3" xfId="13830"/>
    <cellStyle name="Currency0 3 2" xfId="13831"/>
    <cellStyle name="Currency0 3 3" xfId="13832"/>
    <cellStyle name="Currency0 4" xfId="13833"/>
    <cellStyle name="Currency0 4 2" xfId="13834"/>
    <cellStyle name="Currency0 4 2 2" xfId="13835"/>
    <cellStyle name="Currency0 4 3" xfId="13836"/>
    <cellStyle name="Currency0 4 4" xfId="13837"/>
    <cellStyle name="Currency0 5" xfId="13838"/>
    <cellStyle name="Currency0 5 2" xfId="13839"/>
    <cellStyle name="Currency0 5 2 2" xfId="13840"/>
    <cellStyle name="Currency0 5 3" xfId="13841"/>
    <cellStyle name="Currency0 5 3 2" xfId="13842"/>
    <cellStyle name="Currency0 5 4" xfId="13843"/>
    <cellStyle name="Currency0 6" xfId="13844"/>
    <cellStyle name="Currency0 6 2" xfId="13845"/>
    <cellStyle name="Currency0 7" xfId="13846"/>
    <cellStyle name="Currency0 7 2" xfId="13847"/>
    <cellStyle name="Currency0 7 2 2" xfId="13848"/>
    <cellStyle name="Currency0 7 3" xfId="13849"/>
    <cellStyle name="Currency0 8" xfId="13850"/>
    <cellStyle name="Currency0 8 2" xfId="13851"/>
    <cellStyle name="Currency0 8 2 2" xfId="13852"/>
    <cellStyle name="Currency0 8 3" xfId="13853"/>
    <cellStyle name="Currency0 9" xfId="13854"/>
    <cellStyle name="Date" xfId="13855"/>
    <cellStyle name="date 10" xfId="13856"/>
    <cellStyle name="Date 2" xfId="13857"/>
    <cellStyle name="Date 2 2" xfId="13858"/>
    <cellStyle name="Date 3" xfId="13859"/>
    <cellStyle name="Date 3 2" xfId="13860"/>
    <cellStyle name="Date 4" xfId="13861"/>
    <cellStyle name="Date 4 2" xfId="13862"/>
    <cellStyle name="Date 5" xfId="13863"/>
    <cellStyle name="Date 5 2" xfId="13864"/>
    <cellStyle name="Date 5 2 2" xfId="13865"/>
    <cellStyle name="Date 5 3" xfId="13866"/>
    <cellStyle name="Date 6" xfId="13867"/>
    <cellStyle name="date 7" xfId="13868"/>
    <cellStyle name="date 8" xfId="13869"/>
    <cellStyle name="date 9" xfId="13870"/>
    <cellStyle name="DateTime" xfId="13871"/>
    <cellStyle name="DateTime 2" xfId="13872"/>
    <cellStyle name="drp-sh - Style2" xfId="13873"/>
    <cellStyle name="Emphasis 1" xfId="13874"/>
    <cellStyle name="Emphasis 1 2" xfId="13875"/>
    <cellStyle name="Emphasis 2" xfId="13876"/>
    <cellStyle name="Emphasis 2 2" xfId="13877"/>
    <cellStyle name="Emphasis 3" xfId="13878"/>
    <cellStyle name="Emphasis 3 2" xfId="13879"/>
    <cellStyle name="Entered" xfId="13880"/>
    <cellStyle name="Entered 2" xfId="13881"/>
    <cellStyle name="Entered 2 2" xfId="13882"/>
    <cellStyle name="Entered 2 2 2" xfId="13883"/>
    <cellStyle name="Entered 2 3" xfId="13884"/>
    <cellStyle name="Entered 2 3 2" xfId="13885"/>
    <cellStyle name="Entered 2 4" xfId="13886"/>
    <cellStyle name="Entered 3" xfId="13887"/>
    <cellStyle name="Entered 3 2" xfId="13888"/>
    <cellStyle name="Entered 4" xfId="13889"/>
    <cellStyle name="Entered 4 2" xfId="13890"/>
    <cellStyle name="Entered 4 2 2" xfId="13891"/>
    <cellStyle name="Entered 4 3" xfId="13892"/>
    <cellStyle name="Entered 5" xfId="13893"/>
    <cellStyle name="Entered 5 2" xfId="13894"/>
    <cellStyle name="Entered 5 2 2" xfId="13895"/>
    <cellStyle name="Entered 5 3" xfId="13896"/>
    <cellStyle name="Entered 5 3 2" xfId="13897"/>
    <cellStyle name="Entered 5 4" xfId="13898"/>
    <cellStyle name="Entered 6" xfId="13899"/>
    <cellStyle name="Entered 6 2" xfId="13900"/>
    <cellStyle name="Entered 7" xfId="13901"/>
    <cellStyle name="Entered 7 2" xfId="13902"/>
    <cellStyle name="Entered 7 2 2" xfId="13903"/>
    <cellStyle name="Entered 7 3" xfId="13904"/>
    <cellStyle name="Entered 8" xfId="13905"/>
    <cellStyle name="Entered 8 2" xfId="13906"/>
    <cellStyle name="Entered 8 2 2" xfId="13907"/>
    <cellStyle name="Entered 8 3" xfId="13908"/>
    <cellStyle name="Entered 9" xfId="13909"/>
    <cellStyle name="Entered_AURORA Total New" xfId="13910"/>
    <cellStyle name="Euro" xfId="13911"/>
    <cellStyle name="Euro 2" xfId="13912"/>
    <cellStyle name="Euro 2 2" xfId="13913"/>
    <cellStyle name="Euro 2 2 2" xfId="13914"/>
    <cellStyle name="Euro 2 3" xfId="13915"/>
    <cellStyle name="Euro 2 3 2" xfId="13916"/>
    <cellStyle name="Euro 2 4" xfId="13917"/>
    <cellStyle name="Euro 3" xfId="13918"/>
    <cellStyle name="Euro 3 2" xfId="13919"/>
    <cellStyle name="Euro 4" xfId="13920"/>
    <cellStyle name="Euro 4 2" xfId="13921"/>
    <cellStyle name="Euro 4 2 2" xfId="13922"/>
    <cellStyle name="Euro 4 3" xfId="13923"/>
    <cellStyle name="Euro 5" xfId="13924"/>
    <cellStyle name="Euro 5 2" xfId="13925"/>
    <cellStyle name="Euro 5 2 2" xfId="13926"/>
    <cellStyle name="Euro 5 3" xfId="13927"/>
    <cellStyle name="Euro 5 3 2" xfId="13928"/>
    <cellStyle name="Euro 5 4" xfId="13929"/>
    <cellStyle name="Euro 6" xfId="13930"/>
    <cellStyle name="Euro 6 2" xfId="13931"/>
    <cellStyle name="Euro 7" xfId="13932"/>
    <cellStyle name="Euro 7 2" xfId="13933"/>
    <cellStyle name="Euro 7 2 2" xfId="13934"/>
    <cellStyle name="Euro 7 3" xfId="13935"/>
    <cellStyle name="Euro 8" xfId="13936"/>
    <cellStyle name="Euro 8 2" xfId="13937"/>
    <cellStyle name="Euro 8 2 2" xfId="13938"/>
    <cellStyle name="Euro 8 3" xfId="13939"/>
    <cellStyle name="Euro 9" xfId="13940"/>
    <cellStyle name="Explanatory Text 2" xfId="594"/>
    <cellStyle name="Explanatory Text 2 2" xfId="595"/>
    <cellStyle name="Explanatory Text 2 2 2" xfId="13941"/>
    <cellStyle name="Explanatory Text 2 2 2 2" xfId="13942"/>
    <cellStyle name="Explanatory Text 2 2 3" xfId="13943"/>
    <cellStyle name="Explanatory Text 2 3" xfId="13944"/>
    <cellStyle name="Explanatory Text 2 3 2" xfId="13945"/>
    <cellStyle name="Explanatory Text 2 3 2 2" xfId="13946"/>
    <cellStyle name="Explanatory Text 2 3 3" xfId="13947"/>
    <cellStyle name="Explanatory Text 2 4" xfId="13948"/>
    <cellStyle name="Explanatory Text 2 4 2" xfId="13949"/>
    <cellStyle name="Explanatory Text 2 5" xfId="13950"/>
    <cellStyle name="Explanatory Text 3" xfId="596"/>
    <cellStyle name="Explanatory Text 3 2" xfId="13951"/>
    <cellStyle name="Explanatory Text 3 2 2" xfId="13952"/>
    <cellStyle name="Explanatory Text 3 3" xfId="13953"/>
    <cellStyle name="Explanatory Text 4" xfId="597"/>
    <cellStyle name="Explanatory Text 4 2" xfId="13954"/>
    <cellStyle name="Explanatory Text 4 2 2" xfId="13955"/>
    <cellStyle name="Explanatory Text 4 3" xfId="13956"/>
    <cellStyle name="Explanatory Text 5" xfId="13957"/>
    <cellStyle name="Explanatory Text 5 2" xfId="13958"/>
    <cellStyle name="Explanatory Text 6" xfId="13959"/>
    <cellStyle name="FieldName" xfId="13960"/>
    <cellStyle name="FieldName 2" xfId="13961"/>
    <cellStyle name="FieldName 2 2" xfId="13962"/>
    <cellStyle name="FieldName 3" xfId="13963"/>
    <cellStyle name="Fixed" xfId="13964"/>
    <cellStyle name="Fixed 2" xfId="13965"/>
    <cellStyle name="Fixed 2 2" xfId="13966"/>
    <cellStyle name="Fixed 2 2 2" xfId="13967"/>
    <cellStyle name="Fixed 2 3" xfId="13968"/>
    <cellStyle name="Fixed 3" xfId="13969"/>
    <cellStyle name="Fixed 4" xfId="18233"/>
    <cellStyle name="Fixed3 - Style3" xfId="13970"/>
    <cellStyle name="Fixed3 - Style3 2" xfId="13971"/>
    <cellStyle name="Footnote" xfId="13972"/>
    <cellStyle name="FRxAmtStyle" xfId="13973"/>
    <cellStyle name="FRxAmtStyle 2" xfId="13974"/>
    <cellStyle name="FRxAmtStyle_Frederickson Pow - Acct Detail" xfId="13975"/>
    <cellStyle name="FRxCurrStyle" xfId="13976"/>
    <cellStyle name="FRxCurrStyle 2" xfId="13977"/>
    <cellStyle name="FRxPcntStyle" xfId="13978"/>
    <cellStyle name="FRxPcntStyle 2" xfId="13979"/>
    <cellStyle name="G01_2001 figures 1 decimal a" xfId="13980"/>
    <cellStyle name="G03_Text" xfId="13981"/>
    <cellStyle name="G05_Superiors" xfId="13982"/>
    <cellStyle name="G07_Bold_2002_figs_Green" xfId="13983"/>
    <cellStyle name="G08_2001_figs" xfId="13984"/>
    <cellStyle name="Good 2" xfId="598"/>
    <cellStyle name="Good 2 2" xfId="599"/>
    <cellStyle name="Good 2 2 2" xfId="13985"/>
    <cellStyle name="Good 2 2 2 2" xfId="13986"/>
    <cellStyle name="Good 2 2 3" xfId="13987"/>
    <cellStyle name="Good 2 3" xfId="13988"/>
    <cellStyle name="Good 2 3 2" xfId="13989"/>
    <cellStyle name="Good 2 3 2 2" xfId="13990"/>
    <cellStyle name="Good 2 3 3" xfId="13991"/>
    <cellStyle name="Good 2 3 3 2" xfId="13992"/>
    <cellStyle name="Good 2 3 4" xfId="13993"/>
    <cellStyle name="Good 2 4" xfId="13994"/>
    <cellStyle name="Good 2 4 2" xfId="13995"/>
    <cellStyle name="Good 2 5" xfId="13996"/>
    <cellStyle name="Good 3" xfId="600"/>
    <cellStyle name="Good 3 2" xfId="601"/>
    <cellStyle name="Good 3 2 2" xfId="13997"/>
    <cellStyle name="Good 3 3" xfId="13998"/>
    <cellStyle name="Good 4" xfId="602"/>
    <cellStyle name="Good 4 2" xfId="13999"/>
    <cellStyle name="Good 4 2 2" xfId="14000"/>
    <cellStyle name="Good 4 3" xfId="14001"/>
    <cellStyle name="Good 5" xfId="14002"/>
    <cellStyle name="Good 5 2" xfId="14003"/>
    <cellStyle name="Good 5 2 2" xfId="14004"/>
    <cellStyle name="Good 5 3" xfId="14005"/>
    <cellStyle name="Good 6" xfId="14006"/>
    <cellStyle name="Good 6 2" xfId="14007"/>
    <cellStyle name="Grey" xfId="603"/>
    <cellStyle name="Grey 2" xfId="604"/>
    <cellStyle name="Grey 2 2" xfId="14008"/>
    <cellStyle name="Grey 2 2 2" xfId="14009"/>
    <cellStyle name="Grey 2 3" xfId="14010"/>
    <cellStyle name="Grey 2 3 2" xfId="14011"/>
    <cellStyle name="Grey 2 4" xfId="14012"/>
    <cellStyle name="Grey 3" xfId="14013"/>
    <cellStyle name="Grey 3 2" xfId="14014"/>
    <cellStyle name="Grey 3 2 2" xfId="14015"/>
    <cellStyle name="Grey 3 3" xfId="14016"/>
    <cellStyle name="Grey 3 3 2" xfId="14017"/>
    <cellStyle name="Grey 3 4" xfId="14018"/>
    <cellStyle name="Grey 4" xfId="14019"/>
    <cellStyle name="Grey 4 2" xfId="14020"/>
    <cellStyle name="Grey 4 2 2" xfId="14021"/>
    <cellStyle name="Grey 4 3" xfId="14022"/>
    <cellStyle name="Grey 5" xfId="14023"/>
    <cellStyle name="Grey 5 2" xfId="14024"/>
    <cellStyle name="Grey 5 2 2" xfId="14025"/>
    <cellStyle name="Grey 5 2 2 2" xfId="14026"/>
    <cellStyle name="Grey 5 2 3" xfId="14027"/>
    <cellStyle name="Grey 5 3" xfId="14028"/>
    <cellStyle name="Grey 5 3 2" xfId="14029"/>
    <cellStyle name="Grey 5 4" xfId="14030"/>
    <cellStyle name="Grey 6" xfId="14031"/>
    <cellStyle name="Grey 6 2" xfId="14032"/>
    <cellStyle name="Grey 6 2 2" xfId="14033"/>
    <cellStyle name="Grey 6 3" xfId="14034"/>
    <cellStyle name="Grey 7" xfId="14035"/>
    <cellStyle name="Grey_(C) WHE Proforma with ITC cash grant 10 Yr Amort_for deferral_102809" xfId="14036"/>
    <cellStyle name="g-tota - Style7" xfId="14037"/>
    <cellStyle name="g-tota - Style7 2" xfId="14038"/>
    <cellStyle name="g-tota - Style7 2 2" xfId="14039"/>
    <cellStyle name="g-tota - Style7 2 2 2" xfId="14040"/>
    <cellStyle name="g-tota - Style7 2 3" xfId="14041"/>
    <cellStyle name="g-tota - Style7 2 3 2" xfId="14042"/>
    <cellStyle name="g-tota - Style7 2 4" xfId="14043"/>
    <cellStyle name="g-tota - Style7 2 4 2" xfId="14044"/>
    <cellStyle name="g-tota - Style7 3" xfId="14045"/>
    <cellStyle name="g-tota - Style7 3 2" xfId="14046"/>
    <cellStyle name="g-tota - Style7 4" xfId="14047"/>
    <cellStyle name="g-tota - Style7 4 2" xfId="14048"/>
    <cellStyle name="g-tota - Style7 5" xfId="14049"/>
    <cellStyle name="g-tota - Style7 5 2" xfId="14050"/>
    <cellStyle name="Header" xfId="14051"/>
    <cellStyle name="Header1" xfId="14052"/>
    <cellStyle name="Header1 2" xfId="14053"/>
    <cellStyle name="Header1 2 2" xfId="14054"/>
    <cellStyle name="Header1 3" xfId="14055"/>
    <cellStyle name="Header1 3 2" xfId="14056"/>
    <cellStyle name="Header1 3 2 2" xfId="14057"/>
    <cellStyle name="Header1 3 3" xfId="14058"/>
    <cellStyle name="Header1 4" xfId="14059"/>
    <cellStyle name="Header1_AURORA Total New" xfId="14060"/>
    <cellStyle name="Header2" xfId="14061"/>
    <cellStyle name="Header2 2" xfId="14062"/>
    <cellStyle name="Header2 2 2" xfId="14063"/>
    <cellStyle name="Header2 2 3" xfId="14064"/>
    <cellStyle name="Header2 2 4" xfId="14065"/>
    <cellStyle name="Header2 3" xfId="14066"/>
    <cellStyle name="Header2 3 2" xfId="14067"/>
    <cellStyle name="Header2 3 2 2" xfId="14068"/>
    <cellStyle name="Header2 3 2 3" xfId="14069"/>
    <cellStyle name="Header2 3 2 4" xfId="14070"/>
    <cellStyle name="Header2 3 3" xfId="14071"/>
    <cellStyle name="Header2 3 4" xfId="14072"/>
    <cellStyle name="Header2 3 5" xfId="14073"/>
    <cellStyle name="Header2 4" xfId="14074"/>
    <cellStyle name="Header2 5" xfId="14075"/>
    <cellStyle name="Header2 6" xfId="14076"/>
    <cellStyle name="Header2_AURORA Total New" xfId="14077"/>
    <cellStyle name="Heading" xfId="14078"/>
    <cellStyle name="Heading 1 2" xfId="605"/>
    <cellStyle name="Heading 1 2 2" xfId="606"/>
    <cellStyle name="Heading 1 2 2 2" xfId="14079"/>
    <cellStyle name="Heading 1 2 2 2 2" xfId="14080"/>
    <cellStyle name="Heading 1 2 2 3" xfId="14081"/>
    <cellStyle name="Heading 1 2 3" xfId="14082"/>
    <cellStyle name="Heading 1 2 3 2" xfId="14083"/>
    <cellStyle name="Heading 1 2 3 2 2" xfId="14084"/>
    <cellStyle name="Heading 1 2 3 3" xfId="14085"/>
    <cellStyle name="Heading 1 2 3 3 2" xfId="14086"/>
    <cellStyle name="Heading 1 2 3 4" xfId="14087"/>
    <cellStyle name="Heading 1 2 4" xfId="14088"/>
    <cellStyle name="Heading 1 2 4 2" xfId="14089"/>
    <cellStyle name="Heading 1 2 5" xfId="14090"/>
    <cellStyle name="Heading 1 2 5 2" xfId="14091"/>
    <cellStyle name="Heading 1 2 6" xfId="14092"/>
    <cellStyle name="Heading 1 3" xfId="607"/>
    <cellStyle name="Heading 1 3 2" xfId="608"/>
    <cellStyle name="Heading 1 3 2 2" xfId="14093"/>
    <cellStyle name="Heading 1 3 3" xfId="14094"/>
    <cellStyle name="Heading 1 4" xfId="14095"/>
    <cellStyle name="Heading 1 4 2" xfId="14096"/>
    <cellStyle name="Heading 1 4 2 2" xfId="14097"/>
    <cellStyle name="Heading 1 4 3" xfId="14098"/>
    <cellStyle name="Heading 1 5" xfId="14099"/>
    <cellStyle name="Heading 1 5 2" xfId="14100"/>
    <cellStyle name="Heading 1 9" xfId="14101"/>
    <cellStyle name="Heading 1 9 2" xfId="14102"/>
    <cellStyle name="Heading 2 2" xfId="609"/>
    <cellStyle name="Heading 2 2 2" xfId="610"/>
    <cellStyle name="Heading 2 2 2 2" xfId="14103"/>
    <cellStyle name="Heading 2 2 2 2 2" xfId="14104"/>
    <cellStyle name="Heading 2 2 2 3" xfId="14105"/>
    <cellStyle name="Heading 2 2 3" xfId="14106"/>
    <cellStyle name="Heading 2 2 3 2" xfId="14107"/>
    <cellStyle name="Heading 2 2 3 2 2" xfId="14108"/>
    <cellStyle name="Heading 2 2 3 3" xfId="14109"/>
    <cellStyle name="Heading 2 2 3 3 2" xfId="14110"/>
    <cellStyle name="Heading 2 2 3 4" xfId="14111"/>
    <cellStyle name="Heading 2 2 4" xfId="14112"/>
    <cellStyle name="Heading 2 2 4 2" xfId="14113"/>
    <cellStyle name="Heading 2 2 5" xfId="14114"/>
    <cellStyle name="Heading 2 2 5 2" xfId="14115"/>
    <cellStyle name="Heading 2 2 6" xfId="14116"/>
    <cellStyle name="Heading 2 3" xfId="611"/>
    <cellStyle name="Heading 2 3 2" xfId="612"/>
    <cellStyle name="Heading 2 3 2 2" xfId="14117"/>
    <cellStyle name="Heading 2 3 3" xfId="14118"/>
    <cellStyle name="Heading 2 4" xfId="14119"/>
    <cellStyle name="Heading 2 4 2" xfId="14120"/>
    <cellStyle name="Heading 2 4 2 2" xfId="14121"/>
    <cellStyle name="Heading 2 4 3" xfId="14122"/>
    <cellStyle name="Heading 2 5" xfId="14123"/>
    <cellStyle name="Heading 2 5 2" xfId="14124"/>
    <cellStyle name="Heading 2 9" xfId="14125"/>
    <cellStyle name="Heading 2 9 2" xfId="14126"/>
    <cellStyle name="Heading 3 2" xfId="613"/>
    <cellStyle name="Heading 3 2 10" xfId="14127"/>
    <cellStyle name="Heading 3 2 2" xfId="614"/>
    <cellStyle name="Heading 3 2 2 2" xfId="14128"/>
    <cellStyle name="Heading 3 2 2 2 2" xfId="14129"/>
    <cellStyle name="Heading 3 2 2 2 3" xfId="14130"/>
    <cellStyle name="Heading 3 2 2 2 3 2" xfId="14131"/>
    <cellStyle name="Heading 3 2 2 2 3 3" xfId="14132"/>
    <cellStyle name="Heading 3 2 2 2 3 4" xfId="14133"/>
    <cellStyle name="Heading 3 2 2 2 4" xfId="14134"/>
    <cellStyle name="Heading 3 2 2 2 5" xfId="14135"/>
    <cellStyle name="Heading 3 2 2 2 6" xfId="14136"/>
    <cellStyle name="Heading 3 2 2 3" xfId="14137"/>
    <cellStyle name="Heading 3 2 2 4" xfId="14138"/>
    <cellStyle name="Heading 3 2 2 4 2" xfId="14139"/>
    <cellStyle name="Heading 3 2 2 4 3" xfId="14140"/>
    <cellStyle name="Heading 3 2 2 4 4" xfId="14141"/>
    <cellStyle name="Heading 3 2 2 5" xfId="14142"/>
    <cellStyle name="Heading 3 2 2 6" xfId="14143"/>
    <cellStyle name="Heading 3 2 2 7" xfId="14144"/>
    <cellStyle name="Heading 3 2 3" xfId="14145"/>
    <cellStyle name="Heading 3 2 3 2" xfId="14146"/>
    <cellStyle name="Heading 3 2 3 2 2" xfId="14147"/>
    <cellStyle name="Heading 3 2 3 3" xfId="14148"/>
    <cellStyle name="Heading 3 2 3 3 2" xfId="14149"/>
    <cellStyle name="Heading 3 2 3 4" xfId="14150"/>
    <cellStyle name="Heading 3 2 3 4 2" xfId="14151"/>
    <cellStyle name="Heading 3 2 3 5" xfId="14152"/>
    <cellStyle name="Heading 3 2 3 6" xfId="14153"/>
    <cellStyle name="Heading 3 2 3 6 2" xfId="14154"/>
    <cellStyle name="Heading 3 2 3 6 3" xfId="14155"/>
    <cellStyle name="Heading 3 2 3 6 4" xfId="14156"/>
    <cellStyle name="Heading 3 2 3 7" xfId="14157"/>
    <cellStyle name="Heading 3 2 3 8" xfId="14158"/>
    <cellStyle name="Heading 3 2 3 9" xfId="14159"/>
    <cellStyle name="Heading 3 2 4" xfId="14160"/>
    <cellStyle name="Heading 3 2 4 2" xfId="14161"/>
    <cellStyle name="Heading 3 2 4 3" xfId="14162"/>
    <cellStyle name="Heading 3 2 4 3 2" xfId="14163"/>
    <cellStyle name="Heading 3 2 4 3 3" xfId="14164"/>
    <cellStyle name="Heading 3 2 4 3 4" xfId="14165"/>
    <cellStyle name="Heading 3 2 4 4" xfId="14166"/>
    <cellStyle name="Heading 3 2 4 5" xfId="14167"/>
    <cellStyle name="Heading 3 2 4 6" xfId="14168"/>
    <cellStyle name="Heading 3 2 5" xfId="14169"/>
    <cellStyle name="Heading 3 2 5 2" xfId="14170"/>
    <cellStyle name="Heading 3 2 6" xfId="14171"/>
    <cellStyle name="Heading 3 2 7" xfId="14172"/>
    <cellStyle name="Heading 3 2 7 2" xfId="14173"/>
    <cellStyle name="Heading 3 2 7 3" xfId="14174"/>
    <cellStyle name="Heading 3 2 7 4" xfId="14175"/>
    <cellStyle name="Heading 3 2 8" xfId="14176"/>
    <cellStyle name="Heading 3 2 9" xfId="14177"/>
    <cellStyle name="Heading 3 3" xfId="615"/>
    <cellStyle name="Heading 3 3 2" xfId="616"/>
    <cellStyle name="Heading 3 3 2 2" xfId="14178"/>
    <cellStyle name="Heading 3 3 2 3" xfId="14179"/>
    <cellStyle name="Heading 3 3 2 3 2" xfId="14180"/>
    <cellStyle name="Heading 3 3 2 3 3" xfId="14181"/>
    <cellStyle name="Heading 3 3 2 3 4" xfId="14182"/>
    <cellStyle name="Heading 3 3 2 4" xfId="14183"/>
    <cellStyle name="Heading 3 3 2 5" xfId="14184"/>
    <cellStyle name="Heading 3 3 2 6" xfId="14185"/>
    <cellStyle name="Heading 3 3 3" xfId="14186"/>
    <cellStyle name="Heading 3 3 4" xfId="14187"/>
    <cellStyle name="Heading 3 3 4 2" xfId="14188"/>
    <cellStyle name="Heading 3 3 4 3" xfId="14189"/>
    <cellStyle name="Heading 3 3 4 4" xfId="14190"/>
    <cellStyle name="Heading 3 3 5" xfId="14191"/>
    <cellStyle name="Heading 3 3 6" xfId="14192"/>
    <cellStyle name="Heading 3 3 7" xfId="14193"/>
    <cellStyle name="Heading 3 4" xfId="14194"/>
    <cellStyle name="Heading 3 4 2" xfId="14195"/>
    <cellStyle name="Heading 3 4 2 2" xfId="14196"/>
    <cellStyle name="Heading 3 4 3" xfId="14197"/>
    <cellStyle name="Heading 3 4 4" xfId="14198"/>
    <cellStyle name="Heading 3 4 4 2" xfId="14199"/>
    <cellStyle name="Heading 3 4 4 3" xfId="14200"/>
    <cellStyle name="Heading 3 4 4 4" xfId="14201"/>
    <cellStyle name="Heading 3 4 5" xfId="14202"/>
    <cellStyle name="Heading 3 4 6" xfId="14203"/>
    <cellStyle name="Heading 3 4 7" xfId="14204"/>
    <cellStyle name="Heading 3 5" xfId="14205"/>
    <cellStyle name="Heading 3 5 2" xfId="14206"/>
    <cellStyle name="Heading 3 5 2 2" xfId="14207"/>
    <cellStyle name="Heading 3 5 3" xfId="14208"/>
    <cellStyle name="Heading 3 6" xfId="14209"/>
    <cellStyle name="Heading 3 6 2" xfId="14210"/>
    <cellStyle name="Heading 3 7" xfId="14211"/>
    <cellStyle name="Heading 3 7 2" xfId="14212"/>
    <cellStyle name="Heading 3 7 3" xfId="14213"/>
    <cellStyle name="Heading 3 7 4" xfId="14214"/>
    <cellStyle name="Heading 4 2" xfId="617"/>
    <cellStyle name="Heading 4 2 2" xfId="618"/>
    <cellStyle name="Heading 4 2 2 2" xfId="14215"/>
    <cellStyle name="Heading 4 2 2 2 2" xfId="14216"/>
    <cellStyle name="Heading 4 2 2 3" xfId="14217"/>
    <cellStyle name="Heading 4 2 3" xfId="14218"/>
    <cellStyle name="Heading 4 2 3 2" xfId="14219"/>
    <cellStyle name="Heading 4 2 3 2 2" xfId="14220"/>
    <cellStyle name="Heading 4 2 3 3" xfId="14221"/>
    <cellStyle name="Heading 4 2 3 3 2" xfId="14222"/>
    <cellStyle name="Heading 4 2 3 4" xfId="14223"/>
    <cellStyle name="Heading 4 2 4" xfId="14224"/>
    <cellStyle name="Heading 4 2 4 2" xfId="14225"/>
    <cellStyle name="Heading 4 2 5" xfId="14226"/>
    <cellStyle name="Heading 4 2 5 2" xfId="14227"/>
    <cellStyle name="Heading 4 2 6" xfId="14228"/>
    <cellStyle name="Heading 4 3" xfId="619"/>
    <cellStyle name="Heading 4 3 2" xfId="620"/>
    <cellStyle name="Heading 4 3 2 2" xfId="14229"/>
    <cellStyle name="Heading 4 3 3" xfId="14230"/>
    <cellStyle name="Heading 4 4" xfId="14231"/>
    <cellStyle name="Heading 4 4 2" xfId="14232"/>
    <cellStyle name="Heading 4 4 2 2" xfId="14233"/>
    <cellStyle name="Heading 4 4 3" xfId="14234"/>
    <cellStyle name="Heading 4 5" xfId="14235"/>
    <cellStyle name="Heading 4 5 2" xfId="14236"/>
    <cellStyle name="Heading 4 5 2 2" xfId="14237"/>
    <cellStyle name="Heading 4 5 3" xfId="14238"/>
    <cellStyle name="Heading 4 6" xfId="14239"/>
    <cellStyle name="Heading 4 6 2" xfId="14240"/>
    <cellStyle name="Heading1" xfId="14241"/>
    <cellStyle name="Heading1 2" xfId="14242"/>
    <cellStyle name="Heading1 2 2" xfId="14243"/>
    <cellStyle name="Heading1 3" xfId="14244"/>
    <cellStyle name="Heading1 3 2" xfId="14245"/>
    <cellStyle name="Heading1 3 2 2" xfId="14246"/>
    <cellStyle name="Heading1 3 3" xfId="14247"/>
    <cellStyle name="Heading1 4" xfId="14248"/>
    <cellStyle name="Heading2" xfId="14249"/>
    <cellStyle name="Heading2 2" xfId="14250"/>
    <cellStyle name="Heading2 2 2" xfId="14251"/>
    <cellStyle name="Heading2 3" xfId="14252"/>
    <cellStyle name="Heading2 3 2" xfId="14253"/>
    <cellStyle name="Heading2 3 2 2" xfId="14254"/>
    <cellStyle name="Heading2 3 3" xfId="14255"/>
    <cellStyle name="Heading2 4" xfId="14256"/>
    <cellStyle name="HeadlineStyle" xfId="14257"/>
    <cellStyle name="HeadlineStyle 2" xfId="14258"/>
    <cellStyle name="HeadlineStyle 2 2" xfId="14259"/>
    <cellStyle name="HeadlineStyle 3" xfId="14260"/>
    <cellStyle name="HeadlineStyleJustified" xfId="14261"/>
    <cellStyle name="HeadlineStyleJustified 2" xfId="14262"/>
    <cellStyle name="HeadlineStyleJustified 2 2" xfId="14263"/>
    <cellStyle name="HeadlineStyleJustified 3" xfId="14264"/>
    <cellStyle name="Hyperlink 2" xfId="14265"/>
    <cellStyle name="Hyperlink 2 2" xfId="14266"/>
    <cellStyle name="Input [yellow]" xfId="621"/>
    <cellStyle name="Input [yellow] 2" xfId="622"/>
    <cellStyle name="Input [yellow] 2 2" xfId="14267"/>
    <cellStyle name="Input [yellow] 2 2 2" xfId="14268"/>
    <cellStyle name="Input [yellow] 2 2 2 2" xfId="14269"/>
    <cellStyle name="Input [yellow] 2 2 3" xfId="14270"/>
    <cellStyle name="Input [yellow] 2 3" xfId="14271"/>
    <cellStyle name="Input [yellow] 2 3 2" xfId="14272"/>
    <cellStyle name="Input [yellow] 2 4" xfId="14273"/>
    <cellStyle name="Input [yellow] 2 5" xfId="14274"/>
    <cellStyle name="Input [yellow] 3" xfId="14275"/>
    <cellStyle name="Input [yellow] 3 2" xfId="14276"/>
    <cellStyle name="Input [yellow] 3 2 2" xfId="14277"/>
    <cellStyle name="Input [yellow] 3 2 2 2" xfId="14278"/>
    <cellStyle name="Input [yellow] 3 2 3" xfId="14279"/>
    <cellStyle name="Input [yellow] 3 3" xfId="14280"/>
    <cellStyle name="Input [yellow] 3 3 2" xfId="14281"/>
    <cellStyle name="Input [yellow] 3 4" xfId="14282"/>
    <cellStyle name="Input [yellow] 3 5" xfId="14283"/>
    <cellStyle name="Input [yellow] 4" xfId="14284"/>
    <cellStyle name="Input [yellow] 4 2" xfId="14285"/>
    <cellStyle name="Input [yellow] 4 2 2" xfId="14286"/>
    <cellStyle name="Input [yellow] 4 2 3" xfId="14287"/>
    <cellStyle name="Input [yellow] 4 3" xfId="14288"/>
    <cellStyle name="Input [yellow] 4 4" xfId="14289"/>
    <cellStyle name="Input [yellow] 5" xfId="14290"/>
    <cellStyle name="Input [yellow] 5 2" xfId="14291"/>
    <cellStyle name="Input [yellow] 5 2 2" xfId="14292"/>
    <cellStyle name="Input [yellow] 5 2 2 2" xfId="14293"/>
    <cellStyle name="Input [yellow] 5 2 3" xfId="14294"/>
    <cellStyle name="Input [yellow] 5 2 4" xfId="14295"/>
    <cellStyle name="Input [yellow] 5 3" xfId="14296"/>
    <cellStyle name="Input [yellow] 5 3 2" xfId="14297"/>
    <cellStyle name="Input [yellow] 5 4" xfId="14298"/>
    <cellStyle name="Input [yellow] 5 5" xfId="14299"/>
    <cellStyle name="Input [yellow] 6" xfId="14300"/>
    <cellStyle name="Input [yellow] 6 2" xfId="14301"/>
    <cellStyle name="Input [yellow] 6 2 2" xfId="14302"/>
    <cellStyle name="Input [yellow] 6 3" xfId="14303"/>
    <cellStyle name="Input [yellow] 6 4" xfId="14304"/>
    <cellStyle name="Input [yellow] 7" xfId="14305"/>
    <cellStyle name="Input [yellow] 8" xfId="14306"/>
    <cellStyle name="Input [yellow]_(C) WHE Proforma with ITC cash grant 10 Yr Amort_for deferral_102809" xfId="14307"/>
    <cellStyle name="Input 10" xfId="14308"/>
    <cellStyle name="Input 10 2" xfId="14309"/>
    <cellStyle name="Input 10 3" xfId="14310"/>
    <cellStyle name="Input 11" xfId="14311"/>
    <cellStyle name="Input 11 2" xfId="14312"/>
    <cellStyle name="Input 12" xfId="14313"/>
    <cellStyle name="Input 12 2" xfId="14314"/>
    <cellStyle name="Input 13" xfId="14315"/>
    <cellStyle name="Input 13 2" xfId="14316"/>
    <cellStyle name="Input 13 3" xfId="14317"/>
    <cellStyle name="Input 14" xfId="14318"/>
    <cellStyle name="Input 14 2" xfId="14319"/>
    <cellStyle name="Input 14 3" xfId="14320"/>
    <cellStyle name="Input 15" xfId="14321"/>
    <cellStyle name="Input 15 2" xfId="14322"/>
    <cellStyle name="Input 16" xfId="14323"/>
    <cellStyle name="Input 16 2" xfId="14324"/>
    <cellStyle name="Input 17" xfId="14325"/>
    <cellStyle name="Input 17 2" xfId="14326"/>
    <cellStyle name="Input 18" xfId="14327"/>
    <cellStyle name="Input 18 2" xfId="14328"/>
    <cellStyle name="Input 18 2 2" xfId="14329"/>
    <cellStyle name="Input 18 3" xfId="14330"/>
    <cellStyle name="Input 19" xfId="14331"/>
    <cellStyle name="Input 19 2" xfId="14332"/>
    <cellStyle name="Input 19 2 2" xfId="14333"/>
    <cellStyle name="Input 19 3" xfId="14334"/>
    <cellStyle name="Input 2" xfId="623"/>
    <cellStyle name="Input 2 2" xfId="624"/>
    <cellStyle name="Input 2 2 2" xfId="14335"/>
    <cellStyle name="Input 2 2 2 2" xfId="14336"/>
    <cellStyle name="Input 2 2 2 3" xfId="14337"/>
    <cellStyle name="Input 2 2 3" xfId="14338"/>
    <cellStyle name="Input 2 2 4" xfId="14339"/>
    <cellStyle name="Input 2 3" xfId="14340"/>
    <cellStyle name="Input 2 3 2" xfId="14341"/>
    <cellStyle name="Input 2 3 2 2" xfId="14342"/>
    <cellStyle name="Input 2 3 3" xfId="14343"/>
    <cellStyle name="Input 2 3 3 2" xfId="14344"/>
    <cellStyle name="Input 2 3 4" xfId="14345"/>
    <cellStyle name="Input 2 4" xfId="14346"/>
    <cellStyle name="Input 2 4 2" xfId="14347"/>
    <cellStyle name="Input 2 4 3" xfId="14348"/>
    <cellStyle name="Input 2 5" xfId="14349"/>
    <cellStyle name="Input 2 6" xfId="14350"/>
    <cellStyle name="Input 20" xfId="14351"/>
    <cellStyle name="Input 20 2" xfId="14352"/>
    <cellStyle name="Input 20 2 2" xfId="14353"/>
    <cellStyle name="Input 20 3" xfId="14354"/>
    <cellStyle name="Input 21" xfId="14355"/>
    <cellStyle name="Input 21 2" xfId="14356"/>
    <cellStyle name="Input 21 2 2" xfId="14357"/>
    <cellStyle name="Input 21 3" xfId="14358"/>
    <cellStyle name="Input 22" xfId="14359"/>
    <cellStyle name="Input 22 2" xfId="14360"/>
    <cellStyle name="Input 23" xfId="14361"/>
    <cellStyle name="Input 23 2" xfId="14362"/>
    <cellStyle name="Input 24" xfId="14363"/>
    <cellStyle name="Input 24 2" xfId="14364"/>
    <cellStyle name="Input 24 2 2" xfId="14365"/>
    <cellStyle name="Input 24 3" xfId="14366"/>
    <cellStyle name="Input 25" xfId="14367"/>
    <cellStyle name="Input 25 2" xfId="14368"/>
    <cellStyle name="Input 26" xfId="14369"/>
    <cellStyle name="Input 26 2" xfId="14370"/>
    <cellStyle name="Input 27" xfId="14371"/>
    <cellStyle name="Input 27 2" xfId="14372"/>
    <cellStyle name="Input 28" xfId="14373"/>
    <cellStyle name="Input 28 2" xfId="14374"/>
    <cellStyle name="Input 29" xfId="14375"/>
    <cellStyle name="Input 29 2" xfId="14376"/>
    <cellStyle name="Input 3" xfId="625"/>
    <cellStyle name="Input 3 2" xfId="626"/>
    <cellStyle name="Input 3 2 2" xfId="14377"/>
    <cellStyle name="Input 3 2 2 2" xfId="14378"/>
    <cellStyle name="Input 3 2 3" xfId="14379"/>
    <cellStyle name="Input 3 2 3 2" xfId="14380"/>
    <cellStyle name="Input 3 2 4" xfId="14381"/>
    <cellStyle name="Input 3 3" xfId="14382"/>
    <cellStyle name="Input 3 3 2" xfId="14383"/>
    <cellStyle name="Input 3 3 3" xfId="14384"/>
    <cellStyle name="Input 3 4" xfId="14385"/>
    <cellStyle name="Input 3 5" xfId="14386"/>
    <cellStyle name="Input 30" xfId="14387"/>
    <cellStyle name="Input 30 2" xfId="14388"/>
    <cellStyle name="Input 31" xfId="14389"/>
    <cellStyle name="Input 31 2" xfId="14390"/>
    <cellStyle name="Input 32" xfId="14391"/>
    <cellStyle name="Input 32 2" xfId="14392"/>
    <cellStyle name="Input 33" xfId="14393"/>
    <cellStyle name="Input 34" xfId="14394"/>
    <cellStyle name="Input 35" xfId="14395"/>
    <cellStyle name="Input 4" xfId="627"/>
    <cellStyle name="Input 4 2" xfId="628"/>
    <cellStyle name="Input 4 2 2" xfId="14396"/>
    <cellStyle name="Input 4 3" xfId="14397"/>
    <cellStyle name="Input 4 4" xfId="14398"/>
    <cellStyle name="Input 5" xfId="629"/>
    <cellStyle name="Input 5 2" xfId="14399"/>
    <cellStyle name="Input 5 2 2" xfId="14400"/>
    <cellStyle name="Input 5 3" xfId="14401"/>
    <cellStyle name="Input 5 4" xfId="14402"/>
    <cellStyle name="Input 5 5" xfId="18297"/>
    <cellStyle name="Input 6" xfId="630"/>
    <cellStyle name="Input 6 2" xfId="14403"/>
    <cellStyle name="Input 6 2 2" xfId="14404"/>
    <cellStyle name="Input 6 3" xfId="14405"/>
    <cellStyle name="Input 6 4" xfId="14406"/>
    <cellStyle name="Input 6 5" xfId="18298"/>
    <cellStyle name="Input 7" xfId="631"/>
    <cellStyle name="Input 7 2" xfId="14407"/>
    <cellStyle name="Input 7 2 2" xfId="14408"/>
    <cellStyle name="Input 7 3" xfId="14409"/>
    <cellStyle name="Input 7 4" xfId="18299"/>
    <cellStyle name="Input 8" xfId="632"/>
    <cellStyle name="Input 8 2" xfId="14410"/>
    <cellStyle name="Input 8 2 2" xfId="14411"/>
    <cellStyle name="Input 8 3" xfId="14412"/>
    <cellStyle name="Input 8 4" xfId="18300"/>
    <cellStyle name="Input 9" xfId="14413"/>
    <cellStyle name="Input 9 2" xfId="14414"/>
    <cellStyle name="Input Cells" xfId="14415"/>
    <cellStyle name="Input Cells 2" xfId="14416"/>
    <cellStyle name="Input Cells 2 2" xfId="14417"/>
    <cellStyle name="Input Cells 3" xfId="14418"/>
    <cellStyle name="Input Cells Percent" xfId="14419"/>
    <cellStyle name="Input Cells Percent 2" xfId="14420"/>
    <cellStyle name="Input Cells Percent 2 2" xfId="14421"/>
    <cellStyle name="Input Cells Percent 3" xfId="14422"/>
    <cellStyle name="Input Cells Percent_AURORA Total New" xfId="14423"/>
    <cellStyle name="Input Cells_4.34E Mint Farm Deferral" xfId="14424"/>
    <cellStyle name="JOB TITLE" xfId="14425"/>
    <cellStyle name="line b - Style6" xfId="14426"/>
    <cellStyle name="line b - Style6 2" xfId="14427"/>
    <cellStyle name="line b - Style6 2 2" xfId="14428"/>
    <cellStyle name="line b - Style6 3" xfId="14429"/>
    <cellStyle name="line b - Style6 3 2" xfId="14430"/>
    <cellStyle name="line b - Style6 4" xfId="14431"/>
    <cellStyle name="line b - Style6 4 2" xfId="14432"/>
    <cellStyle name="line b - Style6 5" xfId="14433"/>
    <cellStyle name="line b - Style6 5 2" xfId="14434"/>
    <cellStyle name="Lines" xfId="14435"/>
    <cellStyle name="Lines 2" xfId="14436"/>
    <cellStyle name="Lines 2 2" xfId="14437"/>
    <cellStyle name="Lines 3" xfId="14438"/>
    <cellStyle name="Lines 3 2" xfId="14439"/>
    <cellStyle name="Lines 4" xfId="14440"/>
    <cellStyle name="Lines_Electric Rev Req Model (2009 GRC) Rebuttal" xfId="18234"/>
    <cellStyle name="LINKED" xfId="14441"/>
    <cellStyle name="LINKED 2" xfId="14442"/>
    <cellStyle name="LINKED 2 2" xfId="14443"/>
    <cellStyle name="LINKED 2 2 2" xfId="14444"/>
    <cellStyle name="LINKED 2 3" xfId="14445"/>
    <cellStyle name="LINKED 3" xfId="14446"/>
    <cellStyle name="Linked Cell 2" xfId="633"/>
    <cellStyle name="Linked Cell 2 2" xfId="634"/>
    <cellStyle name="Linked Cell 2 2 2" xfId="14447"/>
    <cellStyle name="Linked Cell 2 2 2 2" xfId="14448"/>
    <cellStyle name="Linked Cell 2 2 3" xfId="14449"/>
    <cellStyle name="Linked Cell 2 3" xfId="14450"/>
    <cellStyle name="Linked Cell 2 3 2" xfId="14451"/>
    <cellStyle name="Linked Cell 2 3 2 2" xfId="14452"/>
    <cellStyle name="Linked Cell 2 3 3" xfId="14453"/>
    <cellStyle name="Linked Cell 2 3 3 2" xfId="14454"/>
    <cellStyle name="Linked Cell 2 3 4" xfId="14455"/>
    <cellStyle name="Linked Cell 2 3 4 2" xfId="14456"/>
    <cellStyle name="Linked Cell 2 3 5" xfId="14457"/>
    <cellStyle name="Linked Cell 2 4" xfId="14458"/>
    <cellStyle name="Linked Cell 2 4 2" xfId="14459"/>
    <cellStyle name="Linked Cell 2 5" xfId="14460"/>
    <cellStyle name="Linked Cell 2 5 2" xfId="14461"/>
    <cellStyle name="Linked Cell 2 6" xfId="14462"/>
    <cellStyle name="Linked Cell 3" xfId="635"/>
    <cellStyle name="Linked Cell 3 2" xfId="636"/>
    <cellStyle name="Linked Cell 3 2 2" xfId="14463"/>
    <cellStyle name="Linked Cell 3 3" xfId="14464"/>
    <cellStyle name="Linked Cell 4" xfId="637"/>
    <cellStyle name="Linked Cell 4 2" xfId="14465"/>
    <cellStyle name="Linked Cell 4 2 2" xfId="14466"/>
    <cellStyle name="Linked Cell 4 3" xfId="14467"/>
    <cellStyle name="Linked Cell 5" xfId="14468"/>
    <cellStyle name="Linked Cell 5 2" xfId="14469"/>
    <cellStyle name="Linked Cell 5 2 2" xfId="14470"/>
    <cellStyle name="Linked Cell 5 3" xfId="14471"/>
    <cellStyle name="Linked Cell 6" xfId="14472"/>
    <cellStyle name="Linked Cell 6 2" xfId="14473"/>
    <cellStyle name="Millares [0]_2AV_M_M " xfId="14474"/>
    <cellStyle name="Millares_2AV_M_M " xfId="14475"/>
    <cellStyle name="modified border" xfId="14476"/>
    <cellStyle name="modified border 10" xfId="14477"/>
    <cellStyle name="modified border 2" xfId="14478"/>
    <cellStyle name="modified border 2 2" xfId="14479"/>
    <cellStyle name="modified border 2 2 2" xfId="14480"/>
    <cellStyle name="modified border 2 2 2 2" xfId="14481"/>
    <cellStyle name="modified border 2 2 3" xfId="14482"/>
    <cellStyle name="modified border 2 2 3 2" xfId="14483"/>
    <cellStyle name="modified border 2 2 4" xfId="14484"/>
    <cellStyle name="modified border 2 2 4 2" xfId="14485"/>
    <cellStyle name="modified border 2 2 5" xfId="14486"/>
    <cellStyle name="modified border 2 3" xfId="14487"/>
    <cellStyle name="modified border 2 3 2" xfId="14488"/>
    <cellStyle name="modified border 2 4" xfId="14489"/>
    <cellStyle name="modified border 2 4 2" xfId="14490"/>
    <cellStyle name="modified border 2 5" xfId="14491"/>
    <cellStyle name="modified border 2 5 2" xfId="14492"/>
    <cellStyle name="modified border 2 6" xfId="14493"/>
    <cellStyle name="modified border 3" xfId="14494"/>
    <cellStyle name="modified border 3 2" xfId="14495"/>
    <cellStyle name="modified border 3 2 2" xfId="14496"/>
    <cellStyle name="modified border 3 2 2 2" xfId="14497"/>
    <cellStyle name="modified border 3 2 3" xfId="14498"/>
    <cellStyle name="modified border 3 2 3 2" xfId="14499"/>
    <cellStyle name="modified border 3 2 4" xfId="14500"/>
    <cellStyle name="modified border 3 2 4 2" xfId="14501"/>
    <cellStyle name="modified border 3 2 5" xfId="14502"/>
    <cellStyle name="modified border 3 3" xfId="14503"/>
    <cellStyle name="modified border 3 3 2" xfId="14504"/>
    <cellStyle name="modified border 3 4" xfId="14505"/>
    <cellStyle name="modified border 3 4 2" xfId="14506"/>
    <cellStyle name="modified border 3 5" xfId="14507"/>
    <cellStyle name="modified border 3 5 2" xfId="14508"/>
    <cellStyle name="modified border 3 6" xfId="14509"/>
    <cellStyle name="modified border 4" xfId="14510"/>
    <cellStyle name="modified border 4 2" xfId="14511"/>
    <cellStyle name="modified border 4 2 2" xfId="14512"/>
    <cellStyle name="modified border 4 2 2 2" xfId="14513"/>
    <cellStyle name="modified border 4 2 3" xfId="14514"/>
    <cellStyle name="modified border 4 2 3 2" xfId="14515"/>
    <cellStyle name="modified border 4 2 4" xfId="14516"/>
    <cellStyle name="modified border 4 2 4 2" xfId="14517"/>
    <cellStyle name="modified border 4 2 5" xfId="14518"/>
    <cellStyle name="modified border 4 3" xfId="14519"/>
    <cellStyle name="modified border 4 3 2" xfId="14520"/>
    <cellStyle name="modified border 4 4" xfId="14521"/>
    <cellStyle name="modified border 4 4 2" xfId="14522"/>
    <cellStyle name="modified border 4 5" xfId="14523"/>
    <cellStyle name="modified border 4 5 2" xfId="14524"/>
    <cellStyle name="modified border 4 6" xfId="14525"/>
    <cellStyle name="modified border 5" xfId="14526"/>
    <cellStyle name="modified border 5 2" xfId="14527"/>
    <cellStyle name="modified border 5 2 2" xfId="14528"/>
    <cellStyle name="modified border 5 2 3" xfId="14529"/>
    <cellStyle name="modified border 5 2 3 2" xfId="14530"/>
    <cellStyle name="modified border 5 2 4" xfId="14531"/>
    <cellStyle name="modified border 5 2 4 2" xfId="14532"/>
    <cellStyle name="modified border 5 2 5" xfId="14533"/>
    <cellStyle name="modified border 5 2 5 2" xfId="14534"/>
    <cellStyle name="modified border 5 2 6" xfId="14535"/>
    <cellStyle name="modified border 5 3" xfId="14536"/>
    <cellStyle name="modified border 5 4" xfId="14537"/>
    <cellStyle name="modified border 5 4 2" xfId="14538"/>
    <cellStyle name="modified border 5 5" xfId="14539"/>
    <cellStyle name="modified border 5 5 2" xfId="14540"/>
    <cellStyle name="modified border 5 6" xfId="14541"/>
    <cellStyle name="modified border 5 6 2" xfId="14542"/>
    <cellStyle name="modified border 5 7" xfId="14543"/>
    <cellStyle name="modified border 6" xfId="14544"/>
    <cellStyle name="modified border 7" xfId="14545"/>
    <cellStyle name="modified border 7 2" xfId="14546"/>
    <cellStyle name="modified border 8" xfId="14547"/>
    <cellStyle name="modified border 8 2" xfId="14548"/>
    <cellStyle name="modified border 9" xfId="14549"/>
    <cellStyle name="modified border 9 2" xfId="14550"/>
    <cellStyle name="modified border_4.34E Mint Farm Deferral" xfId="14551"/>
    <cellStyle name="modified border1" xfId="14552"/>
    <cellStyle name="modified border1 2" xfId="14553"/>
    <cellStyle name="modified border1 2 2" xfId="14554"/>
    <cellStyle name="modified border1 3" xfId="14555"/>
    <cellStyle name="modified border1 3 2" xfId="14556"/>
    <cellStyle name="modified border1 4" xfId="14557"/>
    <cellStyle name="modified border1 4 2" xfId="14558"/>
    <cellStyle name="modified border1 5" xfId="14559"/>
    <cellStyle name="modified border1 5 2" xfId="14560"/>
    <cellStyle name="modified border1 5 2 2" xfId="14561"/>
    <cellStyle name="modified border1 5 3" xfId="14562"/>
    <cellStyle name="modified border1 6" xfId="14563"/>
    <cellStyle name="modified border1_4.34E Mint Farm Deferral" xfId="14564"/>
    <cellStyle name="Moneda [0]_2AV_M_M " xfId="14565"/>
    <cellStyle name="Moneda_2AV_M_M " xfId="14566"/>
    <cellStyle name="MonthYears" xfId="14567"/>
    <cellStyle name="Neutral 2" xfId="638"/>
    <cellStyle name="Neutral 2 2" xfId="639"/>
    <cellStyle name="Neutral 2 2 2" xfId="14568"/>
    <cellStyle name="Neutral 2 2 2 2" xfId="14569"/>
    <cellStyle name="Neutral 2 2 3" xfId="14570"/>
    <cellStyle name="Neutral 2 3" xfId="14571"/>
    <cellStyle name="Neutral 2 3 2" xfId="14572"/>
    <cellStyle name="Neutral 2 3 2 2" xfId="14573"/>
    <cellStyle name="Neutral 2 3 3" xfId="14574"/>
    <cellStyle name="Neutral 2 3 3 2" xfId="14575"/>
    <cellStyle name="Neutral 2 3 4" xfId="14576"/>
    <cellStyle name="Neutral 2 4" xfId="14577"/>
    <cellStyle name="Neutral 2 4 2" xfId="14578"/>
    <cellStyle name="Neutral 2 5" xfId="14579"/>
    <cellStyle name="Neutral 3" xfId="640"/>
    <cellStyle name="Neutral 3 2" xfId="641"/>
    <cellStyle name="Neutral 3 2 2" xfId="14580"/>
    <cellStyle name="Neutral 3 3" xfId="14581"/>
    <cellStyle name="Neutral 4" xfId="642"/>
    <cellStyle name="Neutral 4 2" xfId="14582"/>
    <cellStyle name="Neutral 4 2 2" xfId="14583"/>
    <cellStyle name="Neutral 4 3" xfId="14584"/>
    <cellStyle name="Neutral 5" xfId="14585"/>
    <cellStyle name="Neutral 5 2" xfId="14586"/>
    <cellStyle name="Neutral 5 2 2" xfId="14587"/>
    <cellStyle name="Neutral 5 3" xfId="14588"/>
    <cellStyle name="Neutral 6" xfId="14589"/>
    <cellStyle name="Neutral 6 2" xfId="14590"/>
    <cellStyle name="no dec" xfId="14591"/>
    <cellStyle name="no dec 2" xfId="14592"/>
    <cellStyle name="no dec 2 2" xfId="14593"/>
    <cellStyle name="no dec 2 2 2" xfId="14594"/>
    <cellStyle name="no dec 2 3" xfId="14595"/>
    <cellStyle name="no dec 3" xfId="14596"/>
    <cellStyle name="Normal" xfId="0" builtinId="0"/>
    <cellStyle name="Normal - Style1" xfId="643"/>
    <cellStyle name="Normal - Style1 10" xfId="14597"/>
    <cellStyle name="Normal - Style1 11" xfId="14598"/>
    <cellStyle name="Normal - Style1 11 2" xfId="14599"/>
    <cellStyle name="Normal - Style1 12" xfId="14600"/>
    <cellStyle name="Normal - Style1 12 2" xfId="14601"/>
    <cellStyle name="Normal - Style1 2" xfId="14602"/>
    <cellStyle name="Normal - Style1 2 2" xfId="14603"/>
    <cellStyle name="Normal - Style1 2 2 2" xfId="887"/>
    <cellStyle name="Normal - Style1 2 2 2 2" xfId="14604"/>
    <cellStyle name="Normal - Style1 2 2 3" xfId="14605"/>
    <cellStyle name="Normal - Style1 2 2 3 2" xfId="14606"/>
    <cellStyle name="Normal - Style1 2 2 3 4" xfId="2"/>
    <cellStyle name="Normal - Style1 2 2 4" xfId="14607"/>
    <cellStyle name="Normal - Style1 2 2 4 2" xfId="14608"/>
    <cellStyle name="Normal - Style1 2 2 5" xfId="14609"/>
    <cellStyle name="Normal - Style1 2 3" xfId="14610"/>
    <cellStyle name="Normal - Style1 2 3 2" xfId="14611"/>
    <cellStyle name="Normal - Style1 2 3 2 2" xfId="14612"/>
    <cellStyle name="Normal - Style1 2 3 3" xfId="14613"/>
    <cellStyle name="Normal - Style1 2 4" xfId="14614"/>
    <cellStyle name="Normal - Style1 3" xfId="14615"/>
    <cellStyle name="Normal - Style1 3 2" xfId="14616"/>
    <cellStyle name="Normal - Style1 3 2 2" xfId="14617"/>
    <cellStyle name="Normal - Style1 3 2 2 2" xfId="14618"/>
    <cellStyle name="Normal - Style1 3 2 3" xfId="14619"/>
    <cellStyle name="Normal - Style1 3 2 3 2" xfId="14620"/>
    <cellStyle name="Normal - Style1 3 2 4" xfId="14621"/>
    <cellStyle name="Normal - Style1 3 3" xfId="14622"/>
    <cellStyle name="Normal - Style1 3 3 2" xfId="14623"/>
    <cellStyle name="Normal - Style1 3 3 2 2" xfId="14624"/>
    <cellStyle name="Normal - Style1 3 3 3" xfId="14625"/>
    <cellStyle name="Normal - Style1 3 4" xfId="14626"/>
    <cellStyle name="Normal - Style1 3 4 2" xfId="14627"/>
    <cellStyle name="Normal - Style1 3 5" xfId="14628"/>
    <cellStyle name="Normal - Style1 4" xfId="14629"/>
    <cellStyle name="Normal - Style1 4 2" xfId="14630"/>
    <cellStyle name="Normal - Style1 4 2 2" xfId="14631"/>
    <cellStyle name="Normal - Style1 4 2 2 2" xfId="14632"/>
    <cellStyle name="Normal - Style1 4 2 3" xfId="14633"/>
    <cellStyle name="Normal - Style1 4 2 3 2" xfId="14634"/>
    <cellStyle name="Normal - Style1 4 2 4" xfId="14635"/>
    <cellStyle name="Normal - Style1 4 3" xfId="14636"/>
    <cellStyle name="Normal - Style1 4 3 2" xfId="14637"/>
    <cellStyle name="Normal - Style1 4 4" xfId="14638"/>
    <cellStyle name="Normal - Style1 4 4 2" xfId="14639"/>
    <cellStyle name="Normal - Style1 4 5" xfId="14640"/>
    <cellStyle name="Normal - Style1 4 5 2" xfId="14641"/>
    <cellStyle name="Normal - Style1 4 6" xfId="14642"/>
    <cellStyle name="Normal - Style1 5" xfId="14643"/>
    <cellStyle name="Normal - Style1 5 2" xfId="14644"/>
    <cellStyle name="Normal - Style1 5 2 2" xfId="14645"/>
    <cellStyle name="Normal - Style1 5 2 2 2" xfId="14646"/>
    <cellStyle name="Normal - Style1 5 2 3" xfId="14647"/>
    <cellStyle name="Normal - Style1 5 2 3 2" xfId="14648"/>
    <cellStyle name="Normal - Style1 5 2 4" xfId="14649"/>
    <cellStyle name="Normal - Style1 5 3" xfId="14650"/>
    <cellStyle name="Normal - Style1 5 3 2" xfId="14651"/>
    <cellStyle name="Normal - Style1 5 4" xfId="14652"/>
    <cellStyle name="Normal - Style1 5 4 2" xfId="14653"/>
    <cellStyle name="Normal - Style1 5 5" xfId="14654"/>
    <cellStyle name="Normal - Style1 6" xfId="14655"/>
    <cellStyle name="Normal - Style1 6 2" xfId="14656"/>
    <cellStyle name="Normal - Style1 6 2 2" xfId="14657"/>
    <cellStyle name="Normal - Style1 6 2 2 2" xfId="14658"/>
    <cellStyle name="Normal - Style1 6 2 3" xfId="14659"/>
    <cellStyle name="Normal - Style1 6 3" xfId="14660"/>
    <cellStyle name="Normal - Style1 6 3 2" xfId="14661"/>
    <cellStyle name="Normal - Style1 6 4" xfId="14662"/>
    <cellStyle name="Normal - Style1 6 4 2" xfId="14663"/>
    <cellStyle name="Normal - Style1 6 5" xfId="14664"/>
    <cellStyle name="Normal - Style1 6 5 2" xfId="14665"/>
    <cellStyle name="Normal - Style1 6 6" xfId="14666"/>
    <cellStyle name="Normal - Style1 7" xfId="14667"/>
    <cellStyle name="Normal - Style1 7 2" xfId="14668"/>
    <cellStyle name="Normal - Style1 7 2 2" xfId="14669"/>
    <cellStyle name="Normal - Style1 7 2 2 2" xfId="14670"/>
    <cellStyle name="Normal - Style1 7 2 3" xfId="14671"/>
    <cellStyle name="Normal - Style1 7 3" xfId="14672"/>
    <cellStyle name="Normal - Style1 7 3 2" xfId="14673"/>
    <cellStyle name="Normal - Style1 7 4" xfId="14674"/>
    <cellStyle name="Normal - Style1 8" xfId="14675"/>
    <cellStyle name="Normal - Style1 8 2" xfId="14676"/>
    <cellStyle name="Normal - Style1 9" xfId="14677"/>
    <cellStyle name="Normal - Style1_(C) WHE Proforma with ITC cash grant 10 Yr Amort_for deferral_102809" xfId="14678"/>
    <cellStyle name="Normal [0]" xfId="14679"/>
    <cellStyle name="Normal [2]" xfId="14680"/>
    <cellStyle name="Normal 1" xfId="14681"/>
    <cellStyle name="Normal 1 2" xfId="14682"/>
    <cellStyle name="Normal 1 2 2" xfId="14683"/>
    <cellStyle name="Normal 1 2 2 2" xfId="14684"/>
    <cellStyle name="Normal 1 2 3" xfId="14685"/>
    <cellStyle name="Normal 1 3" xfId="14686"/>
    <cellStyle name="Normal 1 3 2" xfId="14687"/>
    <cellStyle name="Normal 1 3 2 2" xfId="14688"/>
    <cellStyle name="Normal 1 3 3" xfId="14689"/>
    <cellStyle name="Normal 1 4" xfId="14690"/>
    <cellStyle name="Normal 1 4 2" xfId="14691"/>
    <cellStyle name="Normal 1 5" xfId="14692"/>
    <cellStyle name="Normal 1 5 2" xfId="14693"/>
    <cellStyle name="Normal 1 6" xfId="14694"/>
    <cellStyle name="Normal 1 6 2" xfId="14695"/>
    <cellStyle name="Normal 10" xfId="644"/>
    <cellStyle name="Normal 10 10" xfId="20707"/>
    <cellStyle name="Normal 10 11" xfId="20708"/>
    <cellStyle name="Normal 10 12" xfId="20709"/>
    <cellStyle name="Normal 10 2" xfId="645"/>
    <cellStyle name="Normal 10 2 2" xfId="646"/>
    <cellStyle name="Normal 10 2 2 2" xfId="14696"/>
    <cellStyle name="Normal 10 2 2 2 2" xfId="14697"/>
    <cellStyle name="Normal 10 2 2 3" xfId="14698"/>
    <cellStyle name="Normal 10 2 2 3 2" xfId="14699"/>
    <cellStyle name="Normal 10 2 2 4" xfId="14700"/>
    <cellStyle name="Normal 10 2 3" xfId="647"/>
    <cellStyle name="Normal 10 2 3 2" xfId="14701"/>
    <cellStyle name="Normal 10 2 3 2 2" xfId="20710"/>
    <cellStyle name="Normal 10 2 3 2 3" xfId="20711"/>
    <cellStyle name="Normal 10 2 3 3" xfId="18303"/>
    <cellStyle name="Normal 10 2 3 3 2" xfId="20712"/>
    <cellStyle name="Normal 10 2 3 4" xfId="20713"/>
    <cellStyle name="Normal 10 2 3 4 2" xfId="20714"/>
    <cellStyle name="Normal 10 2 3 5" xfId="20715"/>
    <cellStyle name="Normal 10 2 3 6" xfId="20716"/>
    <cellStyle name="Normal 10 2 3 7" xfId="20717"/>
    <cellStyle name="Normal 10 2 3 8" xfId="20718"/>
    <cellStyle name="Normal 10 2 4" xfId="14702"/>
    <cellStyle name="Normal 10 2 4 2" xfId="14703"/>
    <cellStyle name="Normal 10 2 5" xfId="14704"/>
    <cellStyle name="Normal 10 2 6" xfId="18302"/>
    <cellStyle name="Normal 10 2 7" xfId="20719"/>
    <cellStyle name="Normal 10 2 8" xfId="20720"/>
    <cellStyle name="Normal 10 2 9" xfId="20721"/>
    <cellStyle name="Normal 10 3" xfId="648"/>
    <cellStyle name="Normal 10 3 2" xfId="14705"/>
    <cellStyle name="Normal 10 3 2 2" xfId="14706"/>
    <cellStyle name="Normal 10 3 2 2 2" xfId="14707"/>
    <cellStyle name="Normal 10 3 2 3" xfId="14708"/>
    <cellStyle name="Normal 10 3 2 3 2" xfId="14709"/>
    <cellStyle name="Normal 10 3 2 4" xfId="14710"/>
    <cellStyle name="Normal 10 3 3" xfId="14711"/>
    <cellStyle name="Normal 10 3 3 2" xfId="14712"/>
    <cellStyle name="Normal 10 3 4" xfId="14713"/>
    <cellStyle name="Normal 10 3 4 2" xfId="14714"/>
    <cellStyle name="Normal 10 3 5" xfId="14715"/>
    <cellStyle name="Normal 10 4" xfId="649"/>
    <cellStyle name="Normal 10 4 2" xfId="14716"/>
    <cellStyle name="Normal 10 4 2 2" xfId="14717"/>
    <cellStyle name="Normal 10 4 3" xfId="14718"/>
    <cellStyle name="Normal 10 4 3 2" xfId="14719"/>
    <cellStyle name="Normal 10 4 4" xfId="14720"/>
    <cellStyle name="Normal 10 4 4 2" xfId="14721"/>
    <cellStyle name="Normal 10 4 5" xfId="14722"/>
    <cellStyle name="Normal 10 5" xfId="650"/>
    <cellStyle name="Normal 10 5 2" xfId="14723"/>
    <cellStyle name="Normal 10 5 2 2" xfId="14724"/>
    <cellStyle name="Normal 10 5 3" xfId="14725"/>
    <cellStyle name="Normal 10 5 3 2" xfId="14726"/>
    <cellStyle name="Normal 10 5 4" xfId="14727"/>
    <cellStyle name="Normal 10 6" xfId="651"/>
    <cellStyle name="Normal 10 6 2" xfId="14728"/>
    <cellStyle name="Normal 10 6 2 2" xfId="20722"/>
    <cellStyle name="Normal 10 6 2 3" xfId="20723"/>
    <cellStyle name="Normal 10 6 3" xfId="18304"/>
    <cellStyle name="Normal 10 6 3 2" xfId="20724"/>
    <cellStyle name="Normal 10 6 4" xfId="20725"/>
    <cellStyle name="Normal 10 6 4 2" xfId="20726"/>
    <cellStyle name="Normal 10 6 5" xfId="20727"/>
    <cellStyle name="Normal 10 6 6" xfId="20728"/>
    <cellStyle name="Normal 10 6 7" xfId="20729"/>
    <cellStyle name="Normal 10 6 8" xfId="20730"/>
    <cellStyle name="Normal 10 7" xfId="14729"/>
    <cellStyle name="Normal 10 8" xfId="18301"/>
    <cellStyle name="Normal 10 9" xfId="20731"/>
    <cellStyle name="Normal 10 9 2" xfId="20732"/>
    <cellStyle name="Normal 10_ Price Inputs" xfId="14730"/>
    <cellStyle name="Normal 100" xfId="14731"/>
    <cellStyle name="Normal 100 2" xfId="14732"/>
    <cellStyle name="Normal 100 2 2" xfId="14733"/>
    <cellStyle name="Normal 100 3" xfId="14734"/>
    <cellStyle name="Normal 101" xfId="14735"/>
    <cellStyle name="Normal 101 2" xfId="14736"/>
    <cellStyle name="Normal 101 2 2" xfId="14737"/>
    <cellStyle name="Normal 101 3" xfId="14738"/>
    <cellStyle name="Normal 102" xfId="14739"/>
    <cellStyle name="Normal 102 2" xfId="14740"/>
    <cellStyle name="Normal 102 2 2" xfId="14741"/>
    <cellStyle name="Normal 102 3" xfId="14742"/>
    <cellStyle name="Normal 103" xfId="14743"/>
    <cellStyle name="Normal 103 2" xfId="14744"/>
    <cellStyle name="Normal 103 2 2" xfId="14745"/>
    <cellStyle name="Normal 103 3" xfId="14746"/>
    <cellStyle name="Normal 104" xfId="14747"/>
    <cellStyle name="Normal 104 2" xfId="14748"/>
    <cellStyle name="Normal 104 2 2" xfId="14749"/>
    <cellStyle name="Normal 104 3" xfId="14750"/>
    <cellStyle name="Normal 105" xfId="14751"/>
    <cellStyle name="Normal 105 2" xfId="14752"/>
    <cellStyle name="Normal 105 2 2" xfId="14753"/>
    <cellStyle name="Normal 105 3" xfId="14754"/>
    <cellStyle name="Normal 106" xfId="14755"/>
    <cellStyle name="Normal 106 2" xfId="14756"/>
    <cellStyle name="Normal 106 2 2" xfId="14757"/>
    <cellStyle name="Normal 106 3" xfId="14758"/>
    <cellStyle name="Normal 107" xfId="14759"/>
    <cellStyle name="Normal 107 2" xfId="14760"/>
    <cellStyle name="Normal 107 2 2" xfId="14761"/>
    <cellStyle name="Normal 107 3" xfId="14762"/>
    <cellStyle name="Normal 108" xfId="14763"/>
    <cellStyle name="Normal 108 2" xfId="14764"/>
    <cellStyle name="Normal 108 2 2" xfId="14765"/>
    <cellStyle name="Normal 108 3" xfId="14766"/>
    <cellStyle name="Normal 109" xfId="14767"/>
    <cellStyle name="Normal 109 2" xfId="14768"/>
    <cellStyle name="Normal 109 2 2" xfId="14769"/>
    <cellStyle name="Normal 109 3" xfId="14770"/>
    <cellStyle name="Normal 11" xfId="652"/>
    <cellStyle name="Normal 11 10" xfId="20733"/>
    <cellStyle name="Normal 11 11" xfId="20734"/>
    <cellStyle name="Normal 11 2" xfId="653"/>
    <cellStyle name="Normal 11 2 2" xfId="654"/>
    <cellStyle name="Normal 11 2 2 2" xfId="14771"/>
    <cellStyle name="Normal 11 2 2 2 2" xfId="14772"/>
    <cellStyle name="Normal 11 2 2 3" xfId="14773"/>
    <cellStyle name="Normal 11 2 2 4" xfId="18307"/>
    <cellStyle name="Normal 11 2 2 5" xfId="20735"/>
    <cellStyle name="Normal 11 2 3" xfId="14774"/>
    <cellStyle name="Normal 11 2 3 2" xfId="14775"/>
    <cellStyle name="Normal 11 2 3 3" xfId="20736"/>
    <cellStyle name="Normal 11 2 4" xfId="14776"/>
    <cellStyle name="Normal 11 2 4 2" xfId="20737"/>
    <cellStyle name="Normal 11 2 5" xfId="18306"/>
    <cellStyle name="Normal 11 2 6" xfId="20738"/>
    <cellStyle name="Normal 11 2 7" xfId="20739"/>
    <cellStyle name="Normal 11 2 8" xfId="20740"/>
    <cellStyle name="Normal 11 3" xfId="655"/>
    <cellStyle name="Normal 11 3 2" xfId="14777"/>
    <cellStyle name="Normal 11 3 2 2" xfId="14778"/>
    <cellStyle name="Normal 11 3 2 3" xfId="20741"/>
    <cellStyle name="Normal 11 3 3" xfId="14779"/>
    <cellStyle name="Normal 11 3 3 2" xfId="20742"/>
    <cellStyle name="Normal 11 3 4" xfId="18308"/>
    <cellStyle name="Normal 11 3 5" xfId="20743"/>
    <cellStyle name="Normal 11 3 6" xfId="20744"/>
    <cellStyle name="Normal 11 3 7" xfId="20745"/>
    <cellStyle name="Normal 11 4" xfId="14780"/>
    <cellStyle name="Normal 11 4 2" xfId="14781"/>
    <cellStyle name="Normal 11 4 2 2" xfId="20746"/>
    <cellStyle name="Normal 11 4 3" xfId="20747"/>
    <cellStyle name="Normal 11 4 3 2" xfId="20748"/>
    <cellStyle name="Normal 11 4 4" xfId="20749"/>
    <cellStyle name="Normal 11 4 5" xfId="20750"/>
    <cellStyle name="Normal 11 4 6" xfId="20751"/>
    <cellStyle name="Normal 11 5" xfId="14782"/>
    <cellStyle name="Normal 11 5 2" xfId="20752"/>
    <cellStyle name="Normal 11 5 2 2" xfId="20753"/>
    <cellStyle name="Normal 11 5 3" xfId="20754"/>
    <cellStyle name="Normal 11 5 4" xfId="20755"/>
    <cellStyle name="Normal 11 5 5" xfId="20756"/>
    <cellStyle name="Normal 11 6" xfId="18305"/>
    <cellStyle name="Normal 11 6 2" xfId="20757"/>
    <cellStyle name="Normal 11 7" xfId="20758"/>
    <cellStyle name="Normal 11 7 2" xfId="20759"/>
    <cellStyle name="Normal 11 8" xfId="20760"/>
    <cellStyle name="Normal 11 9" xfId="20761"/>
    <cellStyle name="Normal 11_16.37E Wild Horse Expansion DeferralRevwrkingfile SF" xfId="14783"/>
    <cellStyle name="Normal 110" xfId="14784"/>
    <cellStyle name="Normal 110 2" xfId="14785"/>
    <cellStyle name="Normal 110 2 2" xfId="14786"/>
    <cellStyle name="Normal 110 3" xfId="14787"/>
    <cellStyle name="Normal 111" xfId="14788"/>
    <cellStyle name="Normal 111 2" xfId="14789"/>
    <cellStyle name="Normal 111 2 2" xfId="14790"/>
    <cellStyle name="Normal 111 3" xfId="14791"/>
    <cellStyle name="Normal 112" xfId="14792"/>
    <cellStyle name="Normal 112 2" xfId="14793"/>
    <cellStyle name="Normal 112 2 2" xfId="14794"/>
    <cellStyle name="Normal 112 3" xfId="14795"/>
    <cellStyle name="Normal 113" xfId="14796"/>
    <cellStyle name="Normal 113 2" xfId="14797"/>
    <cellStyle name="Normal 114" xfId="14798"/>
    <cellStyle name="Normal 114 2" xfId="14799"/>
    <cellStyle name="Normal 115" xfId="14800"/>
    <cellStyle name="Normal 115 2" xfId="14801"/>
    <cellStyle name="Normal 116" xfId="14802"/>
    <cellStyle name="Normal 116 2" xfId="14803"/>
    <cellStyle name="Normal 117" xfId="14804"/>
    <cellStyle name="Normal 117 2" xfId="14805"/>
    <cellStyle name="Normal 118" xfId="14806"/>
    <cellStyle name="Normal 118 2" xfId="14807"/>
    <cellStyle name="Normal 119" xfId="14808"/>
    <cellStyle name="Normal 119 2" xfId="14809"/>
    <cellStyle name="Normal 12" xfId="656"/>
    <cellStyle name="Normal 12 10" xfId="20762"/>
    <cellStyle name="Normal 12 11" xfId="20763"/>
    <cellStyle name="Normal 12 2" xfId="657"/>
    <cellStyle name="Normal 12 2 2" xfId="14810"/>
    <cellStyle name="Normal 12 2 2 2" xfId="14811"/>
    <cellStyle name="Normal 12 2 2 3" xfId="20764"/>
    <cellStyle name="Normal 12 2 2 4" xfId="20765"/>
    <cellStyle name="Normal 12 2 3" xfId="14812"/>
    <cellStyle name="Normal 12 2 3 2" xfId="14813"/>
    <cellStyle name="Normal 12 2 3 3" xfId="20766"/>
    <cellStyle name="Normal 12 2 4" xfId="14814"/>
    <cellStyle name="Normal 12 2 4 2" xfId="20767"/>
    <cellStyle name="Normal 12 2 5" xfId="18310"/>
    <cellStyle name="Normal 12 2 6" xfId="20768"/>
    <cellStyle name="Normal 12 2 7" xfId="20769"/>
    <cellStyle name="Normal 12 2 8" xfId="20770"/>
    <cellStyle name="Normal 12 2 9" xfId="20771"/>
    <cellStyle name="Normal 12 3" xfId="658"/>
    <cellStyle name="Normal 12 3 2" xfId="14815"/>
    <cellStyle name="Normal 12 3 2 2" xfId="14816"/>
    <cellStyle name="Normal 12 3 2 3" xfId="20772"/>
    <cellStyle name="Normal 12 3 3" xfId="14817"/>
    <cellStyle name="Normal 12 3 3 2" xfId="14818"/>
    <cellStyle name="Normal 12 3 3 2 2" xfId="18448"/>
    <cellStyle name="Normal 12 3 3 3" xfId="18447"/>
    <cellStyle name="Normal 12 3 4" xfId="14819"/>
    <cellStyle name="Normal 12 3 4 2" xfId="18449"/>
    <cellStyle name="Normal 12 3 5" xfId="18311"/>
    <cellStyle name="Normal 12 3 6" xfId="20773"/>
    <cellStyle name="Normal 12 3 7" xfId="20774"/>
    <cellStyle name="Normal 12 4" xfId="14820"/>
    <cellStyle name="Normal 12 4 2" xfId="14821"/>
    <cellStyle name="Normal 12 4 2 2" xfId="20775"/>
    <cellStyle name="Normal 12 4 3" xfId="20776"/>
    <cellStyle name="Normal 12 4 3 2" xfId="20777"/>
    <cellStyle name="Normal 12 4 4" xfId="20778"/>
    <cellStyle name="Normal 12 4 5" xfId="20779"/>
    <cellStyle name="Normal 12 4 6" xfId="20780"/>
    <cellStyle name="Normal 12 5" xfId="14822"/>
    <cellStyle name="Normal 12 5 2" xfId="20781"/>
    <cellStyle name="Normal 12 5 2 2" xfId="20782"/>
    <cellStyle name="Normal 12 5 3" xfId="20783"/>
    <cellStyle name="Normal 12 5 4" xfId="20784"/>
    <cellStyle name="Normal 12 5 5" xfId="20785"/>
    <cellStyle name="Normal 12 6" xfId="18309"/>
    <cellStyle name="Normal 12 6 2" xfId="20786"/>
    <cellStyle name="Normal 12 7" xfId="20787"/>
    <cellStyle name="Normal 12 7 2" xfId="20788"/>
    <cellStyle name="Normal 12 8" xfId="20789"/>
    <cellStyle name="Normal 12 9" xfId="20790"/>
    <cellStyle name="Normal 120" xfId="14823"/>
    <cellStyle name="Normal 120 2" xfId="14824"/>
    <cellStyle name="Normal 121" xfId="14825"/>
    <cellStyle name="Normal 122" xfId="14826"/>
    <cellStyle name="Normal 123" xfId="14827"/>
    <cellStyle name="Normal 124" xfId="14828"/>
    <cellStyle name="Normal 125" xfId="14829"/>
    <cellStyle name="Normal 126" xfId="14830"/>
    <cellStyle name="Normal 127" xfId="14831"/>
    <cellStyle name="Normal 127 2" xfId="18450"/>
    <cellStyle name="Normal 128" xfId="14832"/>
    <cellStyle name="Normal 128 2" xfId="14833"/>
    <cellStyle name="Normal 128 2 2" xfId="14834"/>
    <cellStyle name="Normal 128 2 2 2" xfId="14835"/>
    <cellStyle name="Normal 128 2 3" xfId="14836"/>
    <cellStyle name="Normal 128 3" xfId="14837"/>
    <cellStyle name="Normal 128 3 2" xfId="14838"/>
    <cellStyle name="Normal 128 4" xfId="14839"/>
    <cellStyle name="Normal 129" xfId="14840"/>
    <cellStyle name="Normal 129 2" xfId="14841"/>
    <cellStyle name="Normal 129 2 2" xfId="14842"/>
    <cellStyle name="Normal 129 2 2 2" xfId="14843"/>
    <cellStyle name="Normal 129 2 3" xfId="14844"/>
    <cellStyle name="Normal 129 3" xfId="14845"/>
    <cellStyle name="Normal 129 3 2" xfId="14846"/>
    <cellStyle name="Normal 129 4" xfId="14847"/>
    <cellStyle name="Normal 13" xfId="659"/>
    <cellStyle name="Normal 13 2" xfId="14848"/>
    <cellStyle name="Normal 13 2 2" xfId="14849"/>
    <cellStyle name="Normal 13 2 2 2" xfId="14850"/>
    <cellStyle name="Normal 13 2 3" xfId="14851"/>
    <cellStyle name="Normal 13 2 3 2" xfId="14852"/>
    <cellStyle name="Normal 13 2 4" xfId="14853"/>
    <cellStyle name="Normal 13 3" xfId="14854"/>
    <cellStyle name="Normal 13 3 2" xfId="14855"/>
    <cellStyle name="Normal 13 4" xfId="14856"/>
    <cellStyle name="Normal 13 4 2" xfId="14857"/>
    <cellStyle name="Normal 13 5" xfId="14858"/>
    <cellStyle name="Normal 130" xfId="14859"/>
    <cellStyle name="Normal 130 2" xfId="14860"/>
    <cellStyle name="Normal 130 2 2" xfId="14861"/>
    <cellStyle name="Normal 130 2 2 2" xfId="14862"/>
    <cellStyle name="Normal 130 2 3" xfId="14863"/>
    <cellStyle name="Normal 130 3" xfId="14864"/>
    <cellStyle name="Normal 130 3 2" xfId="14865"/>
    <cellStyle name="Normal 130 4" xfId="14866"/>
    <cellStyle name="Normal 131" xfId="14867"/>
    <cellStyle name="Normal 131 2" xfId="14868"/>
    <cellStyle name="Normal 131 2 2" xfId="14869"/>
    <cellStyle name="Normal 131 2 2 2" xfId="14870"/>
    <cellStyle name="Normal 131 2 3" xfId="14871"/>
    <cellStyle name="Normal 131 3" xfId="14872"/>
    <cellStyle name="Normal 131 3 2" xfId="14873"/>
    <cellStyle name="Normal 131 4" xfId="14874"/>
    <cellStyle name="Normal 132" xfId="14875"/>
    <cellStyle name="Normal 133" xfId="14876"/>
    <cellStyle name="Normal 134" xfId="14877"/>
    <cellStyle name="Normal 134 2" xfId="18451"/>
    <cellStyle name="Normal 135" xfId="14878"/>
    <cellStyle name="Normal 135 2" xfId="18452"/>
    <cellStyle name="Normal 136" xfId="14879"/>
    <cellStyle name="Normal 136 2" xfId="18453"/>
    <cellStyle name="Normal 137" xfId="14880"/>
    <cellStyle name="Normal 138" xfId="14881"/>
    <cellStyle name="Normal 138 2" xfId="14882"/>
    <cellStyle name="Normal 138 2 2" xfId="14883"/>
    <cellStyle name="Normal 138 2 2 2" xfId="14884"/>
    <cellStyle name="Normal 138 2 3" xfId="14885"/>
    <cellStyle name="Normal 138 3" xfId="14886"/>
    <cellStyle name="Normal 138 3 2" xfId="14887"/>
    <cellStyle name="Normal 138 4" xfId="14888"/>
    <cellStyle name="Normal 139" xfId="14889"/>
    <cellStyle name="Normal 14" xfId="660"/>
    <cellStyle name="Normal 14 2" xfId="14890"/>
    <cellStyle name="Normal 14 2 2" xfId="14891"/>
    <cellStyle name="Normal 14 2 2 2" xfId="14892"/>
    <cellStyle name="Normal 14 2 2 3" xfId="20791"/>
    <cellStyle name="Normal 14 2 2 4" xfId="20792"/>
    <cellStyle name="Normal 14 2 3" xfId="14893"/>
    <cellStyle name="Normal 14 2 3 2" xfId="14894"/>
    <cellStyle name="Normal 14 2 3 3" xfId="20793"/>
    <cellStyle name="Normal 14 2 4" xfId="14895"/>
    <cellStyle name="Normal 14 2 4 2" xfId="20794"/>
    <cellStyle name="Normal 14 2 5" xfId="20795"/>
    <cellStyle name="Normal 14 3" xfId="14896"/>
    <cellStyle name="Normal 14 3 2" xfId="14897"/>
    <cellStyle name="Normal 14 3 2 2" xfId="14898"/>
    <cellStyle name="Normal 14 3 3" xfId="14899"/>
    <cellStyle name="Normal 14 3 4" xfId="20796"/>
    <cellStyle name="Normal 14 4" xfId="14900"/>
    <cellStyle name="Normal 14 4 2" xfId="14901"/>
    <cellStyle name="Normal 14 4 3" xfId="20797"/>
    <cellStyle name="Normal 14 5" xfId="14902"/>
    <cellStyle name="Normal 14 6" xfId="20798"/>
    <cellStyle name="Normal 140" xfId="14903"/>
    <cellStyle name="Normal 140 2" xfId="14904"/>
    <cellStyle name="Normal 140 2 2" xfId="14905"/>
    <cellStyle name="Normal 140 3" xfId="14906"/>
    <cellStyle name="Normal 141" xfId="14907"/>
    <cellStyle name="Normal 141 2" xfId="14908"/>
    <cellStyle name="Normal 142" xfId="14909"/>
    <cellStyle name="Normal 143" xfId="14910"/>
    <cellStyle name="Normal 144" xfId="14911"/>
    <cellStyle name="Normal 145" xfId="14912"/>
    <cellStyle name="Normal 145 2" xfId="14913"/>
    <cellStyle name="Normal 145 2 2" xfId="14914"/>
    <cellStyle name="Normal 145 3" xfId="14915"/>
    <cellStyle name="Normal 146" xfId="14916"/>
    <cellStyle name="Normal 147" xfId="14917"/>
    <cellStyle name="Normal 147 2" xfId="14918"/>
    <cellStyle name="Normal 147 2 2" xfId="14919"/>
    <cellStyle name="Normal 147 3" xfId="14920"/>
    <cellStyle name="Normal 148" xfId="14921"/>
    <cellStyle name="Normal 148 2" xfId="14922"/>
    <cellStyle name="Normal 148 2 2" xfId="14923"/>
    <cellStyle name="Normal 148 3" xfId="14924"/>
    <cellStyle name="Normal 149" xfId="14925"/>
    <cellStyle name="Normal 15" xfId="661"/>
    <cellStyle name="Normal 15 2" xfId="14926"/>
    <cellStyle name="Normal 15 2 2" xfId="14927"/>
    <cellStyle name="Normal 15 2 2 2" xfId="14928"/>
    <cellStyle name="Normal 15 2 3" xfId="14929"/>
    <cellStyle name="Normal 15 2 3 2" xfId="14930"/>
    <cellStyle name="Normal 15 2 4" xfId="14931"/>
    <cellStyle name="Normal 15 2 5" xfId="20799"/>
    <cellStyle name="Normal 15 3" xfId="14932"/>
    <cellStyle name="Normal 15 3 2" xfId="14933"/>
    <cellStyle name="Normal 15 3 3" xfId="20800"/>
    <cellStyle name="Normal 15 3 4" xfId="20801"/>
    <cellStyle name="Normal 15 4" xfId="14934"/>
    <cellStyle name="Normal 15 4 2" xfId="14935"/>
    <cellStyle name="Normal 15 4 3" xfId="20802"/>
    <cellStyle name="Normal 15 5" xfId="14936"/>
    <cellStyle name="Normal 15 6" xfId="20803"/>
    <cellStyle name="Normal 150" xfId="14937"/>
    <cellStyle name="Normal 150 2" xfId="14938"/>
    <cellStyle name="Normal 150 2 2" xfId="14939"/>
    <cellStyle name="Normal 150 3" xfId="14940"/>
    <cellStyle name="Normal 150 4" xfId="14941"/>
    <cellStyle name="Normal 151" xfId="14942"/>
    <cellStyle name="Normal 151 2" xfId="14943"/>
    <cellStyle name="Normal 152" xfId="14944"/>
    <cellStyle name="Normal 153" xfId="14945"/>
    <cellStyle name="Normal 154" xfId="14946"/>
    <cellStyle name="Normal 155" xfId="14947"/>
    <cellStyle name="Normal 156" xfId="14948"/>
    <cellStyle name="Normal 156 2" xfId="14949"/>
    <cellStyle name="Normal 157" xfId="14950"/>
    <cellStyle name="Normal 157 2" xfId="14951"/>
    <cellStyle name="Normal 158" xfId="14952"/>
    <cellStyle name="Normal 158 2" xfId="14953"/>
    <cellStyle name="Normal 159" xfId="14954"/>
    <cellStyle name="Normal 16" xfId="662"/>
    <cellStyle name="Normal 16 2" xfId="663"/>
    <cellStyle name="Normal 16 2 2" xfId="14955"/>
    <cellStyle name="Normal 16 2 2 2" xfId="14956"/>
    <cellStyle name="Normal 16 2 3" xfId="14957"/>
    <cellStyle name="Normal 16 2 3 2" xfId="14958"/>
    <cellStyle name="Normal 16 2 4" xfId="14959"/>
    <cellStyle name="Normal 16 3" xfId="14960"/>
    <cellStyle name="Normal 16 3 2" xfId="14961"/>
    <cellStyle name="Normal 16 3 2 2" xfId="20804"/>
    <cellStyle name="Normal 16 3 2 3" xfId="20805"/>
    <cellStyle name="Normal 16 3 3" xfId="20806"/>
    <cellStyle name="Normal 16 3 3 2" xfId="20807"/>
    <cellStyle name="Normal 16 3 4" xfId="20808"/>
    <cellStyle name="Normal 16 3 5" xfId="20809"/>
    <cellStyle name="Normal 16 4" xfId="14962"/>
    <cellStyle name="Normal 16 4 2" xfId="14963"/>
    <cellStyle name="Normal 16 4 3" xfId="20810"/>
    <cellStyle name="Normal 16 4 4" xfId="20811"/>
    <cellStyle name="Normal 16 5" xfId="14964"/>
    <cellStyle name="Normal 16 5 2" xfId="20812"/>
    <cellStyle name="Normal 16 5 3" xfId="20813"/>
    <cellStyle name="Normal 16 6" xfId="20814"/>
    <cellStyle name="Normal 160" xfId="14965"/>
    <cellStyle name="Normal 161" xfId="14966"/>
    <cellStyle name="Normal 162" xfId="14967"/>
    <cellStyle name="Normal 163" xfId="14968"/>
    <cellStyle name="Normal 164" xfId="21230"/>
    <cellStyle name="Normal 17" xfId="664"/>
    <cellStyle name="Normal 17 10" xfId="20815"/>
    <cellStyle name="Normal 17 11" xfId="20816"/>
    <cellStyle name="Normal 17 12" xfId="20817"/>
    <cellStyle name="Normal 17 13" xfId="20818"/>
    <cellStyle name="Normal 17 2" xfId="665"/>
    <cellStyle name="Normal 17 2 2" xfId="14969"/>
    <cellStyle name="Normal 17 2 2 2" xfId="14970"/>
    <cellStyle name="Normal 17 2 3" xfId="14971"/>
    <cellStyle name="Normal 17 2 3 2" xfId="14972"/>
    <cellStyle name="Normal 17 2 4" xfId="14973"/>
    <cellStyle name="Normal 17 3" xfId="14974"/>
    <cellStyle name="Normal 17 3 2" xfId="14975"/>
    <cellStyle name="Normal 17 3 2 2" xfId="20819"/>
    <cellStyle name="Normal 17 3 2 3" xfId="20820"/>
    <cellStyle name="Normal 17 3 3" xfId="20821"/>
    <cellStyle name="Normal 17 3 3 2" xfId="20822"/>
    <cellStyle name="Normal 17 3 4" xfId="20823"/>
    <cellStyle name="Normal 17 3 4 2" xfId="20824"/>
    <cellStyle name="Normal 17 3 5" xfId="20825"/>
    <cellStyle name="Normal 17 4" xfId="14976"/>
    <cellStyle name="Normal 17 4 2" xfId="14977"/>
    <cellStyle name="Normal 17 4 2 2" xfId="20826"/>
    <cellStyle name="Normal 17 4 3" xfId="20827"/>
    <cellStyle name="Normal 17 4 3 2" xfId="20828"/>
    <cellStyle name="Normal 17 5" xfId="14978"/>
    <cellStyle name="Normal 17 5 2" xfId="20829"/>
    <cellStyle name="Normal 17 6" xfId="18312"/>
    <cellStyle name="Normal 17 6 2" xfId="20830"/>
    <cellStyle name="Normal 17 6 3" xfId="20831"/>
    <cellStyle name="Normal 17 7" xfId="20832"/>
    <cellStyle name="Normal 17 8" xfId="20833"/>
    <cellStyle name="Normal 17 9" xfId="20834"/>
    <cellStyle name="Normal 18" xfId="666"/>
    <cellStyle name="Normal 18 2" xfId="14979"/>
    <cellStyle name="Normal 18 2 2" xfId="14980"/>
    <cellStyle name="Normal 18 2 2 2" xfId="14981"/>
    <cellStyle name="Normal 18 2 3" xfId="14982"/>
    <cellStyle name="Normal 18 2 3 2" xfId="14983"/>
    <cellStyle name="Normal 18 2 4" xfId="14984"/>
    <cellStyle name="Normal 18 3" xfId="14985"/>
    <cellStyle name="Normal 18 3 2" xfId="14986"/>
    <cellStyle name="Normal 18 3 3" xfId="20835"/>
    <cellStyle name="Normal 18 4" xfId="14987"/>
    <cellStyle name="Normal 18 4 2" xfId="14988"/>
    <cellStyle name="Normal 18 5" xfId="14989"/>
    <cellStyle name="Normal 19" xfId="667"/>
    <cellStyle name="Normal 19 2" xfId="14990"/>
    <cellStyle name="Normal 19 2 2" xfId="14991"/>
    <cellStyle name="Normal 19 2 2 2" xfId="14992"/>
    <cellStyle name="Normal 19 2 3" xfId="14993"/>
    <cellStyle name="Normal 19 2 3 2" xfId="14994"/>
    <cellStyle name="Normal 19 2 4" xfId="14995"/>
    <cellStyle name="Normal 19 3" xfId="14996"/>
    <cellStyle name="Normal 19 3 2" xfId="14997"/>
    <cellStyle name="Normal 19 3 3" xfId="20836"/>
    <cellStyle name="Normal 19 4" xfId="14998"/>
    <cellStyle name="Normal 19 4 2" xfId="14999"/>
    <cellStyle name="Normal 19 5" xfId="15000"/>
    <cellStyle name="Normal 2" xfId="7"/>
    <cellStyle name="Normal 2 10" xfId="15001"/>
    <cellStyle name="Normal 2 10 2" xfId="15002"/>
    <cellStyle name="Normal 2 10 2 2" xfId="15003"/>
    <cellStyle name="Normal 2 10 3" xfId="15004"/>
    <cellStyle name="Normal 2 11" xfId="15005"/>
    <cellStyle name="Normal 2 11 2" xfId="15006"/>
    <cellStyle name="Normal 2 11 2 2" xfId="15007"/>
    <cellStyle name="Normal 2 11 3" xfId="15008"/>
    <cellStyle name="Normal 2 12" xfId="15009"/>
    <cellStyle name="Normal 2 12 2" xfId="15010"/>
    <cellStyle name="Normal 2 12 2 2" xfId="15011"/>
    <cellStyle name="Normal 2 12 3" xfId="15012"/>
    <cellStyle name="Normal 2 12 3 2" xfId="15013"/>
    <cellStyle name="Normal 2 12 4" xfId="15014"/>
    <cellStyle name="Normal 2 13" xfId="15015"/>
    <cellStyle name="Normal 2 13 2" xfId="15016"/>
    <cellStyle name="Normal 2 13 2 2" xfId="15017"/>
    <cellStyle name="Normal 2 13 3" xfId="15018"/>
    <cellStyle name="Normal 2 13 3 2" xfId="15019"/>
    <cellStyle name="Normal 2 13 4" xfId="15020"/>
    <cellStyle name="Normal 2 14" xfId="15021"/>
    <cellStyle name="Normal 2 14 2" xfId="15022"/>
    <cellStyle name="Normal 2 15" xfId="15023"/>
    <cellStyle name="Normal 2 15 2" xfId="15024"/>
    <cellStyle name="Normal 2 16" xfId="15025"/>
    <cellStyle name="Normal 2 16 2" xfId="15026"/>
    <cellStyle name="Normal 2 17" xfId="15027"/>
    <cellStyle name="Normal 2 18" xfId="15028"/>
    <cellStyle name="Normal 2 19" xfId="15029"/>
    <cellStyle name="Normal 2 19 2" xfId="15030"/>
    <cellStyle name="Normal 2 2" xfId="668"/>
    <cellStyle name="Normal 2 2 10" xfId="15031"/>
    <cellStyle name="Normal 2 2 10 2" xfId="15032"/>
    <cellStyle name="Normal 2 2 11" xfId="15033"/>
    <cellStyle name="Normal 2 2 12" xfId="18313"/>
    <cellStyle name="Normal 2 2 2" xfId="669"/>
    <cellStyle name="Normal 2 2 2 2" xfId="670"/>
    <cellStyle name="Normal 2 2 2 2 2" xfId="15034"/>
    <cellStyle name="Normal 2 2 2 2 2 2" xfId="15035"/>
    <cellStyle name="Normal 2 2 2 2 2 2 2" xfId="15036"/>
    <cellStyle name="Normal 2 2 2 2 2 3" xfId="15037"/>
    <cellStyle name="Normal 2 2 2 2 2 4" xfId="20837"/>
    <cellStyle name="Normal 2 2 2 2 3" xfId="15038"/>
    <cellStyle name="Normal 2 2 2 2 3 2" xfId="15039"/>
    <cellStyle name="Normal 2 2 2 2 3 2 2" xfId="15040"/>
    <cellStyle name="Normal 2 2 2 2 3 3" xfId="15041"/>
    <cellStyle name="Normal 2 2 2 2 4" xfId="15042"/>
    <cellStyle name="Normal 2 2 2 2 4 2" xfId="15043"/>
    <cellStyle name="Normal 2 2 2 2 5" xfId="15044"/>
    <cellStyle name="Normal 2 2 2 2 5 2" xfId="15045"/>
    <cellStyle name="Normal 2 2 2 2 6" xfId="15046"/>
    <cellStyle name="Normal 2 2 2 2 7" xfId="18314"/>
    <cellStyle name="Normal 2 2 2 2 8" xfId="20838"/>
    <cellStyle name="Normal 2 2 2 3" xfId="15047"/>
    <cellStyle name="Normal 2 2 2 3 2" xfId="15048"/>
    <cellStyle name="Normal 2 2 2 3 2 2" xfId="15049"/>
    <cellStyle name="Normal 2 2 2 3 2 2 2" xfId="15050"/>
    <cellStyle name="Normal 2 2 2 3 2 3" xfId="15051"/>
    <cellStyle name="Normal 2 2 2 3 3" xfId="15052"/>
    <cellStyle name="Normal 2 2 2 3 3 2" xfId="15053"/>
    <cellStyle name="Normal 2 2 2 3 3 2 2" xfId="15054"/>
    <cellStyle name="Normal 2 2 2 3 3 3" xfId="15055"/>
    <cellStyle name="Normal 2 2 2 3 4" xfId="15056"/>
    <cellStyle name="Normal 2 2 2 3 4 2" xfId="15057"/>
    <cellStyle name="Normal 2 2 2 3 5" xfId="15058"/>
    <cellStyle name="Normal 2 2 2 4" xfId="15059"/>
    <cellStyle name="Normal 2 2 2 4 2" xfId="15060"/>
    <cellStyle name="Normal 2 2 2 4 2 2" xfId="15061"/>
    <cellStyle name="Normal 2 2 2 4 3" xfId="15062"/>
    <cellStyle name="Normal 2 2 2 5" xfId="15063"/>
    <cellStyle name="Normal 2 2 2 5 2" xfId="15064"/>
    <cellStyle name="Normal 2 2 2 5 2 2" xfId="15065"/>
    <cellStyle name="Normal 2 2 2 5 3" xfId="15066"/>
    <cellStyle name="Normal 2 2 2 6" xfId="15067"/>
    <cellStyle name="Normal 2 2 2 6 2" xfId="15068"/>
    <cellStyle name="Normal 2 2 2 7" xfId="15069"/>
    <cellStyle name="Normal 2 2 2 7 2" xfId="15070"/>
    <cellStyle name="Normal 2 2 2 8" xfId="15071"/>
    <cellStyle name="Normal 2 2 2_12PCORC Wind Vestas and Royalties" xfId="15072"/>
    <cellStyle name="Normal 2 2 3" xfId="671"/>
    <cellStyle name="Normal 2 2 3 2" xfId="15073"/>
    <cellStyle name="Normal 2 2 3 2 2" xfId="15074"/>
    <cellStyle name="Normal 2 2 3 2 2 2" xfId="15075"/>
    <cellStyle name="Normal 2 2 3 2 3" xfId="15076"/>
    <cellStyle name="Normal 2 2 3 2 3 2" xfId="15077"/>
    <cellStyle name="Normal 2 2 3 2 4" xfId="15078"/>
    <cellStyle name="Normal 2 2 3 3" xfId="15079"/>
    <cellStyle name="Normal 2 2 3 3 2" xfId="15080"/>
    <cellStyle name="Normal 2 2 3 3 2 2" xfId="15081"/>
    <cellStyle name="Normal 2 2 3 3 3" xfId="15082"/>
    <cellStyle name="Normal 2 2 3 4" xfId="15083"/>
    <cellStyle name="Normal 2 2 3 4 2" xfId="15084"/>
    <cellStyle name="Normal 2 2 3 5" xfId="15085"/>
    <cellStyle name="Normal 2 2 3 5 2" xfId="15086"/>
    <cellStyle name="Normal 2 2 3 6" xfId="15087"/>
    <cellStyle name="Normal 2 2 3 7" xfId="18315"/>
    <cellStyle name="Normal 2 2 4" xfId="15088"/>
    <cellStyle name="Normal 2 2 4 2" xfId="15089"/>
    <cellStyle name="Normal 2 2 4 2 2" xfId="15090"/>
    <cellStyle name="Normal 2 2 4 3" xfId="15091"/>
    <cellStyle name="Normal 2 2 4 3 2" xfId="15092"/>
    <cellStyle name="Normal 2 2 4 4" xfId="15093"/>
    <cellStyle name="Normal 2 2 5" xfId="15094"/>
    <cellStyle name="Normal 2 2 5 2" xfId="15095"/>
    <cellStyle name="Normal 2 2 6" xfId="15096"/>
    <cellStyle name="Normal 2 2 6 2" xfId="15097"/>
    <cellStyle name="Normal 2 2 7" xfId="15098"/>
    <cellStyle name="Normal 2 2 7 2" xfId="15099"/>
    <cellStyle name="Normal 2 2 8" xfId="15100"/>
    <cellStyle name="Normal 2 2 8 2" xfId="15101"/>
    <cellStyle name="Normal 2 2 9" xfId="15102"/>
    <cellStyle name="Normal 2 2 9 2" xfId="15103"/>
    <cellStyle name="Normal 2 2_ Price Inputs" xfId="15104"/>
    <cellStyle name="Normal 2 20" xfId="15105"/>
    <cellStyle name="Normal 2 3" xfId="672"/>
    <cellStyle name="Normal 2 3 10" xfId="20839"/>
    <cellStyle name="Normal 2 3 2" xfId="673"/>
    <cellStyle name="Normal 2 3 2 2" xfId="674"/>
    <cellStyle name="Normal 2 3 2 2 2" xfId="15106"/>
    <cellStyle name="Normal 2 3 2 2 3" xfId="18318"/>
    <cellStyle name="Normal 2 3 2 2 4" xfId="20840"/>
    <cellStyle name="Normal 2 3 2 2 5" xfId="20841"/>
    <cellStyle name="Normal 2 3 2 3" xfId="15107"/>
    <cellStyle name="Normal 2 3 2 3 2" xfId="15108"/>
    <cellStyle name="Normal 2 3 2 3 3" xfId="20842"/>
    <cellStyle name="Normal 2 3 2 4" xfId="15109"/>
    <cellStyle name="Normal 2 3 2 4 2" xfId="20843"/>
    <cellStyle name="Normal 2 3 2 5" xfId="18317"/>
    <cellStyle name="Normal 2 3 2 6" xfId="20844"/>
    <cellStyle name="Normal 2 3 2 7" xfId="20845"/>
    <cellStyle name="Normal 2 3 2 8" xfId="20846"/>
    <cellStyle name="Normal 2 3 3" xfId="675"/>
    <cellStyle name="Normal 2 3 3 2" xfId="15110"/>
    <cellStyle name="Normal 2 3 3 2 2" xfId="15111"/>
    <cellStyle name="Normal 2 3 3 3" xfId="15112"/>
    <cellStyle name="Normal 2 3 3 3 2" xfId="15113"/>
    <cellStyle name="Normal 2 3 3 4" xfId="15114"/>
    <cellStyle name="Normal 2 3 3 5" xfId="18319"/>
    <cellStyle name="Normal 2 3 4" xfId="15115"/>
    <cellStyle name="Normal 2 3 4 2" xfId="15116"/>
    <cellStyle name="Normal 2 3 4 3" xfId="20847"/>
    <cellStyle name="Normal 2 3 5" xfId="15117"/>
    <cellStyle name="Normal 2 3 5 2" xfId="15118"/>
    <cellStyle name="Normal 2 3 5 3" xfId="20848"/>
    <cellStyle name="Normal 2 3 6" xfId="15119"/>
    <cellStyle name="Normal 2 3 6 2" xfId="20849"/>
    <cellStyle name="Normal 2 3 7" xfId="18316"/>
    <cellStyle name="Normal 2 3 8" xfId="20850"/>
    <cellStyle name="Normal 2 3 9" xfId="20851"/>
    <cellStyle name="Normal 2 4" xfId="676"/>
    <cellStyle name="Normal 2 4 2" xfId="15120"/>
    <cellStyle name="Normal 2 4 2 2" xfId="15121"/>
    <cellStyle name="Normal 2 4 2 2 2" xfId="15122"/>
    <cellStyle name="Normal 2 4 2 3" xfId="15123"/>
    <cellStyle name="Normal 2 4 2 3 2" xfId="15124"/>
    <cellStyle name="Normal 2 4 2 4" xfId="15125"/>
    <cellStyle name="Normal 2 4 3" xfId="15126"/>
    <cellStyle name="Normal 2 4 3 2" xfId="15127"/>
    <cellStyle name="Normal 2 4 3 2 2" xfId="15128"/>
    <cellStyle name="Normal 2 4 3 3" xfId="15129"/>
    <cellStyle name="Normal 2 4 4" xfId="15130"/>
    <cellStyle name="Normal 2 4 4 2" xfId="15131"/>
    <cellStyle name="Normal 2 4 5" xfId="15132"/>
    <cellStyle name="Normal 2 4 5 2" xfId="15133"/>
    <cellStyle name="Normal 2 4 6" xfId="15134"/>
    <cellStyle name="Normal 2 5" xfId="677"/>
    <cellStyle name="Normal 2 5 2" xfId="15135"/>
    <cellStyle name="Normal 2 5 2 2" xfId="15136"/>
    <cellStyle name="Normal 2 5 2 2 2" xfId="15137"/>
    <cellStyle name="Normal 2 5 2 3" xfId="15138"/>
    <cellStyle name="Normal 2 5 2 3 2" xfId="15139"/>
    <cellStyle name="Normal 2 5 2 4" xfId="15140"/>
    <cellStyle name="Normal 2 5 3" xfId="15141"/>
    <cellStyle name="Normal 2 5 3 2" xfId="15142"/>
    <cellStyle name="Normal 2 5 3 2 2" xfId="15143"/>
    <cellStyle name="Normal 2 5 3 3" xfId="15144"/>
    <cellStyle name="Normal 2 5 4" xfId="15145"/>
    <cellStyle name="Normal 2 5 4 2" xfId="15146"/>
    <cellStyle name="Normal 2 5 5" xfId="15147"/>
    <cellStyle name="Normal 2 5 5 2" xfId="15148"/>
    <cellStyle name="Normal 2 5 6" xfId="15149"/>
    <cellStyle name="Normal 2 5 7" xfId="18320"/>
    <cellStyle name="Normal 2 6" xfId="15150"/>
    <cellStyle name="Normal 2 6 2" xfId="15151"/>
    <cellStyle name="Normal 2 6 2 2" xfId="15152"/>
    <cellStyle name="Normal 2 6 2 2 2" xfId="15153"/>
    <cellStyle name="Normal 2 6 2 3" xfId="15154"/>
    <cellStyle name="Normal 2 6 2 3 2" xfId="15155"/>
    <cellStyle name="Normal 2 6 2 4" xfId="15156"/>
    <cellStyle name="Normal 2 6 3" xfId="15157"/>
    <cellStyle name="Normal 2 6 3 2" xfId="15158"/>
    <cellStyle name="Normal 2 6 4" xfId="15159"/>
    <cellStyle name="Normal 2 6 4 2" xfId="15160"/>
    <cellStyle name="Normal 2 6 5" xfId="15161"/>
    <cellStyle name="Normal 2 6 6" xfId="20852"/>
    <cellStyle name="Normal 2 7" xfId="15162"/>
    <cellStyle name="Normal 2 7 2" xfId="15163"/>
    <cellStyle name="Normal 2 7 2 2" xfId="15164"/>
    <cellStyle name="Normal 2 7 2 2 2" xfId="15165"/>
    <cellStyle name="Normal 2 7 2 3" xfId="15166"/>
    <cellStyle name="Normal 2 7 3" xfId="15167"/>
    <cellStyle name="Normal 2 7 3 2" xfId="15168"/>
    <cellStyle name="Normal 2 7 4" xfId="15169"/>
    <cellStyle name="Normal 2 7 4 2" xfId="15170"/>
    <cellStyle name="Normal 2 7 5" xfId="15171"/>
    <cellStyle name="Normal 2 8" xfId="15172"/>
    <cellStyle name="Normal 2 8 2" xfId="15173"/>
    <cellStyle name="Normal 2 8 2 2" xfId="15174"/>
    <cellStyle name="Normal 2 8 3" xfId="15175"/>
    <cellStyle name="Normal 2 8 3 2" xfId="15176"/>
    <cellStyle name="Normal 2 8 4" xfId="15177"/>
    <cellStyle name="Normal 2 9" xfId="15178"/>
    <cellStyle name="Normal 2 9 2" xfId="15179"/>
    <cellStyle name="Normal 2 9 2 2" xfId="15180"/>
    <cellStyle name="Normal 2 9 3" xfId="15181"/>
    <cellStyle name="Normal 2_16.37E Wild Horse Expansion DeferralRevwrkingfile SF" xfId="15182"/>
    <cellStyle name="Normal 20" xfId="678"/>
    <cellStyle name="Normal 20 2" xfId="15183"/>
    <cellStyle name="Normal 20 2 2" xfId="15184"/>
    <cellStyle name="Normal 20 2 2 2" xfId="15185"/>
    <cellStyle name="Normal 20 2 3" xfId="15186"/>
    <cellStyle name="Normal 20 2 3 2" xfId="15187"/>
    <cellStyle name="Normal 20 2 4" xfId="15188"/>
    <cellStyle name="Normal 20 3" xfId="15189"/>
    <cellStyle name="Normal 20 3 2" xfId="15190"/>
    <cellStyle name="Normal 20 3 2 2" xfId="15191"/>
    <cellStyle name="Normal 20 3 2 3" xfId="15192"/>
    <cellStyle name="Normal 20 3 2 3 2" xfId="18456"/>
    <cellStyle name="Normal 20 3 2 4" xfId="18455"/>
    <cellStyle name="Normal 20 3 3" xfId="15193"/>
    <cellStyle name="Normal 20 3 4" xfId="15194"/>
    <cellStyle name="Normal 20 3 4 2" xfId="18457"/>
    <cellStyle name="Normal 20 3 5" xfId="18454"/>
    <cellStyle name="Normal 20 4" xfId="15195"/>
    <cellStyle name="Normal 20 4 2" xfId="15196"/>
    <cellStyle name="Normal 20 5" xfId="15197"/>
    <cellStyle name="Normal 20 5 2" xfId="15198"/>
    <cellStyle name="Normal 20 6" xfId="15199"/>
    <cellStyle name="Normal 21" xfId="679"/>
    <cellStyle name="Normal 21 2" xfId="680"/>
    <cellStyle name="Normal 21 2 2" xfId="15200"/>
    <cellStyle name="Normal 21 2 2 2" xfId="15201"/>
    <cellStyle name="Normal 21 2 2 2 2" xfId="15202"/>
    <cellStyle name="Normal 21 2 2 2 3" xfId="15203"/>
    <cellStyle name="Normal 21 2 2 2 3 2" xfId="18460"/>
    <cellStyle name="Normal 21 2 2 2 4" xfId="18459"/>
    <cellStyle name="Normal 21 2 2 3" xfId="15204"/>
    <cellStyle name="Normal 21 2 2 4" xfId="15205"/>
    <cellStyle name="Normal 21 2 2 4 2" xfId="18461"/>
    <cellStyle name="Normal 21 2 2 5" xfId="18458"/>
    <cellStyle name="Normal 21 2 3" xfId="15206"/>
    <cellStyle name="Normal 21 3" xfId="15207"/>
    <cellStyle name="Normal 21 3 2" xfId="15208"/>
    <cellStyle name="Normal 21 3 2 2" xfId="15209"/>
    <cellStyle name="Normal 21 3 3" xfId="15210"/>
    <cellStyle name="Normal 21 3 4" xfId="20853"/>
    <cellStyle name="Normal 21 4" xfId="15211"/>
    <cellStyle name="Normal 21 4 2" xfId="15212"/>
    <cellStyle name="Normal 21 4 3" xfId="20854"/>
    <cellStyle name="Normal 21 5" xfId="15213"/>
    <cellStyle name="Normal 21 5 2" xfId="15214"/>
    <cellStyle name="Normal 21 6" xfId="15215"/>
    <cellStyle name="Normal 21_4 31E Reg Asset  Liab and EXH D" xfId="15216"/>
    <cellStyle name="Normal 22" xfId="681"/>
    <cellStyle name="Normal 22 2" xfId="682"/>
    <cellStyle name="Normal 22 2 2" xfId="15217"/>
    <cellStyle name="Normal 22 2 2 2" xfId="15218"/>
    <cellStyle name="Normal 22 2 2 2 2" xfId="15219"/>
    <cellStyle name="Normal 22 2 2 3" xfId="15220"/>
    <cellStyle name="Normal 22 2 2 4" xfId="15221"/>
    <cellStyle name="Normal 22 2 2 4 2" xfId="18463"/>
    <cellStyle name="Normal 22 2 2 5" xfId="18462"/>
    <cellStyle name="Normal 22 2 3" xfId="15222"/>
    <cellStyle name="Normal 22 2 4" xfId="15223"/>
    <cellStyle name="Normal 22 2 4 2" xfId="18464"/>
    <cellStyle name="Normal 22 3" xfId="15224"/>
    <cellStyle name="Normal 22 3 2" xfId="15225"/>
    <cellStyle name="Normal 22 3 2 2" xfId="15226"/>
    <cellStyle name="Normal 22 3 3" xfId="15227"/>
    <cellStyle name="Normal 22 3 4" xfId="20855"/>
    <cellStyle name="Normal 22 4" xfId="15228"/>
    <cellStyle name="Normal 22 4 2" xfId="15229"/>
    <cellStyle name="Normal 22 4 3" xfId="20856"/>
    <cellStyle name="Normal 22 5" xfId="15230"/>
    <cellStyle name="Normal 22 5 2" xfId="15231"/>
    <cellStyle name="Normal 22 6" xfId="15232"/>
    <cellStyle name="Normal 22 6 2" xfId="15233"/>
    <cellStyle name="Normal 22 7" xfId="15234"/>
    <cellStyle name="Normal 23" xfId="683"/>
    <cellStyle name="Normal 23 2" xfId="15235"/>
    <cellStyle name="Normal 23 2 2" xfId="15236"/>
    <cellStyle name="Normal 23 2 2 2" xfId="15237"/>
    <cellStyle name="Normal 23 2 2 2 2" xfId="15238"/>
    <cellStyle name="Normal 23 2 2 2 3" xfId="15239"/>
    <cellStyle name="Normal 23 2 2 2 3 2" xfId="18467"/>
    <cellStyle name="Normal 23 2 2 2 4" xfId="18466"/>
    <cellStyle name="Normal 23 2 2 3" xfId="15240"/>
    <cellStyle name="Normal 23 2 2 4" xfId="15241"/>
    <cellStyle name="Normal 23 2 2 4 2" xfId="18468"/>
    <cellStyle name="Normal 23 2 2 5" xfId="18465"/>
    <cellStyle name="Normal 23 2 3" xfId="15242"/>
    <cellStyle name="Normal 23 3" xfId="15243"/>
    <cellStyle name="Normal 23 3 2" xfId="15244"/>
    <cellStyle name="Normal 23 4" xfId="15245"/>
    <cellStyle name="Normal 23 4 2" xfId="15246"/>
    <cellStyle name="Normal 23 5" xfId="15247"/>
    <cellStyle name="Normal 24" xfId="684"/>
    <cellStyle name="Normal 24 2" xfId="15248"/>
    <cellStyle name="Normal 24 2 2" xfId="15249"/>
    <cellStyle name="Normal 24 2 2 2" xfId="15250"/>
    <cellStyle name="Normal 24 2 2 2 2" xfId="15251"/>
    <cellStyle name="Normal 24 2 2 2 3" xfId="15252"/>
    <cellStyle name="Normal 24 2 2 2 3 2" xfId="18471"/>
    <cellStyle name="Normal 24 2 2 2 4" xfId="18470"/>
    <cellStyle name="Normal 24 2 2 3" xfId="15253"/>
    <cellStyle name="Normal 24 2 2 4" xfId="15254"/>
    <cellStyle name="Normal 24 2 2 4 2" xfId="18472"/>
    <cellStyle name="Normal 24 2 2 5" xfId="18469"/>
    <cellStyle name="Normal 24 2 3" xfId="15255"/>
    <cellStyle name="Normal 24 2 3 2" xfId="15256"/>
    <cellStyle name="Normal 24 2 4" xfId="15257"/>
    <cellStyle name="Normal 24 2 4 2" xfId="15258"/>
    <cellStyle name="Normal 24 2 5" xfId="15259"/>
    <cellStyle name="Normal 24 2 5 2" xfId="15260"/>
    <cellStyle name="Normal 24 2 6" xfId="15261"/>
    <cellStyle name="Normal 24 3" xfId="15262"/>
    <cellStyle name="Normal 24 3 2" xfId="15263"/>
    <cellStyle name="Normal 24 3 2 2" xfId="15264"/>
    <cellStyle name="Normal 24 3 3" xfId="15265"/>
    <cellStyle name="Normal 24 3 3 2" xfId="15266"/>
    <cellStyle name="Normal 24 3 4" xfId="15267"/>
    <cellStyle name="Normal 24 4" xfId="15268"/>
    <cellStyle name="Normal 24 5" xfId="20857"/>
    <cellStyle name="Normal 24_PCA 11 -  Exhibit D Jan 2012 fr A Kellogg" xfId="15269"/>
    <cellStyle name="Normal 25" xfId="685"/>
    <cellStyle name="Normal 25 2" xfId="15270"/>
    <cellStyle name="Normal 25 2 2" xfId="15271"/>
    <cellStyle name="Normal 25 2 2 2" xfId="15272"/>
    <cellStyle name="Normal 25 2 2 2 2" xfId="15273"/>
    <cellStyle name="Normal 25 2 2 2 3" xfId="15274"/>
    <cellStyle name="Normal 25 2 2 2 3 2" xfId="18475"/>
    <cellStyle name="Normal 25 2 2 2 4" xfId="18474"/>
    <cellStyle name="Normal 25 2 2 3" xfId="15275"/>
    <cellStyle name="Normal 25 2 2 4" xfId="15276"/>
    <cellStyle name="Normal 25 2 2 4 2" xfId="18476"/>
    <cellStyle name="Normal 25 2 2 5" xfId="18473"/>
    <cellStyle name="Normal 25 2 3" xfId="15277"/>
    <cellStyle name="Normal 25 2 3 2" xfId="15278"/>
    <cellStyle name="Normal 25 2 4" xfId="15279"/>
    <cellStyle name="Normal 25 2 4 2" xfId="15280"/>
    <cellStyle name="Normal 25 2 5" xfId="15281"/>
    <cellStyle name="Normal 25 3" xfId="15282"/>
    <cellStyle name="Normal 25 3 2" xfId="15283"/>
    <cellStyle name="Normal 25 4" xfId="15284"/>
    <cellStyle name="Normal 25 4 2" xfId="15285"/>
    <cellStyle name="Normal 25 4 3" xfId="15286"/>
    <cellStyle name="Normal 25 4 3 2" xfId="18478"/>
    <cellStyle name="Normal 25 4 4" xfId="18477"/>
    <cellStyle name="Normal 25 5" xfId="15287"/>
    <cellStyle name="Normal 25 6" xfId="15288"/>
    <cellStyle name="Normal 25 6 2" xfId="18479"/>
    <cellStyle name="Normal 26" xfId="686"/>
    <cellStyle name="Normal 26 2" xfId="15289"/>
    <cellStyle name="Normal 26 2 2" xfId="15290"/>
    <cellStyle name="Normal 26 2 2 2" xfId="15291"/>
    <cellStyle name="Normal 26 2 2 2 2" xfId="15292"/>
    <cellStyle name="Normal 26 2 2 3" xfId="15293"/>
    <cellStyle name="Normal 26 2 3" xfId="15294"/>
    <cellStyle name="Normal 26 2 3 2" xfId="15295"/>
    <cellStyle name="Normal 26 2 4" xfId="15296"/>
    <cellStyle name="Normal 26 3" xfId="15297"/>
    <cellStyle name="Normal 26 3 2" xfId="15298"/>
    <cellStyle name="Normal 26 3 2 2" xfId="15299"/>
    <cellStyle name="Normal 26 3 2 2 2" xfId="18482"/>
    <cellStyle name="Normal 26 3 2 3" xfId="18481"/>
    <cellStyle name="Normal 26 3 3" xfId="15300"/>
    <cellStyle name="Normal 26 3 3 2" xfId="18483"/>
    <cellStyle name="Normal 26 3 4" xfId="18480"/>
    <cellStyle name="Normal 26 4" xfId="15301"/>
    <cellStyle name="Normal 26 4 2" xfId="15302"/>
    <cellStyle name="Normal 26 4 2 2" xfId="15303"/>
    <cellStyle name="Normal 26 4 3" xfId="15304"/>
    <cellStyle name="Normal 26 4 4" xfId="15305"/>
    <cellStyle name="Normal 26 4 5" xfId="15306"/>
    <cellStyle name="Normal 26 4 6" xfId="15307"/>
    <cellStyle name="Normal 26 4 6 2" xfId="18485"/>
    <cellStyle name="Normal 26 4 7" xfId="18484"/>
    <cellStyle name="Normal 26 5" xfId="15308"/>
    <cellStyle name="Normal 26 6" xfId="15309"/>
    <cellStyle name="Normal 26 6 2" xfId="18486"/>
    <cellStyle name="Normal 27" xfId="687"/>
    <cellStyle name="Normal 27 2" xfId="15310"/>
    <cellStyle name="Normal 27 2 2" xfId="15311"/>
    <cellStyle name="Normal 27 2 2 2" xfId="15312"/>
    <cellStyle name="Normal 27 2 2 2 2" xfId="15313"/>
    <cellStyle name="Normal 27 2 2 3" xfId="15314"/>
    <cellStyle name="Normal 27 2 3" xfId="15315"/>
    <cellStyle name="Normal 27 2 3 2" xfId="15316"/>
    <cellStyle name="Normal 27 2 4" xfId="15317"/>
    <cellStyle name="Normal 27 3" xfId="15318"/>
    <cellStyle name="Normal 27 3 2" xfId="15319"/>
    <cellStyle name="Normal 27 3 2 2" xfId="15320"/>
    <cellStyle name="Normal 27 3 2 2 2" xfId="18489"/>
    <cellStyle name="Normal 27 3 2 3" xfId="18488"/>
    <cellStyle name="Normal 27 3 3" xfId="15321"/>
    <cellStyle name="Normal 27 3 3 2" xfId="18490"/>
    <cellStyle name="Normal 27 3 4" xfId="18487"/>
    <cellStyle name="Normal 27 4" xfId="15322"/>
    <cellStyle name="Normal 27 4 2" xfId="15323"/>
    <cellStyle name="Normal 27 4 3" xfId="15324"/>
    <cellStyle name="Normal 27 4 3 2" xfId="18492"/>
    <cellStyle name="Normal 27 4 4" xfId="18491"/>
    <cellStyle name="Normal 27 5" xfId="15325"/>
    <cellStyle name="Normal 27 6" xfId="15326"/>
    <cellStyle name="Normal 27 6 2" xfId="18493"/>
    <cellStyle name="Normal 28" xfId="688"/>
    <cellStyle name="Normal 28 2" xfId="15327"/>
    <cellStyle name="Normal 28 2 2" xfId="15328"/>
    <cellStyle name="Normal 28 2 2 2" xfId="15329"/>
    <cellStyle name="Normal 28 2 2 2 2" xfId="15330"/>
    <cellStyle name="Normal 28 2 2 3" xfId="15331"/>
    <cellStyle name="Normal 28 2 3" xfId="15332"/>
    <cellStyle name="Normal 28 2 3 2" xfId="15333"/>
    <cellStyle name="Normal 28 2 4" xfId="15334"/>
    <cellStyle name="Normal 28 3" xfId="15335"/>
    <cellStyle name="Normal 28 3 2" xfId="15336"/>
    <cellStyle name="Normal 28 4" xfId="15337"/>
    <cellStyle name="Normal 28 4 2" xfId="15338"/>
    <cellStyle name="Normal 28 4 2 2" xfId="18495"/>
    <cellStyle name="Normal 28 4 3" xfId="18494"/>
    <cellStyle name="Normal 28 5" xfId="15339"/>
    <cellStyle name="Normal 28 5 2" xfId="18496"/>
    <cellStyle name="Normal 29" xfId="689"/>
    <cellStyle name="Normal 29 2" xfId="15340"/>
    <cellStyle name="Normal 29 2 2" xfId="15341"/>
    <cellStyle name="Normal 29 2 2 2" xfId="15342"/>
    <cellStyle name="Normal 29 2 2 2 2" xfId="15343"/>
    <cellStyle name="Normal 29 2 2 3" xfId="15344"/>
    <cellStyle name="Normal 29 2 2 4" xfId="15345"/>
    <cellStyle name="Normal 29 2 2 4 2" xfId="18499"/>
    <cellStyle name="Normal 29 2 2 5" xfId="18498"/>
    <cellStyle name="Normal 29 2 3" xfId="15346"/>
    <cellStyle name="Normal 29 2 3 2" xfId="15347"/>
    <cellStyle name="Normal 29 2 4" xfId="15348"/>
    <cellStyle name="Normal 29 2 5" xfId="15349"/>
    <cellStyle name="Normal 29 2 5 2" xfId="18500"/>
    <cellStyle name="Normal 29 2 6" xfId="18497"/>
    <cellStyle name="Normal 29 3" xfId="15350"/>
    <cellStyle name="Normal 29 3 2" xfId="15351"/>
    <cellStyle name="Normal 29 4" xfId="15352"/>
    <cellStyle name="Normal 29 5" xfId="20858"/>
    <cellStyle name="Normal 3" xfId="6"/>
    <cellStyle name="Normal 3 10" xfId="15353"/>
    <cellStyle name="Normal 3 10 2" xfId="15354"/>
    <cellStyle name="Normal 3 10 2 2" xfId="15355"/>
    <cellStyle name="Normal 3 10 3" xfId="15356"/>
    <cellStyle name="Normal 3 11" xfId="15357"/>
    <cellStyle name="Normal 3 11 2" xfId="15358"/>
    <cellStyle name="Normal 3 11 2 2" xfId="15359"/>
    <cellStyle name="Normal 3 11 3" xfId="15360"/>
    <cellStyle name="Normal 3 12" xfId="15361"/>
    <cellStyle name="Normal 3 12 2" xfId="15362"/>
    <cellStyle name="Normal 3 13" xfId="15363"/>
    <cellStyle name="Normal 3 13 2" xfId="15364"/>
    <cellStyle name="Normal 3 14" xfId="15365"/>
    <cellStyle name="Normal 3 14 2" xfId="15366"/>
    <cellStyle name="Normal 3 15" xfId="15367"/>
    <cellStyle name="Normal 3 16" xfId="15368"/>
    <cellStyle name="Normal 3 17" xfId="15369"/>
    <cellStyle name="Normal 3 17 2" xfId="15370"/>
    <cellStyle name="Normal 3 18" xfId="15371"/>
    <cellStyle name="Normal 3 18 2" xfId="18501"/>
    <cellStyle name="Normal 3 19" xfId="15372"/>
    <cellStyle name="Normal 3 2" xfId="690"/>
    <cellStyle name="Normal 3 2 2" xfId="691"/>
    <cellStyle name="Normal 3 2 2 2" xfId="692"/>
    <cellStyle name="Normal 3 2 2 2 2" xfId="15373"/>
    <cellStyle name="Normal 3 2 2 2 3" xfId="20859"/>
    <cellStyle name="Normal 3 2 2 3" xfId="15374"/>
    <cellStyle name="Normal 3 2 2 3 2" xfId="15375"/>
    <cellStyle name="Normal 3 2 2 4" xfId="15376"/>
    <cellStyle name="Normal 3 2 2 5" xfId="20860"/>
    <cellStyle name="Normal 3 2 3" xfId="693"/>
    <cellStyle name="Normal 3 2 3 2" xfId="15377"/>
    <cellStyle name="Normal 3 2 3 2 2" xfId="15378"/>
    <cellStyle name="Normal 3 2 3 3" xfId="15379"/>
    <cellStyle name="Normal 3 2 3 4" xfId="20861"/>
    <cellStyle name="Normal 3 2 4" xfId="694"/>
    <cellStyle name="Normal 3 2 4 2" xfId="15380"/>
    <cellStyle name="Normal 3 2 4 3" xfId="20862"/>
    <cellStyle name="Normal 3 2 4 4" xfId="20863"/>
    <cellStyle name="Normal 3 2 5" xfId="15381"/>
    <cellStyle name="Normal 3 2 5 2" xfId="15382"/>
    <cellStyle name="Normal 3 2 6" xfId="15383"/>
    <cellStyle name="Normal 3 2 7" xfId="20864"/>
    <cellStyle name="Normal 3 2 8" xfId="20865"/>
    <cellStyle name="Normal 3 2 9" xfId="20866"/>
    <cellStyle name="Normal 3 2_Chelan PUD Power Costs (8-10)" xfId="15384"/>
    <cellStyle name="Normal 3 3" xfId="695"/>
    <cellStyle name="Normal 3 3 2" xfId="696"/>
    <cellStyle name="Normal 3 3 2 2" xfId="15385"/>
    <cellStyle name="Normal 3 3 2 2 2" xfId="15386"/>
    <cellStyle name="Normal 3 3 2 3" xfId="15387"/>
    <cellStyle name="Normal 3 3 2 3 2" xfId="15388"/>
    <cellStyle name="Normal 3 3 2 4" xfId="15389"/>
    <cellStyle name="Normal 3 3 3" xfId="697"/>
    <cellStyle name="Normal 3 3 3 2" xfId="15390"/>
    <cellStyle name="Normal 3 3 3 3" xfId="20867"/>
    <cellStyle name="Normal 3 3 3 4" xfId="20868"/>
    <cellStyle name="Normal 3 3 4" xfId="15391"/>
    <cellStyle name="Normal 3 3 4 2" xfId="15392"/>
    <cellStyle name="Normal 3 3 5" xfId="15393"/>
    <cellStyle name="Normal 3 3 6" xfId="20869"/>
    <cellStyle name="Normal 3 3 7" xfId="20870"/>
    <cellStyle name="Normal 3 3 8" xfId="20871"/>
    <cellStyle name="Normal 3 4" xfId="698"/>
    <cellStyle name="Normal 3 4 2" xfId="699"/>
    <cellStyle name="Normal 3 4 2 2" xfId="700"/>
    <cellStyle name="Normal 3 4 2 2 2" xfId="15394"/>
    <cellStyle name="Normal 3 4 2 2 3" xfId="20872"/>
    <cellStyle name="Normal 3 4 2 3" xfId="15395"/>
    <cellStyle name="Normal 3 4 2 4" xfId="20873"/>
    <cellStyle name="Normal 3 4 2 5" xfId="20874"/>
    <cellStyle name="Normal 3 4 3" xfId="701"/>
    <cellStyle name="Normal 3 4 3 2" xfId="15396"/>
    <cellStyle name="Normal 3 4 3 3" xfId="20875"/>
    <cellStyle name="Normal 3 4 4" xfId="15397"/>
    <cellStyle name="Normal 3 4 4 2" xfId="15398"/>
    <cellStyle name="Normal 3 4 5" xfId="15399"/>
    <cellStyle name="Normal 3 4 5 2" xfId="15400"/>
    <cellStyle name="Normal 3 4 6" xfId="15401"/>
    <cellStyle name="Normal 3 4 7" xfId="20876"/>
    <cellStyle name="Normal 3 5" xfId="702"/>
    <cellStyle name="Normal 3 5 2" xfId="703"/>
    <cellStyle name="Normal 3 5 2 2" xfId="15402"/>
    <cellStyle name="Normal 3 5 2 3" xfId="20877"/>
    <cellStyle name="Normal 3 5 3" xfId="704"/>
    <cellStyle name="Normal 3 5 3 2" xfId="15403"/>
    <cellStyle name="Normal 3 5 3 3" xfId="20878"/>
    <cellStyle name="Normal 3 5 4" xfId="15404"/>
    <cellStyle name="Normal 3 5 4 2" xfId="20879"/>
    <cellStyle name="Normal 3 5 5" xfId="20880"/>
    <cellStyle name="Normal 3 5 6" xfId="20881"/>
    <cellStyle name="Normal 3 6" xfId="705"/>
    <cellStyle name="Normal 3 6 2" xfId="706"/>
    <cellStyle name="Normal 3 6 2 2" xfId="15405"/>
    <cellStyle name="Normal 3 6 2 3" xfId="15406"/>
    <cellStyle name="Normal 3 6 2 3 2" xfId="18502"/>
    <cellStyle name="Normal 3 6 3" xfId="15407"/>
    <cellStyle name="Normal 3 6 3 2" xfId="15408"/>
    <cellStyle name="Normal 3 6 4" xfId="15409"/>
    <cellStyle name="Normal 3 6 5" xfId="15410"/>
    <cellStyle name="Normal 3 6 5 2" xfId="18503"/>
    <cellStyle name="Normal 3 7" xfId="707"/>
    <cellStyle name="Normal 3 7 2" xfId="15411"/>
    <cellStyle name="Normal 3 7 2 2" xfId="15412"/>
    <cellStyle name="Normal 3 7 3" xfId="15413"/>
    <cellStyle name="Normal 3 7 4" xfId="20882"/>
    <cellStyle name="Normal 3 8" xfId="708"/>
    <cellStyle name="Normal 3 8 2" xfId="15414"/>
    <cellStyle name="Normal 3 8 2 2" xfId="15415"/>
    <cellStyle name="Normal 3 8 3" xfId="15416"/>
    <cellStyle name="Normal 3 8 4" xfId="20883"/>
    <cellStyle name="Normal 3 9" xfId="709"/>
    <cellStyle name="Normal 3 9 2" xfId="15417"/>
    <cellStyle name="Normal 3 9 2 2" xfId="15418"/>
    <cellStyle name="Normal 3 9 3" xfId="15419"/>
    <cellStyle name="Normal 3_ Price Inputs" xfId="15420"/>
    <cellStyle name="Normal 30" xfId="710"/>
    <cellStyle name="Normal 30 2" xfId="15421"/>
    <cellStyle name="Normal 30 2 2" xfId="15422"/>
    <cellStyle name="Normal 30 2 2 2" xfId="15423"/>
    <cellStyle name="Normal 30 2 2 2 2" xfId="15424"/>
    <cellStyle name="Normal 30 2 2 3" xfId="15425"/>
    <cellStyle name="Normal 30 2 3" xfId="15426"/>
    <cellStyle name="Normal 30 2 3 2" xfId="15427"/>
    <cellStyle name="Normal 30 2 4" xfId="15428"/>
    <cellStyle name="Normal 30 3" xfId="15429"/>
    <cellStyle name="Normal 30 3 2" xfId="15430"/>
    <cellStyle name="Normal 30 3 3" xfId="15431"/>
    <cellStyle name="Normal 30 3 3 2" xfId="18505"/>
    <cellStyle name="Normal 30 3 4" xfId="18504"/>
    <cellStyle name="Normal 30 4" xfId="15432"/>
    <cellStyle name="Normal 30 5" xfId="15433"/>
    <cellStyle name="Normal 30 5 2" xfId="18506"/>
    <cellStyle name="Normal 31" xfId="711"/>
    <cellStyle name="Normal 31 2" xfId="15434"/>
    <cellStyle name="Normal 31 2 2" xfId="15435"/>
    <cellStyle name="Normal 31 2 2 2" xfId="15436"/>
    <cellStyle name="Normal 31 2 2 2 2" xfId="15437"/>
    <cellStyle name="Normal 31 2 2 3" xfId="15438"/>
    <cellStyle name="Normal 31 2 3" xfId="15439"/>
    <cellStyle name="Normal 31 2 3 2" xfId="15440"/>
    <cellStyle name="Normal 31 2 3 3" xfId="15441"/>
    <cellStyle name="Normal 31 2 3 3 2" xfId="18509"/>
    <cellStyle name="Normal 31 2 3 4" xfId="18508"/>
    <cellStyle name="Normal 31 2 4" xfId="15442"/>
    <cellStyle name="Normal 31 2 5" xfId="15443"/>
    <cellStyle name="Normal 31 2 5 2" xfId="18510"/>
    <cellStyle name="Normal 31 2 6" xfId="18507"/>
    <cellStyle name="Normal 31 3" xfId="15444"/>
    <cellStyle name="Normal 31 3 2" xfId="15445"/>
    <cellStyle name="Normal 31 3 2 2" xfId="15446"/>
    <cellStyle name="Normal 31 3 3" xfId="15447"/>
    <cellStyle name="Normal 31 4" xfId="15448"/>
    <cellStyle name="Normal 32" xfId="712"/>
    <cellStyle name="Normal 32 2" xfId="15449"/>
    <cellStyle name="Normal 32 2 2" xfId="15450"/>
    <cellStyle name="Normal 32 2 2 2" xfId="15451"/>
    <cellStyle name="Normal 32 2 2 2 2" xfId="15452"/>
    <cellStyle name="Normal 32 2 2 3" xfId="15453"/>
    <cellStyle name="Normal 32 2 2 4" xfId="15454"/>
    <cellStyle name="Normal 32 2 2 4 2" xfId="18513"/>
    <cellStyle name="Normal 32 2 2 5" xfId="18512"/>
    <cellStyle name="Normal 32 2 3" xfId="15455"/>
    <cellStyle name="Normal 32 2 3 2" xfId="15456"/>
    <cellStyle name="Normal 32 2 4" xfId="15457"/>
    <cellStyle name="Normal 32 2 5" xfId="15458"/>
    <cellStyle name="Normal 32 2 5 2" xfId="18514"/>
    <cellStyle name="Normal 32 2 6" xfId="18511"/>
    <cellStyle name="Normal 32 3" xfId="15459"/>
    <cellStyle name="Normal 32 3 2" xfId="15460"/>
    <cellStyle name="Normal 32 4" xfId="15461"/>
    <cellStyle name="Normal 32 4 2" xfId="15462"/>
    <cellStyle name="Normal 32 5" xfId="15463"/>
    <cellStyle name="Normal 33" xfId="713"/>
    <cellStyle name="Normal 33 2" xfId="15464"/>
    <cellStyle name="Normal 33 2 2" xfId="15465"/>
    <cellStyle name="Normal 33 2 2 2" xfId="15466"/>
    <cellStyle name="Normal 33 2 2 2 2" xfId="15467"/>
    <cellStyle name="Normal 33 2 2 3" xfId="15468"/>
    <cellStyle name="Normal 33 2 2 4" xfId="15469"/>
    <cellStyle name="Normal 33 2 2 4 2" xfId="18517"/>
    <cellStyle name="Normal 33 2 2 5" xfId="18516"/>
    <cellStyle name="Normal 33 2 3" xfId="15470"/>
    <cellStyle name="Normal 33 2 3 2" xfId="15471"/>
    <cellStyle name="Normal 33 2 4" xfId="15472"/>
    <cellStyle name="Normal 33 2 5" xfId="15473"/>
    <cellStyle name="Normal 33 2 5 2" xfId="18518"/>
    <cellStyle name="Normal 33 2 6" xfId="18515"/>
    <cellStyle name="Normal 33 3" xfId="15474"/>
    <cellStyle name="Normal 33 3 2" xfId="15475"/>
    <cellStyle name="Normal 33 4" xfId="15476"/>
    <cellStyle name="Normal 33 4 2" xfId="15477"/>
    <cellStyle name="Normal 33 5" xfId="15478"/>
    <cellStyle name="Normal 34" xfId="714"/>
    <cellStyle name="Normal 34 2" xfId="15479"/>
    <cellStyle name="Normal 34 2 2" xfId="15480"/>
    <cellStyle name="Normal 34 2 2 2" xfId="15481"/>
    <cellStyle name="Normal 34 2 2 2 2" xfId="15482"/>
    <cellStyle name="Normal 34 2 2 3" xfId="15483"/>
    <cellStyle name="Normal 34 2 2 4" xfId="15484"/>
    <cellStyle name="Normal 34 2 2 4 2" xfId="18521"/>
    <cellStyle name="Normal 34 2 2 5" xfId="18520"/>
    <cellStyle name="Normal 34 2 3" xfId="15485"/>
    <cellStyle name="Normal 34 2 3 2" xfId="15486"/>
    <cellStyle name="Normal 34 2 4" xfId="15487"/>
    <cellStyle name="Normal 34 2 5" xfId="15488"/>
    <cellStyle name="Normal 34 2 5 2" xfId="18522"/>
    <cellStyle name="Normal 34 2 6" xfId="18519"/>
    <cellStyle name="Normal 34 3" xfId="15489"/>
    <cellStyle name="Normal 34 3 2" xfId="15490"/>
    <cellStyle name="Normal 34 4" xfId="15491"/>
    <cellStyle name="Normal 34 4 2" xfId="15492"/>
    <cellStyle name="Normal 34 5" xfId="15493"/>
    <cellStyle name="Normal 35" xfId="715"/>
    <cellStyle name="Normal 35 2" xfId="15494"/>
    <cellStyle name="Normal 35 2 2" xfId="15495"/>
    <cellStyle name="Normal 35 2 2 2" xfId="15496"/>
    <cellStyle name="Normal 35 2 2 2 2" xfId="15497"/>
    <cellStyle name="Normal 35 2 2 3" xfId="15498"/>
    <cellStyle name="Normal 35 2 2 4" xfId="15499"/>
    <cellStyle name="Normal 35 2 2 4 2" xfId="18525"/>
    <cellStyle name="Normal 35 2 2 5" xfId="18524"/>
    <cellStyle name="Normal 35 2 3" xfId="15500"/>
    <cellStyle name="Normal 35 2 3 2" xfId="15501"/>
    <cellStyle name="Normal 35 2 4" xfId="15502"/>
    <cellStyle name="Normal 35 2 5" xfId="15503"/>
    <cellStyle name="Normal 35 2 5 2" xfId="18526"/>
    <cellStyle name="Normal 35 2 6" xfId="18523"/>
    <cellStyle name="Normal 35 3" xfId="15504"/>
    <cellStyle name="Normal 35 3 2" xfId="15505"/>
    <cellStyle name="Normal 35 4" xfId="15506"/>
    <cellStyle name="Normal 35 4 2" xfId="15507"/>
    <cellStyle name="Normal 35 5" xfId="15508"/>
    <cellStyle name="Normal 36" xfId="716"/>
    <cellStyle name="Normal 36 2" xfId="15509"/>
    <cellStyle name="Normal 36 2 2" xfId="15510"/>
    <cellStyle name="Normal 36 2 2 2" xfId="15511"/>
    <cellStyle name="Normal 36 2 2 2 2" xfId="15512"/>
    <cellStyle name="Normal 36 2 2 3" xfId="15513"/>
    <cellStyle name="Normal 36 2 2 4" xfId="15514"/>
    <cellStyle name="Normal 36 2 2 4 2" xfId="18529"/>
    <cellStyle name="Normal 36 2 2 5" xfId="18528"/>
    <cellStyle name="Normal 36 2 3" xfId="15515"/>
    <cellStyle name="Normal 36 2 3 2" xfId="15516"/>
    <cellStyle name="Normal 36 2 4" xfId="15517"/>
    <cellStyle name="Normal 36 2 5" xfId="15518"/>
    <cellStyle name="Normal 36 2 5 2" xfId="18530"/>
    <cellStyle name="Normal 36 2 6" xfId="18527"/>
    <cellStyle name="Normal 36 3" xfId="15519"/>
    <cellStyle name="Normal 36 3 2" xfId="15520"/>
    <cellStyle name="Normal 36 4" xfId="15521"/>
    <cellStyle name="Normal 36 4 2" xfId="15522"/>
    <cellStyle name="Normal 36 5" xfId="15523"/>
    <cellStyle name="Normal 37" xfId="717"/>
    <cellStyle name="Normal 37 2" xfId="15524"/>
    <cellStyle name="Normal 37 2 2" xfId="15525"/>
    <cellStyle name="Normal 37 2 2 2" xfId="15526"/>
    <cellStyle name="Normal 37 2 2 2 2" xfId="15527"/>
    <cellStyle name="Normal 37 2 2 3" xfId="15528"/>
    <cellStyle name="Normal 37 2 3" xfId="15529"/>
    <cellStyle name="Normal 37 2 3 2" xfId="15530"/>
    <cellStyle name="Normal 37 2 4" xfId="15531"/>
    <cellStyle name="Normal 37 3" xfId="15532"/>
    <cellStyle name="Normal 37 3 2" xfId="15533"/>
    <cellStyle name="Normal 37 3 3" xfId="15534"/>
    <cellStyle name="Normal 37 3 3 2" xfId="18532"/>
    <cellStyle name="Normal 37 3 4" xfId="18531"/>
    <cellStyle name="Normal 37 4" xfId="15535"/>
    <cellStyle name="Normal 37 4 2" xfId="15536"/>
    <cellStyle name="Normal 37 5" xfId="15537"/>
    <cellStyle name="Normal 37 6" xfId="15538"/>
    <cellStyle name="Normal 37 6 2" xfId="18533"/>
    <cellStyle name="Normal 38" xfId="718"/>
    <cellStyle name="Normal 38 2" xfId="15539"/>
    <cellStyle name="Normal 38 2 2" xfId="15540"/>
    <cellStyle name="Normal 38 2 2 2" xfId="15541"/>
    <cellStyle name="Normal 38 2 2 2 2" xfId="15542"/>
    <cellStyle name="Normal 38 2 2 3" xfId="15543"/>
    <cellStyle name="Normal 38 2 3" xfId="15544"/>
    <cellStyle name="Normal 38 2 3 2" xfId="15545"/>
    <cellStyle name="Normal 38 2 4" xfId="15546"/>
    <cellStyle name="Normal 38 3" xfId="15547"/>
    <cellStyle name="Normal 38 3 2" xfId="15548"/>
    <cellStyle name="Normal 38 3 3" xfId="15549"/>
    <cellStyle name="Normal 38 3 3 2" xfId="18535"/>
    <cellStyle name="Normal 38 3 4" xfId="18534"/>
    <cellStyle name="Normal 38 4" xfId="15550"/>
    <cellStyle name="Normal 38 4 2" xfId="15551"/>
    <cellStyle name="Normal 38 5" xfId="15552"/>
    <cellStyle name="Normal 38 6" xfId="15553"/>
    <cellStyle name="Normal 38 6 2" xfId="18536"/>
    <cellStyle name="Normal 39" xfId="719"/>
    <cellStyle name="Normal 39 2" xfId="15554"/>
    <cellStyle name="Normal 39 2 2" xfId="15555"/>
    <cellStyle name="Normal 39 2 2 2" xfId="15556"/>
    <cellStyle name="Normal 39 2 2 2 2" xfId="15557"/>
    <cellStyle name="Normal 39 2 2 3" xfId="15558"/>
    <cellStyle name="Normal 39 2 3" xfId="15559"/>
    <cellStyle name="Normal 39 2 3 2" xfId="15560"/>
    <cellStyle name="Normal 39 2 4" xfId="15561"/>
    <cellStyle name="Normal 39 3" xfId="15562"/>
    <cellStyle name="Normal 39 3 2" xfId="15563"/>
    <cellStyle name="Normal 39 3 3" xfId="15564"/>
    <cellStyle name="Normal 39 3 3 2" xfId="18538"/>
    <cellStyle name="Normal 39 3 4" xfId="18537"/>
    <cellStyle name="Normal 39 4" xfId="15565"/>
    <cellStyle name="Normal 39 4 2" xfId="15566"/>
    <cellStyle name="Normal 39 5" xfId="15567"/>
    <cellStyle name="Normal 39 6" xfId="15568"/>
    <cellStyle name="Normal 39 6 2" xfId="18539"/>
    <cellStyle name="Normal 4" xfId="11"/>
    <cellStyle name="Normal 4 10" xfId="20884"/>
    <cellStyle name="Normal 4 11" xfId="20885"/>
    <cellStyle name="Normal 4 12" xfId="20886"/>
    <cellStyle name="Normal 4 13" xfId="20887"/>
    <cellStyle name="Normal 4 14" xfId="20888"/>
    <cellStyle name="Normal 4 2" xfId="720"/>
    <cellStyle name="Normal 4 2 2" xfId="721"/>
    <cellStyle name="Normal 4 2 2 2" xfId="722"/>
    <cellStyle name="Normal 4 2 2 2 2" xfId="15569"/>
    <cellStyle name="Normal 4 2 2 2 3" xfId="20889"/>
    <cellStyle name="Normal 4 2 2 3" xfId="15570"/>
    <cellStyle name="Normal 4 2 2 3 2" xfId="15571"/>
    <cellStyle name="Normal 4 2 2 4" xfId="15572"/>
    <cellStyle name="Normal 4 2 2 5" xfId="20890"/>
    <cellStyle name="Normal 4 2 3" xfId="723"/>
    <cellStyle name="Normal 4 2 3 2" xfId="15573"/>
    <cellStyle name="Normal 4 2 3 2 2" xfId="15574"/>
    <cellStyle name="Normal 4 2 3 3" xfId="15575"/>
    <cellStyle name="Normal 4 2 3 4" xfId="20891"/>
    <cellStyle name="Normal 4 2 4" xfId="724"/>
    <cellStyle name="Normal 4 2 4 2" xfId="15576"/>
    <cellStyle name="Normal 4 2 4 2 2" xfId="15577"/>
    <cellStyle name="Normal 4 2 4 3" xfId="15578"/>
    <cellStyle name="Normal 4 2 4 4" xfId="20892"/>
    <cellStyle name="Normal 4 2 5" xfId="15579"/>
    <cellStyle name="Normal 4 2 5 2" xfId="15580"/>
    <cellStyle name="Normal 4 2 6" xfId="15581"/>
    <cellStyle name="Normal 4 2 6 2" xfId="15582"/>
    <cellStyle name="Normal 4 2 7" xfId="15583"/>
    <cellStyle name="Normal 4 2 7 2" xfId="15584"/>
    <cellStyle name="Normal 4 2 8" xfId="15585"/>
    <cellStyle name="Normal 4 2 9" xfId="20893"/>
    <cellStyle name="Normal 4 3" xfId="725"/>
    <cellStyle name="Normal 4 3 2" xfId="726"/>
    <cellStyle name="Normal 4 3 2 2" xfId="727"/>
    <cellStyle name="Normal 4 3 2 2 2" xfId="20894"/>
    <cellStyle name="Normal 4 3 2 2 3" xfId="20895"/>
    <cellStyle name="Normal 4 3 2 3" xfId="20896"/>
    <cellStyle name="Normal 4 3 2 4" xfId="20897"/>
    <cellStyle name="Normal 4 3 2 5" xfId="20898"/>
    <cellStyle name="Normal 4 3 3" xfId="728"/>
    <cellStyle name="Normal 4 3 3 2" xfId="15586"/>
    <cellStyle name="Normal 4 3 3 3" xfId="20899"/>
    <cellStyle name="Normal 4 3 3 4" xfId="20900"/>
    <cellStyle name="Normal 4 3 4" xfId="15587"/>
    <cellStyle name="Normal 4 3 4 2" xfId="15588"/>
    <cellStyle name="Normal 4 3 5" xfId="15589"/>
    <cellStyle name="Normal 4 3 6" xfId="20901"/>
    <cellStyle name="Normal 4 3 7" xfId="20902"/>
    <cellStyle name="Normal 4 4" xfId="729"/>
    <cellStyle name="Normal 4 4 2" xfId="730"/>
    <cellStyle name="Normal 4 4 2 2" xfId="731"/>
    <cellStyle name="Normal 4 4 2 2 2" xfId="20903"/>
    <cellStyle name="Normal 4 4 2 2 3" xfId="20904"/>
    <cellStyle name="Normal 4 4 2 3" xfId="20905"/>
    <cellStyle name="Normal 4 4 2 4" xfId="20906"/>
    <cellStyle name="Normal 4 4 2 5" xfId="20907"/>
    <cellStyle name="Normal 4 4 3" xfId="732"/>
    <cellStyle name="Normal 4 4 3 2" xfId="15590"/>
    <cellStyle name="Normal 4 4 3 3" xfId="20908"/>
    <cellStyle name="Normal 4 4 4" xfId="15591"/>
    <cellStyle name="Normal 4 4 4 2" xfId="20909"/>
    <cellStyle name="Normal 4 4 5" xfId="20910"/>
    <cellStyle name="Normal 4 4 6" xfId="20911"/>
    <cellStyle name="Normal 4 4 7" xfId="20912"/>
    <cellStyle name="Normal 4 4 8" xfId="20913"/>
    <cellStyle name="Normal 4 5" xfId="733"/>
    <cellStyle name="Normal 4 5 2" xfId="734"/>
    <cellStyle name="Normal 4 5 2 2" xfId="20914"/>
    <cellStyle name="Normal 4 5 2 3" xfId="20915"/>
    <cellStyle name="Normal 4 5 3" xfId="20916"/>
    <cellStyle name="Normal 4 5 4" xfId="20917"/>
    <cellStyle name="Normal 4 5 5" xfId="20918"/>
    <cellStyle name="Normal 4 6" xfId="735"/>
    <cellStyle name="Normal 4 6 2" xfId="15592"/>
    <cellStyle name="Normal 4 6 3" xfId="20919"/>
    <cellStyle name="Normal 4 6 4" xfId="20920"/>
    <cellStyle name="Normal 4 7" xfId="736"/>
    <cellStyle name="Normal 4 7 2" xfId="20921"/>
    <cellStyle name="Normal 4 7 3" xfId="20922"/>
    <cellStyle name="Normal 4 7 4" xfId="20923"/>
    <cellStyle name="Normal 4 8" xfId="737"/>
    <cellStyle name="Normal 4 8 2" xfId="20924"/>
    <cellStyle name="Normal 4 9" xfId="20925"/>
    <cellStyle name="Normal 4 9 2" xfId="20926"/>
    <cellStyle name="Normal 4_ Price Inputs" xfId="15593"/>
    <cellStyle name="Normal 40" xfId="738"/>
    <cellStyle name="Normal 40 2" xfId="15594"/>
    <cellStyle name="Normal 40 2 2" xfId="15595"/>
    <cellStyle name="Normal 40 2 2 2" xfId="15596"/>
    <cellStyle name="Normal 40 2 2 2 2" xfId="15597"/>
    <cellStyle name="Normal 40 2 2 3" xfId="15598"/>
    <cellStyle name="Normal 40 2 3" xfId="15599"/>
    <cellStyle name="Normal 40 2 3 2" xfId="15600"/>
    <cellStyle name="Normal 40 2 4" xfId="15601"/>
    <cellStyle name="Normal 40 3" xfId="15602"/>
    <cellStyle name="Normal 40 3 2" xfId="15603"/>
    <cellStyle name="Normal 40 3 2 2" xfId="15604"/>
    <cellStyle name="Normal 40 3 3" xfId="15605"/>
    <cellStyle name="Normal 40 3 4" xfId="15606"/>
    <cellStyle name="Normal 40 3 4 2" xfId="18541"/>
    <cellStyle name="Normal 40 3 5" xfId="18540"/>
    <cellStyle name="Normal 40 4" xfId="15607"/>
    <cellStyle name="Normal 40 5" xfId="15608"/>
    <cellStyle name="Normal 40 5 2" xfId="18542"/>
    <cellStyle name="Normal 41" xfId="739"/>
    <cellStyle name="Normal 41 2" xfId="15609"/>
    <cellStyle name="Normal 41 2 2" xfId="15610"/>
    <cellStyle name="Normal 41 2 2 2" xfId="15611"/>
    <cellStyle name="Normal 41 2 3" xfId="15612"/>
    <cellStyle name="Normal 41 2 3 2" xfId="15613"/>
    <cellStyle name="Normal 41 2 4" xfId="15614"/>
    <cellStyle name="Normal 41 3" xfId="15615"/>
    <cellStyle name="Normal 41 3 2" xfId="15616"/>
    <cellStyle name="Normal 41 4" xfId="15617"/>
    <cellStyle name="Normal 42" xfId="740"/>
    <cellStyle name="Normal 42 2" xfId="15618"/>
    <cellStyle name="Normal 42 2 2" xfId="15619"/>
    <cellStyle name="Normal 42 2 2 2" xfId="15620"/>
    <cellStyle name="Normal 42 2 3" xfId="15621"/>
    <cellStyle name="Normal 42 2 3 2" xfId="15622"/>
    <cellStyle name="Normal 42 2 4" xfId="15623"/>
    <cellStyle name="Normal 42 3" xfId="15624"/>
    <cellStyle name="Normal 42 3 2" xfId="15625"/>
    <cellStyle name="Normal 42 3 2 2" xfId="15626"/>
    <cellStyle name="Normal 42 3 3" xfId="15627"/>
    <cellStyle name="Normal 42 4" xfId="15628"/>
    <cellStyle name="Normal 42 4 2" xfId="20927"/>
    <cellStyle name="Normal 42 5" xfId="18321"/>
    <cellStyle name="Normal 42 6" xfId="20928"/>
    <cellStyle name="Normal 42 7" xfId="20929"/>
    <cellStyle name="Normal 42 8" xfId="20930"/>
    <cellStyle name="Normal 43" xfId="741"/>
    <cellStyle name="Normal 43 2" xfId="15629"/>
    <cellStyle name="Normal 43 2 2" xfId="15630"/>
    <cellStyle name="Normal 43 2 2 2" xfId="15631"/>
    <cellStyle name="Normal 43 2 3" xfId="15632"/>
    <cellStyle name="Normal 43 2 3 2" xfId="15633"/>
    <cellStyle name="Normal 43 2 4" xfId="15634"/>
    <cellStyle name="Normal 43 3" xfId="15635"/>
    <cellStyle name="Normal 43 3 2" xfId="15636"/>
    <cellStyle name="Normal 43 3 2 2" xfId="15637"/>
    <cellStyle name="Normal 43 3 3" xfId="15638"/>
    <cellStyle name="Normal 43 3 4" xfId="15639"/>
    <cellStyle name="Normal 43 3 4 2" xfId="18544"/>
    <cellStyle name="Normal 43 3 5" xfId="18543"/>
    <cellStyle name="Normal 43 4" xfId="15640"/>
    <cellStyle name="Normal 43 4 2" xfId="15641"/>
    <cellStyle name="Normal 43 5" xfId="15642"/>
    <cellStyle name="Normal 43 6" xfId="15643"/>
    <cellStyle name="Normal 43 6 2" xfId="18545"/>
    <cellStyle name="Normal 43 7" xfId="18322"/>
    <cellStyle name="Normal 44" xfId="742"/>
    <cellStyle name="Normal 44 2" xfId="15644"/>
    <cellStyle name="Normal 44 2 2" xfId="15645"/>
    <cellStyle name="Normal 44 2 2 2" xfId="15646"/>
    <cellStyle name="Normal 44 2 3" xfId="15647"/>
    <cellStyle name="Normal 44 2 3 2" xfId="15648"/>
    <cellStyle name="Normal 44 2 4" xfId="15649"/>
    <cellStyle name="Normal 44 3" xfId="15650"/>
    <cellStyle name="Normal 44 3 2" xfId="15651"/>
    <cellStyle name="Normal 44 4" xfId="15652"/>
    <cellStyle name="Normal 44 4 2" xfId="15653"/>
    <cellStyle name="Normal 44 5" xfId="15654"/>
    <cellStyle name="Normal 44 6" xfId="18323"/>
    <cellStyle name="Normal 44 7" xfId="20931"/>
    <cellStyle name="Normal 44 8" xfId="20932"/>
    <cellStyle name="Normal 45" xfId="743"/>
    <cellStyle name="Normal 45 10" xfId="20933"/>
    <cellStyle name="Normal 45 2" xfId="15655"/>
    <cellStyle name="Normal 45 2 2" xfId="15656"/>
    <cellStyle name="Normal 45 2 2 2" xfId="15657"/>
    <cellStyle name="Normal 45 2 3" xfId="15658"/>
    <cellStyle name="Normal 45 2 3 2" xfId="15659"/>
    <cellStyle name="Normal 45 2 4" xfId="15660"/>
    <cellStyle name="Normal 45 3" xfId="15661"/>
    <cellStyle name="Normal 45 3 2" xfId="15662"/>
    <cellStyle name="Normal 45 3 3" xfId="20934"/>
    <cellStyle name="Normal 45 3 4" xfId="20935"/>
    <cellStyle name="Normal 45 4" xfId="15663"/>
    <cellStyle name="Normal 45 4 2" xfId="15664"/>
    <cellStyle name="Normal 45 4 3" xfId="20936"/>
    <cellStyle name="Normal 45 5" xfId="15665"/>
    <cellStyle name="Normal 45 5 2" xfId="15666"/>
    <cellStyle name="Normal 45 6" xfId="15667"/>
    <cellStyle name="Normal 45 7" xfId="18324"/>
    <cellStyle name="Normal 45 8" xfId="20937"/>
    <cellStyle name="Normal 45 9" xfId="20938"/>
    <cellStyle name="Normal 46" xfId="889"/>
    <cellStyle name="Normal 46 2" xfId="15668"/>
    <cellStyle name="Normal 46 2 2" xfId="15669"/>
    <cellStyle name="Normal 46 2 2 2" xfId="15670"/>
    <cellStyle name="Normal 46 2 3" xfId="15671"/>
    <cellStyle name="Normal 46 2 3 2" xfId="15672"/>
    <cellStyle name="Normal 46 2 4" xfId="15673"/>
    <cellStyle name="Normal 46 3" xfId="15674"/>
    <cellStyle name="Normal 46 3 2" xfId="15675"/>
    <cellStyle name="Normal 46 3 3" xfId="20939"/>
    <cellStyle name="Normal 46 3 4" xfId="20940"/>
    <cellStyle name="Normal 46 4" xfId="15676"/>
    <cellStyle name="Normal 46 4 2" xfId="15677"/>
    <cellStyle name="Normal 46 4 3" xfId="20941"/>
    <cellStyle name="Normal 46 5" xfId="15678"/>
    <cellStyle name="Normal 46 5 2" xfId="15679"/>
    <cellStyle name="Normal 46 6" xfId="15680"/>
    <cellStyle name="Normal 46 7" xfId="20942"/>
    <cellStyle name="Normal 46 8" xfId="20943"/>
    <cellStyle name="Normal 46 9" xfId="20944"/>
    <cellStyle name="Normal 47" xfId="15681"/>
    <cellStyle name="Normal 47 2" xfId="15682"/>
    <cellStyle name="Normal 47 2 2" xfId="15683"/>
    <cellStyle name="Normal 47 2 2 2" xfId="15684"/>
    <cellStyle name="Normal 47 2 3" xfId="15685"/>
    <cellStyle name="Normal 47 2 3 2" xfId="15686"/>
    <cellStyle name="Normal 47 2 4" xfId="15687"/>
    <cellStyle name="Normal 47 2 5" xfId="15688"/>
    <cellStyle name="Normal 47 2 5 2" xfId="18547"/>
    <cellStyle name="Normal 47 2 6" xfId="18546"/>
    <cellStyle name="Normal 47 3" xfId="15689"/>
    <cellStyle name="Normal 47 3 2" xfId="15690"/>
    <cellStyle name="Normal 47 3 2 2" xfId="15691"/>
    <cellStyle name="Normal 47 3 3" xfId="15692"/>
    <cellStyle name="Normal 47 3 4" xfId="20945"/>
    <cellStyle name="Normal 47 4" xfId="15693"/>
    <cellStyle name="Normal 47 4 2" xfId="15694"/>
    <cellStyle name="Normal 47 4 3" xfId="20946"/>
    <cellStyle name="Normal 47 5" xfId="15695"/>
    <cellStyle name="Normal 47 5 2" xfId="15696"/>
    <cellStyle name="Normal 47 6" xfId="15697"/>
    <cellStyle name="Normal 47 7" xfId="20947"/>
    <cellStyle name="Normal 47 8" xfId="20948"/>
    <cellStyle name="Normal 47 9" xfId="20949"/>
    <cellStyle name="Normal 48" xfId="15698"/>
    <cellStyle name="Normal 48 2" xfId="15699"/>
    <cellStyle name="Normal 48 2 2" xfId="15700"/>
    <cellStyle name="Normal 48 2 2 2" xfId="15701"/>
    <cellStyle name="Normal 48 2 3" xfId="15702"/>
    <cellStyle name="Normal 48 2 3 2" xfId="15703"/>
    <cellStyle name="Normal 48 2 4" xfId="15704"/>
    <cellStyle name="Normal 48 3" xfId="15705"/>
    <cellStyle name="Normal 48 3 2" xfId="15706"/>
    <cellStyle name="Normal 48 4" xfId="15707"/>
    <cellStyle name="Normal 48 4 2" xfId="15708"/>
    <cellStyle name="Normal 48 5" xfId="15709"/>
    <cellStyle name="Normal 48 6" xfId="20950"/>
    <cellStyle name="Normal 48 7" xfId="20951"/>
    <cellStyle name="Normal 48 8" xfId="20952"/>
    <cellStyle name="Normal 49" xfId="15710"/>
    <cellStyle name="Normal 49 2" xfId="15711"/>
    <cellStyle name="Normal 49 2 2" xfId="15712"/>
    <cellStyle name="Normal 49 2 2 2" xfId="15713"/>
    <cellStyle name="Normal 49 2 3" xfId="15714"/>
    <cellStyle name="Normal 49 3" xfId="15715"/>
    <cellStyle name="Normal 49 3 2" xfId="15716"/>
    <cellStyle name="Normal 49 4" xfId="15717"/>
    <cellStyle name="Normal 49 4 2" xfId="15718"/>
    <cellStyle name="Normal 49 5" xfId="15719"/>
    <cellStyle name="Normal 49 5 2" xfId="15720"/>
    <cellStyle name="Normal 49 6" xfId="15721"/>
    <cellStyle name="Normal 49 7" xfId="20953"/>
    <cellStyle name="Normal 49 8" xfId="20954"/>
    <cellStyle name="Normal 5" xfId="744"/>
    <cellStyle name="Normal 5 10" xfId="20955"/>
    <cellStyle name="Normal 5 11" xfId="20956"/>
    <cellStyle name="Normal 5 12" xfId="20957"/>
    <cellStyle name="Normal 5 13" xfId="20958"/>
    <cellStyle name="Normal 5 2" xfId="745"/>
    <cellStyle name="Normal 5 2 2" xfId="746"/>
    <cellStyle name="Normal 5 2 2 2" xfId="15722"/>
    <cellStyle name="Normal 5 2 2 3" xfId="18327"/>
    <cellStyle name="Normal 5 2 2 4" xfId="20959"/>
    <cellStyle name="Normal 5 2 2 5" xfId="20960"/>
    <cellStyle name="Normal 5 2 3" xfId="15723"/>
    <cellStyle name="Normal 5 2 3 2" xfId="15724"/>
    <cellStyle name="Normal 5 2 3 3" xfId="20961"/>
    <cellStyle name="Normal 5 2 4" xfId="15725"/>
    <cellStyle name="Normal 5 2 4 2" xfId="20962"/>
    <cellStyle name="Normal 5 2 5" xfId="18326"/>
    <cellStyle name="Normal 5 2 6" xfId="20963"/>
    <cellStyle name="Normal 5 2 7" xfId="20964"/>
    <cellStyle name="Normal 5 2 8" xfId="20965"/>
    <cellStyle name="Normal 5 2 9" xfId="20966"/>
    <cellStyle name="Normal 5 3" xfId="747"/>
    <cellStyle name="Normal 5 3 2" xfId="748"/>
    <cellStyle name="Normal 5 3 2 2" xfId="15726"/>
    <cellStyle name="Normal 5 3 3" xfId="15727"/>
    <cellStyle name="Normal 5 4" xfId="749"/>
    <cellStyle name="Normal 5 4 2" xfId="15728"/>
    <cellStyle name="Normal 5 4 2 2" xfId="20967"/>
    <cellStyle name="Normal 5 4 3" xfId="18328"/>
    <cellStyle name="Normal 5 4 3 2" xfId="20968"/>
    <cellStyle name="Normal 5 4 4" xfId="20969"/>
    <cellStyle name="Normal 5 4 5" xfId="20970"/>
    <cellStyle name="Normal 5 4 6" xfId="20971"/>
    <cellStyle name="Normal 5 4 7" xfId="20972"/>
    <cellStyle name="Normal 5 5" xfId="15729"/>
    <cellStyle name="Normal 5 5 2" xfId="20973"/>
    <cellStyle name="Normal 5 5 2 2" xfId="20974"/>
    <cellStyle name="Normal 5 5 3" xfId="20975"/>
    <cellStyle name="Normal 5 5 3 2" xfId="20976"/>
    <cellStyle name="Normal 5 5 4" xfId="20977"/>
    <cellStyle name="Normal 5 5 5" xfId="20978"/>
    <cellStyle name="Normal 5 5 6" xfId="20979"/>
    <cellStyle name="Normal 5 6" xfId="18325"/>
    <cellStyle name="Normal 5 6 2" xfId="20980"/>
    <cellStyle name="Normal 5 6 2 2" xfId="20981"/>
    <cellStyle name="Normal 5 6 3" xfId="20982"/>
    <cellStyle name="Normal 5 6 4" xfId="20983"/>
    <cellStyle name="Normal 5 6 5" xfId="20984"/>
    <cellStyle name="Normal 5 7" xfId="20985"/>
    <cellStyle name="Normal 5 7 2" xfId="20986"/>
    <cellStyle name="Normal 5 8" xfId="20987"/>
    <cellStyle name="Normal 5 9" xfId="20988"/>
    <cellStyle name="Normal 50" xfId="15730"/>
    <cellStyle name="Normal 50 2" xfId="15731"/>
    <cellStyle name="Normal 50 2 2" xfId="15732"/>
    <cellStyle name="Normal 50 2 2 2" xfId="15733"/>
    <cellStyle name="Normal 50 2 3" xfId="15734"/>
    <cellStyle name="Normal 50 2 4" xfId="15735"/>
    <cellStyle name="Normal 50 2 4 2" xfId="18549"/>
    <cellStyle name="Normal 50 2 5" xfId="18548"/>
    <cellStyle name="Normal 50 3" xfId="15736"/>
    <cellStyle name="Normal 50 3 2" xfId="15737"/>
    <cellStyle name="Normal 50 4" xfId="15738"/>
    <cellStyle name="Normal 50 4 2" xfId="15739"/>
    <cellStyle name="Normal 50 5" xfId="15740"/>
    <cellStyle name="Normal 50 5 2" xfId="15741"/>
    <cellStyle name="Normal 50 6" xfId="15742"/>
    <cellStyle name="Normal 50 7" xfId="20989"/>
    <cellStyle name="Normal 51" xfId="15743"/>
    <cellStyle name="Normal 51 2" xfId="15744"/>
    <cellStyle name="Normal 51 2 2" xfId="15745"/>
    <cellStyle name="Normal 51 2 2 2" xfId="15746"/>
    <cellStyle name="Normal 51 2 3" xfId="15747"/>
    <cellStyle name="Normal 51 3" xfId="15748"/>
    <cellStyle name="Normal 51 3 2" xfId="15749"/>
    <cellStyle name="Normal 51 4" xfId="15750"/>
    <cellStyle name="Normal 51 4 2" xfId="15751"/>
    <cellStyle name="Normal 51 5" xfId="15752"/>
    <cellStyle name="Normal 51 6" xfId="20990"/>
    <cellStyle name="Normal 52" xfId="15753"/>
    <cellStyle name="Normal 52 2" xfId="15754"/>
    <cellStyle name="Normal 52 2 2" xfId="15755"/>
    <cellStyle name="Normal 52 2 2 2" xfId="15756"/>
    <cellStyle name="Normal 52 2 3" xfId="15757"/>
    <cellStyle name="Normal 52 3" xfId="15758"/>
    <cellStyle name="Normal 52 3 2" xfId="15759"/>
    <cellStyle name="Normal 52 4" xfId="15760"/>
    <cellStyle name="Normal 52 4 2" xfId="15761"/>
    <cellStyle name="Normal 52 5" xfId="15762"/>
    <cellStyle name="Normal 53" xfId="15763"/>
    <cellStyle name="Normal 53 2" xfId="15764"/>
    <cellStyle name="Normal 53 2 2" xfId="15765"/>
    <cellStyle name="Normal 53 2 2 2" xfId="15766"/>
    <cellStyle name="Normal 53 2 3" xfId="15767"/>
    <cellStyle name="Normal 53 3" xfId="15768"/>
    <cellStyle name="Normal 53 3 2" xfId="15769"/>
    <cellStyle name="Normal 53 4" xfId="15770"/>
    <cellStyle name="Normal 53 4 2" xfId="15771"/>
    <cellStyle name="Normal 53 5" xfId="15772"/>
    <cellStyle name="Normal 54" xfId="15773"/>
    <cellStyle name="Normal 54 2" xfId="15774"/>
    <cellStyle name="Normal 54 2 2" xfId="15775"/>
    <cellStyle name="Normal 54 2 2 2" xfId="15776"/>
    <cellStyle name="Normal 54 2 3" xfId="15777"/>
    <cellStyle name="Normal 54 3" xfId="15778"/>
    <cellStyle name="Normal 54 3 2" xfId="15779"/>
    <cellStyle name="Normal 54 4" xfId="15780"/>
    <cellStyle name="Normal 54 4 2" xfId="15781"/>
    <cellStyle name="Normal 54 5" xfId="15782"/>
    <cellStyle name="Normal 55" xfId="15783"/>
    <cellStyle name="Normal 55 2" xfId="15784"/>
    <cellStyle name="Normal 55 2 2" xfId="15785"/>
    <cellStyle name="Normal 55 2 2 2" xfId="15786"/>
    <cellStyle name="Normal 55 2 3" xfId="15787"/>
    <cellStyle name="Normal 55 3" xfId="15788"/>
    <cellStyle name="Normal 55 3 2" xfId="15789"/>
    <cellStyle name="Normal 55 4" xfId="15790"/>
    <cellStyle name="Normal 55 4 2" xfId="15791"/>
    <cellStyle name="Normal 55 5" xfId="15792"/>
    <cellStyle name="Normal 56" xfId="15793"/>
    <cellStyle name="Normal 56 2" xfId="15794"/>
    <cellStyle name="Normal 56 2 2" xfId="15795"/>
    <cellStyle name="Normal 56 2 2 2" xfId="15796"/>
    <cellStyle name="Normal 56 2 3" xfId="15797"/>
    <cellStyle name="Normal 56 3" xfId="15798"/>
    <cellStyle name="Normal 56 3 2" xfId="15799"/>
    <cellStyle name="Normal 56 4" xfId="15800"/>
    <cellStyle name="Normal 56 4 2" xfId="15801"/>
    <cellStyle name="Normal 56 5" xfId="15802"/>
    <cellStyle name="Normal 57" xfId="15803"/>
    <cellStyle name="Normal 57 2" xfId="15804"/>
    <cellStyle name="Normal 57 2 2" xfId="15805"/>
    <cellStyle name="Normal 57 2 2 2" xfId="15806"/>
    <cellStyle name="Normal 57 2 3" xfId="15807"/>
    <cellStyle name="Normal 57 3" xfId="15808"/>
    <cellStyle name="Normal 57 3 2" xfId="15809"/>
    <cellStyle name="Normal 57 4" xfId="15810"/>
    <cellStyle name="Normal 57 4 2" xfId="15811"/>
    <cellStyle name="Normal 57 5" xfId="15812"/>
    <cellStyle name="Normal 58" xfId="15813"/>
    <cellStyle name="Normal 58 2" xfId="15814"/>
    <cellStyle name="Normal 58 2 2" xfId="15815"/>
    <cellStyle name="Normal 58 2 2 2" xfId="15816"/>
    <cellStyle name="Normal 58 2 3" xfId="15817"/>
    <cellStyle name="Normal 58 3" xfId="15818"/>
    <cellStyle name="Normal 58 3 2" xfId="15819"/>
    <cellStyle name="Normal 58 4" xfId="15820"/>
    <cellStyle name="Normal 58 4 2" xfId="15821"/>
    <cellStyle name="Normal 58 5" xfId="15822"/>
    <cellStyle name="Normal 59" xfId="15823"/>
    <cellStyle name="Normal 59 2" xfId="15824"/>
    <cellStyle name="Normal 59 2 2" xfId="15825"/>
    <cellStyle name="Normal 59 2 2 2" xfId="15826"/>
    <cellStyle name="Normal 59 2 3" xfId="15827"/>
    <cellStyle name="Normal 59 3" xfId="15828"/>
    <cellStyle name="Normal 59 3 2" xfId="15829"/>
    <cellStyle name="Normal 59 4" xfId="15830"/>
    <cellStyle name="Normal 59 4 2" xfId="15831"/>
    <cellStyle name="Normal 59 5" xfId="15832"/>
    <cellStyle name="Normal 6" xfId="750"/>
    <cellStyle name="Normal 6 10" xfId="20991"/>
    <cellStyle name="Normal 6 11" xfId="20992"/>
    <cellStyle name="Normal 6 12" xfId="20993"/>
    <cellStyle name="Normal 6 2" xfId="751"/>
    <cellStyle name="Normal 6 2 2" xfId="752"/>
    <cellStyle name="Normal 6 2 2 2" xfId="753"/>
    <cellStyle name="Normal 6 2 2 2 2" xfId="20994"/>
    <cellStyle name="Normal 6 2 2 2 3" xfId="20995"/>
    <cellStyle name="Normal 6 2 2 3" xfId="20996"/>
    <cellStyle name="Normal 6 2 2 4" xfId="20997"/>
    <cellStyle name="Normal 6 2 2 5" xfId="20998"/>
    <cellStyle name="Normal 6 2 3" xfId="754"/>
    <cellStyle name="Normal 6 2 3 2" xfId="15833"/>
    <cellStyle name="Normal 6 2 3 3" xfId="20999"/>
    <cellStyle name="Normal 6 2 3 4" xfId="21000"/>
    <cellStyle name="Normal 6 2 4" xfId="755"/>
    <cellStyle name="Normal 6 2 4 2" xfId="15834"/>
    <cellStyle name="Normal 6 2 4 3" xfId="21001"/>
    <cellStyle name="Normal 6 2 4 4" xfId="21002"/>
    <cellStyle name="Normal 6 2 5" xfId="15835"/>
    <cellStyle name="Normal 6 2 5 2" xfId="21003"/>
    <cellStyle name="Normal 6 2 6" xfId="21004"/>
    <cellStyle name="Normal 6 2 7" xfId="21005"/>
    <cellStyle name="Normal 6 2 8" xfId="21006"/>
    <cellStyle name="Normal 6 2 9" xfId="21007"/>
    <cellStyle name="Normal 6 3" xfId="756"/>
    <cellStyle name="Normal 6 3 2" xfId="757"/>
    <cellStyle name="Normal 6 3 2 2" xfId="758"/>
    <cellStyle name="Normal 6 3 2 2 2" xfId="21008"/>
    <cellStyle name="Normal 6 3 2 2 3" xfId="21009"/>
    <cellStyle name="Normal 6 3 2 3" xfId="21010"/>
    <cellStyle name="Normal 6 3 2 4" xfId="21011"/>
    <cellStyle name="Normal 6 3 2 5" xfId="21012"/>
    <cellStyle name="Normal 6 3 3" xfId="759"/>
    <cellStyle name="Normal 6 3 3 2" xfId="15836"/>
    <cellStyle name="Normal 6 3 3 3" xfId="21013"/>
    <cellStyle name="Normal 6 3 3 4" xfId="21014"/>
    <cellStyle name="Normal 6 3 4" xfId="15837"/>
    <cellStyle name="Normal 6 3 4 2" xfId="21015"/>
    <cellStyle name="Normal 6 3 5" xfId="21016"/>
    <cellStyle name="Normal 6 3 6" xfId="21017"/>
    <cellStyle name="Normal 6 3 7" xfId="21018"/>
    <cellStyle name="Normal 6 4" xfId="760"/>
    <cellStyle name="Normal 6 4 2" xfId="761"/>
    <cellStyle name="Normal 6 4 2 2" xfId="762"/>
    <cellStyle name="Normal 6 4 2 2 2" xfId="21019"/>
    <cellStyle name="Normal 6 4 2 2 3" xfId="21020"/>
    <cellStyle name="Normal 6 4 2 3" xfId="21021"/>
    <cellStyle name="Normal 6 4 2 4" xfId="21022"/>
    <cellStyle name="Normal 6 4 2 5" xfId="21023"/>
    <cellStyle name="Normal 6 4 3" xfId="763"/>
    <cellStyle name="Normal 6 4 3 2" xfId="21024"/>
    <cellStyle name="Normal 6 4 3 3" xfId="21025"/>
    <cellStyle name="Normal 6 4 4" xfId="21026"/>
    <cellStyle name="Normal 6 4 4 2" xfId="21027"/>
    <cellStyle name="Normal 6 4 5" xfId="21028"/>
    <cellStyle name="Normal 6 4 6" xfId="21029"/>
    <cellStyle name="Normal 6 4 7" xfId="21030"/>
    <cellStyle name="Normal 6 4 8" xfId="21031"/>
    <cellStyle name="Normal 6 5" xfId="764"/>
    <cellStyle name="Normal 6 5 2" xfId="765"/>
    <cellStyle name="Normal 6 5 2 2" xfId="21032"/>
    <cellStyle name="Normal 6 5 2 3" xfId="21033"/>
    <cellStyle name="Normal 6 5 3" xfId="21034"/>
    <cellStyle name="Normal 6 5 4" xfId="21035"/>
    <cellStyle name="Normal 6 5 5" xfId="21036"/>
    <cellStyle name="Normal 6 6" xfId="766"/>
    <cellStyle name="Normal 6 6 2" xfId="21037"/>
    <cellStyle name="Normal 6 6 3" xfId="21038"/>
    <cellStyle name="Normal 6 6 4" xfId="21039"/>
    <cellStyle name="Normal 6 7" xfId="767"/>
    <cellStyle name="Normal 6 7 2" xfId="21040"/>
    <cellStyle name="Normal 6 7 3" xfId="21041"/>
    <cellStyle name="Normal 6 7 4" xfId="21042"/>
    <cellStyle name="Normal 6 8" xfId="768"/>
    <cellStyle name="Normal 6 8 2" xfId="21043"/>
    <cellStyle name="Normal 6 9" xfId="21044"/>
    <cellStyle name="Normal 6 9 2" xfId="21045"/>
    <cellStyle name="Normal 6_Scenario 1 REC vs PTC Offset" xfId="15838"/>
    <cellStyle name="Normal 60" xfId="15839"/>
    <cellStyle name="Normal 60 2" xfId="15840"/>
    <cellStyle name="Normal 60 2 2" xfId="15841"/>
    <cellStyle name="Normal 60 2 2 2" xfId="15842"/>
    <cellStyle name="Normal 60 2 3" xfId="15843"/>
    <cellStyle name="Normal 60 3" xfId="15844"/>
    <cellStyle name="Normal 60 3 2" xfId="15845"/>
    <cellStyle name="Normal 60 4" xfId="15846"/>
    <cellStyle name="Normal 60 4 2" xfId="15847"/>
    <cellStyle name="Normal 60 5" xfId="15848"/>
    <cellStyle name="Normal 61" xfId="15849"/>
    <cellStyle name="Normal 61 2" xfId="15850"/>
    <cellStyle name="Normal 61 2 2" xfId="15851"/>
    <cellStyle name="Normal 61 2 2 2" xfId="15852"/>
    <cellStyle name="Normal 61 2 3" xfId="15853"/>
    <cellStyle name="Normal 61 3" xfId="15854"/>
    <cellStyle name="Normal 61 3 2" xfId="15855"/>
    <cellStyle name="Normal 61 4" xfId="15856"/>
    <cellStyle name="Normal 62" xfId="15857"/>
    <cellStyle name="Normal 62 2" xfId="15858"/>
    <cellStyle name="Normal 63" xfId="15859"/>
    <cellStyle name="Normal 63 2" xfId="15860"/>
    <cellStyle name="Normal 63 2 2" xfId="15861"/>
    <cellStyle name="Normal 63 3" xfId="15862"/>
    <cellStyle name="Normal 63 3 2" xfId="15863"/>
    <cellStyle name="Normal 63 4" xfId="15864"/>
    <cellStyle name="Normal 64" xfId="15865"/>
    <cellStyle name="Normal 64 2" xfId="15866"/>
    <cellStyle name="Normal 64 2 2" xfId="15867"/>
    <cellStyle name="Normal 64 3" xfId="15868"/>
    <cellStyle name="Normal 64 3 2" xfId="15869"/>
    <cellStyle name="Normal 64 4" xfId="15870"/>
    <cellStyle name="Normal 65" xfId="15871"/>
    <cellStyle name="Normal 65 2" xfId="15872"/>
    <cellStyle name="Normal 65 2 2" xfId="15873"/>
    <cellStyle name="Normal 65 3" xfId="15874"/>
    <cellStyle name="Normal 65 3 2" xfId="15875"/>
    <cellStyle name="Normal 65 4" xfId="15876"/>
    <cellStyle name="Normal 66" xfId="15877"/>
    <cellStyle name="Normal 66 2" xfId="15878"/>
    <cellStyle name="Normal 66 2 2" xfId="15879"/>
    <cellStyle name="Normal 66 3" xfId="15880"/>
    <cellStyle name="Normal 66 3 2" xfId="15881"/>
    <cellStyle name="Normal 66 4" xfId="15882"/>
    <cellStyle name="Normal 67" xfId="15883"/>
    <cellStyle name="Normal 67 2" xfId="15884"/>
    <cellStyle name="Normal 67 2 2" xfId="15885"/>
    <cellStyle name="Normal 67 3" xfId="15886"/>
    <cellStyle name="Normal 67 3 2" xfId="15887"/>
    <cellStyle name="Normal 67 4" xfId="15888"/>
    <cellStyle name="Normal 68" xfId="15889"/>
    <cellStyle name="Normal 68 2" xfId="15890"/>
    <cellStyle name="Normal 68 2 2" xfId="15891"/>
    <cellStyle name="Normal 68 3" xfId="15892"/>
    <cellStyle name="Normal 68 3 2" xfId="15893"/>
    <cellStyle name="Normal 68 4" xfId="15894"/>
    <cellStyle name="Normal 68 5" xfId="15895"/>
    <cellStyle name="Normal 68 5 2" xfId="18551"/>
    <cellStyle name="Normal 68 6" xfId="18550"/>
    <cellStyle name="Normal 69" xfId="15896"/>
    <cellStyle name="Normal 69 2" xfId="15897"/>
    <cellStyle name="Normal 69 2 2" xfId="15898"/>
    <cellStyle name="Normal 69 3" xfId="15899"/>
    <cellStyle name="Normal 69 3 2" xfId="15900"/>
    <cellStyle name="Normal 69 4" xfId="15901"/>
    <cellStyle name="Normal 69 5" xfId="15902"/>
    <cellStyle name="Normal 69 5 2" xfId="18553"/>
    <cellStyle name="Normal 69 6" xfId="18552"/>
    <cellStyle name="Normal 7" xfId="769"/>
    <cellStyle name="Normal 7 10" xfId="21046"/>
    <cellStyle name="Normal 7 11" xfId="21047"/>
    <cellStyle name="Normal 7 2" xfId="770"/>
    <cellStyle name="Normal 7 2 2" xfId="771"/>
    <cellStyle name="Normal 7 2 2 2" xfId="772"/>
    <cellStyle name="Normal 7 2 2 2 2" xfId="15903"/>
    <cellStyle name="Normal 7 2 2 2 3" xfId="21048"/>
    <cellStyle name="Normal 7 2 2 3" xfId="15904"/>
    <cellStyle name="Normal 7 2 2 4" xfId="21049"/>
    <cellStyle name="Normal 7 2 2 5" xfId="21050"/>
    <cellStyle name="Normal 7 2 3" xfId="773"/>
    <cellStyle name="Normal 7 2 3 2" xfId="15905"/>
    <cellStyle name="Normal 7 2 3 3" xfId="21051"/>
    <cellStyle name="Normal 7 2 3 4" xfId="21052"/>
    <cellStyle name="Normal 7 2 4" xfId="15906"/>
    <cellStyle name="Normal 7 2 5" xfId="21053"/>
    <cellStyle name="Normal 7 2 6" xfId="21054"/>
    <cellStyle name="Normal 7 2 7" xfId="21055"/>
    <cellStyle name="Normal 7 3" xfId="774"/>
    <cellStyle name="Normal 7 3 2" xfId="775"/>
    <cellStyle name="Normal 7 3 2 2" xfId="15907"/>
    <cellStyle name="Normal 7 3 2 3" xfId="21056"/>
    <cellStyle name="Normal 7 3 2 4" xfId="21057"/>
    <cellStyle name="Normal 7 3 3" xfId="15908"/>
    <cellStyle name="Normal 7 3 3 2" xfId="21058"/>
    <cellStyle name="Normal 7 3 4" xfId="21059"/>
    <cellStyle name="Normal 7 3 5" xfId="21060"/>
    <cellStyle name="Normal 7 3 6" xfId="21061"/>
    <cellStyle name="Normal 7 4" xfId="776"/>
    <cellStyle name="Normal 7 4 2" xfId="777"/>
    <cellStyle name="Normal 7 4 2 2" xfId="18330"/>
    <cellStyle name="Normal 7 4 2 2 2" xfId="21062"/>
    <cellStyle name="Normal 7 4 2 2 3" xfId="21063"/>
    <cellStyle name="Normal 7 4 2 2 4" xfId="21064"/>
    <cellStyle name="Normal 7 4 2 3" xfId="21065"/>
    <cellStyle name="Normal 7 4 2 3 2" xfId="21066"/>
    <cellStyle name="Normal 7 4 2 3 3" xfId="21067"/>
    <cellStyle name="Normal 7 4 2 4" xfId="21068"/>
    <cellStyle name="Normal 7 4 2 4 2" xfId="21069"/>
    <cellStyle name="Normal 7 4 2 5" xfId="21070"/>
    <cellStyle name="Normal 7 4 2 6" xfId="21071"/>
    <cellStyle name="Normal 7 4 2 7" xfId="21072"/>
    <cellStyle name="Normal 7 4 2 8" xfId="21073"/>
    <cellStyle name="Normal 7 4 3" xfId="21074"/>
    <cellStyle name="Normal 7 4 4" xfId="21075"/>
    <cellStyle name="Normal 7 4 5" xfId="21076"/>
    <cellStyle name="Normal 7 4 6" xfId="21077"/>
    <cellStyle name="Normal 7 4 7" xfId="21078"/>
    <cellStyle name="Normal 7 5" xfId="778"/>
    <cellStyle name="Normal 7 5 2" xfId="21079"/>
    <cellStyle name="Normal 7 5 3" xfId="21080"/>
    <cellStyle name="Normal 7 5 4" xfId="21081"/>
    <cellStyle name="Normal 7 6" xfId="779"/>
    <cellStyle name="Normal 7 6 2" xfId="21082"/>
    <cellStyle name="Normal 7 7" xfId="780"/>
    <cellStyle name="Normal 7 7 2" xfId="18331"/>
    <cellStyle name="Normal 7 7 2 2" xfId="21083"/>
    <cellStyle name="Normal 7 7 2 3" xfId="21084"/>
    <cellStyle name="Normal 7 7 3" xfId="21085"/>
    <cellStyle name="Normal 7 7 3 2" xfId="21086"/>
    <cellStyle name="Normal 7 7 4" xfId="21087"/>
    <cellStyle name="Normal 7 7 4 2" xfId="21088"/>
    <cellStyle name="Normal 7 7 5" xfId="21089"/>
    <cellStyle name="Normal 7 7 6" xfId="21090"/>
    <cellStyle name="Normal 7 7 7" xfId="21091"/>
    <cellStyle name="Normal 7 7 8" xfId="21092"/>
    <cellStyle name="Normal 7 8" xfId="18329"/>
    <cellStyle name="Normal 7 9" xfId="21093"/>
    <cellStyle name="Normal 70" xfId="15909"/>
    <cellStyle name="Normal 70 2" xfId="15910"/>
    <cellStyle name="Normal 70 2 2" xfId="15911"/>
    <cellStyle name="Normal 70 3" xfId="15912"/>
    <cellStyle name="Normal 70 4" xfId="15913"/>
    <cellStyle name="Normal 70 4 2" xfId="18555"/>
    <cellStyle name="Normal 70 5" xfId="18554"/>
    <cellStyle name="Normal 71" xfId="15914"/>
    <cellStyle name="Normal 71 2" xfId="15915"/>
    <cellStyle name="Normal 71 2 2" xfId="15916"/>
    <cellStyle name="Normal 71 2 3" xfId="15917"/>
    <cellStyle name="Normal 71 2 3 2" xfId="18558"/>
    <cellStyle name="Normal 71 2 4" xfId="18557"/>
    <cellStyle name="Normal 71 3" xfId="15918"/>
    <cellStyle name="Normal 71 4" xfId="15919"/>
    <cellStyle name="Normal 71 4 2" xfId="18559"/>
    <cellStyle name="Normal 71 5" xfId="18556"/>
    <cellStyle name="Normal 72" xfId="15920"/>
    <cellStyle name="Normal 72 2" xfId="15921"/>
    <cellStyle name="Normal 72 2 2" xfId="15922"/>
    <cellStyle name="Normal 72 3" xfId="15923"/>
    <cellStyle name="Normal 72 4" xfId="15924"/>
    <cellStyle name="Normal 72 4 2" xfId="18561"/>
    <cellStyle name="Normal 72 5" xfId="18560"/>
    <cellStyle name="Normal 73" xfId="15925"/>
    <cellStyle name="Normal 73 2" xfId="15926"/>
    <cellStyle name="Normal 73 2 2" xfId="15927"/>
    <cellStyle name="Normal 73 3" xfId="15928"/>
    <cellStyle name="Normal 73 3 2" xfId="15929"/>
    <cellStyle name="Normal 73 4" xfId="15930"/>
    <cellStyle name="Normal 73 5" xfId="15931"/>
    <cellStyle name="Normal 73 5 2" xfId="18563"/>
    <cellStyle name="Normal 73 6" xfId="18562"/>
    <cellStyle name="Normal 74" xfId="15932"/>
    <cellStyle name="Normal 74 2" xfId="15933"/>
    <cellStyle name="Normal 74 2 2" xfId="15934"/>
    <cellStyle name="Normal 74 3" xfId="15935"/>
    <cellStyle name="Normal 74 3 2" xfId="15936"/>
    <cellStyle name="Normal 74 4" xfId="15937"/>
    <cellStyle name="Normal 75" xfId="15938"/>
    <cellStyle name="Normal 75 2" xfId="15939"/>
    <cellStyle name="Normal 75 2 2" xfId="15940"/>
    <cellStyle name="Normal 75 3" xfId="15941"/>
    <cellStyle name="Normal 75 3 2" xfId="15942"/>
    <cellStyle name="Normal 75 4" xfId="15943"/>
    <cellStyle name="Normal 76" xfId="15944"/>
    <cellStyle name="Normal 76 2" xfId="15945"/>
    <cellStyle name="Normal 76 2 2" xfId="15946"/>
    <cellStyle name="Normal 76 3" xfId="15947"/>
    <cellStyle name="Normal 76 3 2" xfId="15948"/>
    <cellStyle name="Normal 76 4" xfId="15949"/>
    <cellStyle name="Normal 77" xfId="15950"/>
    <cellStyle name="Normal 77 2" xfId="15951"/>
    <cellStyle name="Normal 77 2 2" xfId="15952"/>
    <cellStyle name="Normal 77 3" xfId="15953"/>
    <cellStyle name="Normal 77 3 2" xfId="15954"/>
    <cellStyle name="Normal 77 4" xfId="15955"/>
    <cellStyle name="Normal 78" xfId="15956"/>
    <cellStyle name="Normal 78 2" xfId="15957"/>
    <cellStyle name="Normal 78 2 2" xfId="15958"/>
    <cellStyle name="Normal 78 3" xfId="15959"/>
    <cellStyle name="Normal 78 3 2" xfId="15960"/>
    <cellStyle name="Normal 78 4" xfId="15961"/>
    <cellStyle name="Normal 79" xfId="15962"/>
    <cellStyle name="Normal 79 2" xfId="15963"/>
    <cellStyle name="Normal 79 2 2" xfId="15964"/>
    <cellStyle name="Normal 79 3" xfId="15965"/>
    <cellStyle name="Normal 79 3 2" xfId="15966"/>
    <cellStyle name="Normal 79 4" xfId="15967"/>
    <cellStyle name="Normal 8" xfId="781"/>
    <cellStyle name="Normal 8 2" xfId="782"/>
    <cellStyle name="Normal 8 2 2" xfId="783"/>
    <cellStyle name="Normal 8 2 2 2" xfId="15968"/>
    <cellStyle name="Normal 8 2 2 3" xfId="21094"/>
    <cellStyle name="Normal 8 2 2 4" xfId="21095"/>
    <cellStyle name="Normal 8 2 3" xfId="784"/>
    <cellStyle name="Normal 8 2 3 2" xfId="15969"/>
    <cellStyle name="Normal 8 2 3 3" xfId="21096"/>
    <cellStyle name="Normal 8 2 3 4" xfId="21097"/>
    <cellStyle name="Normal 8 2 4" xfId="15970"/>
    <cellStyle name="Normal 8 2 4 2" xfId="21098"/>
    <cellStyle name="Normal 8 2 5" xfId="21099"/>
    <cellStyle name="Normal 8 2 6" xfId="21100"/>
    <cellStyle name="Normal 8 2 7" xfId="21101"/>
    <cellStyle name="Normal 8 3" xfId="785"/>
    <cellStyle name="Normal 8 3 2" xfId="786"/>
    <cellStyle name="Normal 8 3 2 2" xfId="15971"/>
    <cellStyle name="Normal 8 3 2 3" xfId="21102"/>
    <cellStyle name="Normal 8 3 2 4" xfId="21103"/>
    <cellStyle name="Normal 8 3 3" xfId="15972"/>
    <cellStyle name="Normal 8 3 3 2" xfId="21104"/>
    <cellStyle name="Normal 8 3 4" xfId="21105"/>
    <cellStyle name="Normal 8 3 5" xfId="21106"/>
    <cellStyle name="Normal 8 3 6" xfId="21107"/>
    <cellStyle name="Normal 8 4" xfId="787"/>
    <cellStyle name="Normal 8 4 2" xfId="15973"/>
    <cellStyle name="Normal 8 4 3" xfId="21108"/>
    <cellStyle name="Normal 8 4 4" xfId="21109"/>
    <cellStyle name="Normal 8 5" xfId="788"/>
    <cellStyle name="Normal 8 5 2" xfId="21110"/>
    <cellStyle name="Normal 8 6" xfId="21111"/>
    <cellStyle name="Normal 8 7" xfId="21112"/>
    <cellStyle name="Normal 8 8" xfId="21113"/>
    <cellStyle name="Normal 80" xfId="15974"/>
    <cellStyle name="Normal 80 2" xfId="15975"/>
    <cellStyle name="Normal 80 2 2" xfId="15976"/>
    <cellStyle name="Normal 80 3" xfId="15977"/>
    <cellStyle name="Normal 80 3 2" xfId="15978"/>
    <cellStyle name="Normal 80 4" xfId="15979"/>
    <cellStyle name="Normal 81" xfId="15980"/>
    <cellStyle name="Normal 81 2" xfId="15981"/>
    <cellStyle name="Normal 81 2 2" xfId="15982"/>
    <cellStyle name="Normal 81 3" xfId="15983"/>
    <cellStyle name="Normal 81 3 2" xfId="15984"/>
    <cellStyle name="Normal 81 4" xfId="15985"/>
    <cellStyle name="Normal 82" xfId="15986"/>
    <cellStyle name="Normal 82 2" xfId="15987"/>
    <cellStyle name="Normal 82 2 2" xfId="15988"/>
    <cellStyle name="Normal 82 3" xfId="15989"/>
    <cellStyle name="Normal 82 3 2" xfId="15990"/>
    <cellStyle name="Normal 82 4" xfId="15991"/>
    <cellStyle name="Normal 83" xfId="15992"/>
    <cellStyle name="Normal 83 2" xfId="15993"/>
    <cellStyle name="Normal 83 2 2" xfId="15994"/>
    <cellStyle name="Normal 83 3" xfId="15995"/>
    <cellStyle name="Normal 83 3 2" xfId="15996"/>
    <cellStyle name="Normal 83 4" xfId="15997"/>
    <cellStyle name="Normal 84" xfId="15998"/>
    <cellStyle name="Normal 84 2" xfId="15999"/>
    <cellStyle name="Normal 84 2 2" xfId="16000"/>
    <cellStyle name="Normal 84 3" xfId="16001"/>
    <cellStyle name="Normal 84 3 2" xfId="16002"/>
    <cellStyle name="Normal 84 4" xfId="16003"/>
    <cellStyle name="Normal 85" xfId="16004"/>
    <cellStyle name="Normal 85 2" xfId="16005"/>
    <cellStyle name="Normal 85 2 2" xfId="16006"/>
    <cellStyle name="Normal 85 3" xfId="16007"/>
    <cellStyle name="Normal 85 3 2" xfId="16008"/>
    <cellStyle name="Normal 85 4" xfId="16009"/>
    <cellStyle name="Normal 86" xfId="16010"/>
    <cellStyle name="Normal 86 2" xfId="16011"/>
    <cellStyle name="Normal 86 2 2" xfId="16012"/>
    <cellStyle name="Normal 86 3" xfId="16013"/>
    <cellStyle name="Normal 87" xfId="16014"/>
    <cellStyle name="Normal 87 2" xfId="16015"/>
    <cellStyle name="Normal 87 2 2" xfId="16016"/>
    <cellStyle name="Normal 87 3" xfId="16017"/>
    <cellStyle name="Normal 88" xfId="16018"/>
    <cellStyle name="Normal 88 2" xfId="16019"/>
    <cellStyle name="Normal 88 2 2" xfId="16020"/>
    <cellStyle name="Normal 88 3" xfId="16021"/>
    <cellStyle name="Normal 89" xfId="16022"/>
    <cellStyle name="Normal 89 2" xfId="16023"/>
    <cellStyle name="Normal 89 2 2" xfId="16024"/>
    <cellStyle name="Normal 89 3" xfId="16025"/>
    <cellStyle name="Normal 9" xfId="789"/>
    <cellStyle name="Normal 9 2" xfId="790"/>
    <cellStyle name="Normal 9 2 2" xfId="791"/>
    <cellStyle name="Normal 9 2 2 2" xfId="16026"/>
    <cellStyle name="Normal 9 2 2 3" xfId="21114"/>
    <cellStyle name="Normal 9 2 2 4" xfId="21115"/>
    <cellStyle name="Normal 9 2 3" xfId="16027"/>
    <cellStyle name="Normal 9 2 3 2" xfId="16028"/>
    <cellStyle name="Normal 9 2 4" xfId="16029"/>
    <cellStyle name="Normal 9 2 5" xfId="21116"/>
    <cellStyle name="Normal 9 2 6" xfId="21117"/>
    <cellStyle name="Normal 9 3" xfId="792"/>
    <cellStyle name="Normal 9 3 2" xfId="16030"/>
    <cellStyle name="Normal 9 3 3" xfId="21118"/>
    <cellStyle name="Normal 9 3 4" xfId="21119"/>
    <cellStyle name="Normal 9 4" xfId="793"/>
    <cellStyle name="Normal 9 4 2" xfId="16031"/>
    <cellStyle name="Normal 9 5" xfId="16032"/>
    <cellStyle name="Normal 9 6" xfId="21120"/>
    <cellStyle name="Normal 9 7" xfId="21121"/>
    <cellStyle name="Normal 90" xfId="16033"/>
    <cellStyle name="Normal 90 2" xfId="16034"/>
    <cellStyle name="Normal 90 2 2" xfId="16035"/>
    <cellStyle name="Normal 90 3" xfId="16036"/>
    <cellStyle name="Normal 91" xfId="16037"/>
    <cellStyle name="Normal 91 2" xfId="16038"/>
    <cellStyle name="Normal 91 2 2" xfId="16039"/>
    <cellStyle name="Normal 91 3" xfId="16040"/>
    <cellStyle name="Normal 92" xfId="16041"/>
    <cellStyle name="Normal 92 2" xfId="16042"/>
    <cellStyle name="Normal 92 2 2" xfId="16043"/>
    <cellStyle name="Normal 92 3" xfId="16044"/>
    <cellStyle name="Normal 93" xfId="16045"/>
    <cellStyle name="Normal 93 2" xfId="16046"/>
    <cellStyle name="Normal 93 2 2" xfId="16047"/>
    <cellStyle name="Normal 93 3" xfId="16048"/>
    <cellStyle name="Normal 94" xfId="16049"/>
    <cellStyle name="Normal 94 2" xfId="16050"/>
    <cellStyle name="Normal 94 2 2" xfId="16051"/>
    <cellStyle name="Normal 94 3" xfId="16052"/>
    <cellStyle name="Normal 94 3 2" xfId="16053"/>
    <cellStyle name="Normal 94 4" xfId="16054"/>
    <cellStyle name="Normal 95" xfId="16055"/>
    <cellStyle name="Normal 95 2" xfId="16056"/>
    <cellStyle name="Normal 95 2 2" xfId="16057"/>
    <cellStyle name="Normal 95 3" xfId="16058"/>
    <cellStyle name="Normal 96" xfId="16059"/>
    <cellStyle name="Normal 96 2" xfId="16060"/>
    <cellStyle name="Normal 96 2 2" xfId="16061"/>
    <cellStyle name="Normal 96 3" xfId="16062"/>
    <cellStyle name="Normal 96 3 2" xfId="16063"/>
    <cellStyle name="Normal 96 4" xfId="16064"/>
    <cellStyle name="Normal 97" xfId="16065"/>
    <cellStyle name="Normal 97 2" xfId="16066"/>
    <cellStyle name="Normal 97 2 2" xfId="16067"/>
    <cellStyle name="Normal 97 3" xfId="16068"/>
    <cellStyle name="Normal 98" xfId="16069"/>
    <cellStyle name="Normal 98 2" xfId="16070"/>
    <cellStyle name="Normal 98 2 2" xfId="16071"/>
    <cellStyle name="Normal 98 3" xfId="16072"/>
    <cellStyle name="Normal 99" xfId="16073"/>
    <cellStyle name="Normal 99 2" xfId="16074"/>
    <cellStyle name="Normal 99 2 2" xfId="16075"/>
    <cellStyle name="Normal 99 3" xfId="16076"/>
    <cellStyle name="Normal_Hopkins Ridge" xfId="8"/>
    <cellStyle name="Normal_PCA Adj Agrmt Exhibit A3" xfId="21228"/>
    <cellStyle name="Normal_Wild Horse 2006 GRC" xfId="21226"/>
    <cellStyle name="Note 10" xfId="16077"/>
    <cellStyle name="Note 10 2" xfId="16078"/>
    <cellStyle name="Note 10 2 2" xfId="16079"/>
    <cellStyle name="Note 10 2 2 2" xfId="16080"/>
    <cellStyle name="Note 10 2 3" xfId="16081"/>
    <cellStyle name="Note 10 2 4" xfId="16082"/>
    <cellStyle name="Note 10 3" xfId="16083"/>
    <cellStyle name="Note 10 3 2" xfId="16084"/>
    <cellStyle name="Note 10 3 2 2" xfId="16085"/>
    <cellStyle name="Note 10 3 3" xfId="16086"/>
    <cellStyle name="Note 10 4" xfId="16087"/>
    <cellStyle name="Note 10 4 2" xfId="16088"/>
    <cellStyle name="Note 10 5" xfId="16089"/>
    <cellStyle name="Note 10 5 2" xfId="16090"/>
    <cellStyle name="Note 10 6" xfId="16091"/>
    <cellStyle name="Note 10 6 2" xfId="16092"/>
    <cellStyle name="Note 10 7" xfId="16093"/>
    <cellStyle name="Note 10 7 2" xfId="16094"/>
    <cellStyle name="Note 10 8" xfId="16095"/>
    <cellStyle name="Note 10 9" xfId="16096"/>
    <cellStyle name="Note 11" xfId="16097"/>
    <cellStyle name="Note 11 2" xfId="16098"/>
    <cellStyle name="Note 11 2 2" xfId="16099"/>
    <cellStyle name="Note 11 2 3" xfId="16100"/>
    <cellStyle name="Note 11 3" xfId="16101"/>
    <cellStyle name="Note 11 3 2" xfId="16102"/>
    <cellStyle name="Note 11 3 3" xfId="16103"/>
    <cellStyle name="Note 11 4" xfId="16104"/>
    <cellStyle name="Note 11 4 2" xfId="16105"/>
    <cellStyle name="Note 11 5" xfId="16106"/>
    <cellStyle name="Note 11 6" xfId="16107"/>
    <cellStyle name="Note 12" xfId="16108"/>
    <cellStyle name="Note 12 2" xfId="16109"/>
    <cellStyle name="Note 12 2 2" xfId="16110"/>
    <cellStyle name="Note 12 2 2 2" xfId="16111"/>
    <cellStyle name="Note 12 2 3" xfId="16112"/>
    <cellStyle name="Note 12 2 3 2" xfId="16113"/>
    <cellStyle name="Note 12 2 4" xfId="16114"/>
    <cellStyle name="Note 12 2 5" xfId="16115"/>
    <cellStyle name="Note 12 3" xfId="16116"/>
    <cellStyle name="Note 12 3 2" xfId="16117"/>
    <cellStyle name="Note 12 4" xfId="16118"/>
    <cellStyle name="Note 12 4 2" xfId="16119"/>
    <cellStyle name="Note 12 5" xfId="16120"/>
    <cellStyle name="Note 12 6" xfId="16121"/>
    <cellStyle name="Note 13" xfId="16122"/>
    <cellStyle name="Note 13 2" xfId="16123"/>
    <cellStyle name="Note 13 2 2" xfId="16124"/>
    <cellStyle name="Note 13 2 3" xfId="16125"/>
    <cellStyle name="Note 13 3" xfId="16126"/>
    <cellStyle name="Note 13 4" xfId="16127"/>
    <cellStyle name="Note 14" xfId="16128"/>
    <cellStyle name="Note 14 2" xfId="16129"/>
    <cellStyle name="Note 14 3" xfId="16130"/>
    <cellStyle name="Note 14 3 2" xfId="16131"/>
    <cellStyle name="Note 14 3 2 2" xfId="18566"/>
    <cellStyle name="Note 14 3 3" xfId="18565"/>
    <cellStyle name="Note 14 4" xfId="16132"/>
    <cellStyle name="Note 14 4 2" xfId="18567"/>
    <cellStyle name="Note 14 5" xfId="18564"/>
    <cellStyle name="Note 15" xfId="16133"/>
    <cellStyle name="Note 15 2" xfId="16134"/>
    <cellStyle name="Note 15 2 2" xfId="16135"/>
    <cellStyle name="Note 15 3" xfId="16136"/>
    <cellStyle name="Note 16" xfId="16137"/>
    <cellStyle name="Note 16 2" xfId="16138"/>
    <cellStyle name="Note 16 2 2" xfId="16139"/>
    <cellStyle name="Note 16 3" xfId="16140"/>
    <cellStyle name="Note 17" xfId="16141"/>
    <cellStyle name="Note 17 2" xfId="18568"/>
    <cellStyle name="Note 18" xfId="16142"/>
    <cellStyle name="Note 18 2" xfId="16143"/>
    <cellStyle name="Note 2" xfId="794"/>
    <cellStyle name="Note 2 10" xfId="21122"/>
    <cellStyle name="Note 2 11" xfId="21123"/>
    <cellStyle name="Note 2 12" xfId="21124"/>
    <cellStyle name="Note 2 12 2" xfId="21125"/>
    <cellStyle name="Note 2 2" xfId="795"/>
    <cellStyle name="Note 2 2 2" xfId="796"/>
    <cellStyle name="Note 2 2 2 2" xfId="797"/>
    <cellStyle name="Note 2 2 2 2 2" xfId="16144"/>
    <cellStyle name="Note 2 2 2 2 3" xfId="21126"/>
    <cellStyle name="Note 2 2 2 3" xfId="16145"/>
    <cellStyle name="Note 2 2 2 3 2" xfId="16146"/>
    <cellStyle name="Note 2 2 2 4" xfId="16147"/>
    <cellStyle name="Note 2 2 2 5" xfId="16148"/>
    <cellStyle name="Note 2 2 3" xfId="798"/>
    <cellStyle name="Note 2 2 3 2" xfId="799"/>
    <cellStyle name="Note 2 2 3 2 2" xfId="16149"/>
    <cellStyle name="Note 2 2 3 2 3" xfId="21127"/>
    <cellStyle name="Note 2 2 3 3" xfId="16150"/>
    <cellStyle name="Note 2 2 3 4" xfId="21128"/>
    <cellStyle name="Note 2 2 3 5" xfId="21129"/>
    <cellStyle name="Note 2 2 4" xfId="800"/>
    <cellStyle name="Note 2 2 4 2" xfId="16151"/>
    <cellStyle name="Note 2 2 4 3" xfId="21130"/>
    <cellStyle name="Note 2 2 4 4" xfId="21131"/>
    <cellStyle name="Note 2 2 5" xfId="16152"/>
    <cellStyle name="Note 2 2 5 2" xfId="16153"/>
    <cellStyle name="Note 2 2 6" xfId="16154"/>
    <cellStyle name="Note 2 2 6 2" xfId="16155"/>
    <cellStyle name="Note 2 2 7" xfId="16156"/>
    <cellStyle name="Note 2 2 8" xfId="16157"/>
    <cellStyle name="Note 2 3" xfId="801"/>
    <cellStyle name="Note 2 3 2" xfId="802"/>
    <cellStyle name="Note 2 3 2 2" xfId="803"/>
    <cellStyle name="Note 2 3 2 2 2" xfId="16158"/>
    <cellStyle name="Note 2 3 2 2 3" xfId="21132"/>
    <cellStyle name="Note 2 3 2 3" xfId="16159"/>
    <cellStyle name="Note 2 3 2 4" xfId="16160"/>
    <cellStyle name="Note 2 3 2 5" xfId="21133"/>
    <cellStyle name="Note 2 3 3" xfId="804"/>
    <cellStyle name="Note 2 3 3 2" xfId="16161"/>
    <cellStyle name="Note 2 3 3 2 2" xfId="16162"/>
    <cellStyle name="Note 2 3 3 3" xfId="16163"/>
    <cellStyle name="Note 2 3 3 4" xfId="21134"/>
    <cellStyle name="Note 2 3 4" xfId="16164"/>
    <cellStyle name="Note 2 3 4 2" xfId="16165"/>
    <cellStyle name="Note 2 3 5" xfId="16166"/>
    <cellStyle name="Note 2 3 5 2" xfId="16167"/>
    <cellStyle name="Note 2 3 6" xfId="16168"/>
    <cellStyle name="Note 2 3 7" xfId="16169"/>
    <cellStyle name="Note 2 3 8" xfId="18332"/>
    <cellStyle name="Note 2 4" xfId="805"/>
    <cellStyle name="Note 2 4 2" xfId="806"/>
    <cellStyle name="Note 2 4 2 2" xfId="16170"/>
    <cellStyle name="Note 2 4 2 3" xfId="21135"/>
    <cellStyle name="Note 2 4 2 4" xfId="21136"/>
    <cellStyle name="Note 2 4 3" xfId="16171"/>
    <cellStyle name="Note 2 4 3 2" xfId="16172"/>
    <cellStyle name="Note 2 4 4" xfId="16173"/>
    <cellStyle name="Note 2 4 4 2" xfId="16174"/>
    <cellStyle name="Note 2 4 5" xfId="16175"/>
    <cellStyle name="Note 2 4 6" xfId="16176"/>
    <cellStyle name="Note 2 5" xfId="807"/>
    <cellStyle name="Note 2 5 2" xfId="16177"/>
    <cellStyle name="Note 2 5 2 2" xfId="16178"/>
    <cellStyle name="Note 2 5 3" xfId="16179"/>
    <cellStyle name="Note 2 5 4" xfId="21137"/>
    <cellStyle name="Note 2 6" xfId="808"/>
    <cellStyle name="Note 2 6 2" xfId="16180"/>
    <cellStyle name="Note 2 6 2 2" xfId="21138"/>
    <cellStyle name="Note 2 6 2 3" xfId="21139"/>
    <cellStyle name="Note 2 6 2 4" xfId="21140"/>
    <cellStyle name="Note 2 6 3" xfId="18333"/>
    <cellStyle name="Note 2 6 3 2" xfId="21141"/>
    <cellStyle name="Note 2 6 3 3" xfId="21142"/>
    <cellStyle name="Note 2 6 4" xfId="21143"/>
    <cellStyle name="Note 2 6 4 2" xfId="21144"/>
    <cellStyle name="Note 2 6 5" xfId="21145"/>
    <cellStyle name="Note 2 6 6" xfId="21146"/>
    <cellStyle name="Note 2 6 7" xfId="21147"/>
    <cellStyle name="Note 2 6 8" xfId="21148"/>
    <cellStyle name="Note 2 7" xfId="809"/>
    <cellStyle name="Note 2 7 2" xfId="16181"/>
    <cellStyle name="Note 2 7 3" xfId="21149"/>
    <cellStyle name="Note 2 7 4" xfId="21150"/>
    <cellStyle name="Note 2 8" xfId="810"/>
    <cellStyle name="Note 2 8 2" xfId="21151"/>
    <cellStyle name="Note 2 9" xfId="16182"/>
    <cellStyle name="Note 2 9 2" xfId="21152"/>
    <cellStyle name="Note 2_AURORA Total New" xfId="16183"/>
    <cellStyle name="Note 3" xfId="811"/>
    <cellStyle name="Note 3 10" xfId="21153"/>
    <cellStyle name="Note 3 2" xfId="812"/>
    <cellStyle name="Note 3 2 2" xfId="813"/>
    <cellStyle name="Note 3 2 2 2" xfId="814"/>
    <cellStyle name="Note 3 2 2 2 2" xfId="21154"/>
    <cellStyle name="Note 3 2 2 2 3" xfId="21155"/>
    <cellStyle name="Note 3 2 2 3" xfId="21156"/>
    <cellStyle name="Note 3 2 2 4" xfId="21157"/>
    <cellStyle name="Note 3 2 2 5" xfId="21158"/>
    <cellStyle name="Note 3 2 3" xfId="815"/>
    <cellStyle name="Note 3 2 3 2" xfId="816"/>
    <cellStyle name="Note 3 2 3 2 2" xfId="21159"/>
    <cellStyle name="Note 3 2 3 2 3" xfId="21160"/>
    <cellStyle name="Note 3 2 3 3" xfId="21161"/>
    <cellStyle name="Note 3 2 3 4" xfId="21162"/>
    <cellStyle name="Note 3 2 3 5" xfId="21163"/>
    <cellStyle name="Note 3 2 4" xfId="817"/>
    <cellStyle name="Note 3 2 4 2" xfId="16184"/>
    <cellStyle name="Note 3 2 4 3" xfId="21164"/>
    <cellStyle name="Note 3 2 4 4" xfId="21165"/>
    <cellStyle name="Note 3 2 5" xfId="16185"/>
    <cellStyle name="Note 3 2 5 2" xfId="21166"/>
    <cellStyle name="Note 3 2 6" xfId="16186"/>
    <cellStyle name="Note 3 2 7" xfId="21167"/>
    <cellStyle name="Note 3 2 8" xfId="21168"/>
    <cellStyle name="Note 3 3" xfId="818"/>
    <cellStyle name="Note 3 3 2" xfId="819"/>
    <cellStyle name="Note 3 3 2 2" xfId="820"/>
    <cellStyle name="Note 3 3 2 2 2" xfId="21169"/>
    <cellStyle name="Note 3 3 2 2 3" xfId="21170"/>
    <cellStyle name="Note 3 3 2 3" xfId="21171"/>
    <cellStyle name="Note 3 3 2 4" xfId="21172"/>
    <cellStyle name="Note 3 3 2 5" xfId="21173"/>
    <cellStyle name="Note 3 3 3" xfId="821"/>
    <cellStyle name="Note 3 3 3 2" xfId="16187"/>
    <cellStyle name="Note 3 3 3 3" xfId="21174"/>
    <cellStyle name="Note 3 3 3 4" xfId="21175"/>
    <cellStyle name="Note 3 3 4" xfId="16188"/>
    <cellStyle name="Note 3 3 5" xfId="16189"/>
    <cellStyle name="Note 3 3 6" xfId="18334"/>
    <cellStyle name="Note 3 3 7" xfId="21176"/>
    <cellStyle name="Note 3 4" xfId="822"/>
    <cellStyle name="Note 3 4 2" xfId="823"/>
    <cellStyle name="Note 3 4 2 2" xfId="21177"/>
    <cellStyle name="Note 3 4 2 3" xfId="21178"/>
    <cellStyle name="Note 3 4 2 4" xfId="21179"/>
    <cellStyle name="Note 3 4 3" xfId="21180"/>
    <cellStyle name="Note 3 4 3 2" xfId="21181"/>
    <cellStyle name="Note 3 4 4" xfId="21182"/>
    <cellStyle name="Note 3 4 5" xfId="21183"/>
    <cellStyle name="Note 3 4 6" xfId="21184"/>
    <cellStyle name="Note 3 5" xfId="824"/>
    <cellStyle name="Note 3 5 2" xfId="16190"/>
    <cellStyle name="Note 3 5 3" xfId="21185"/>
    <cellStyle name="Note 3 5 4" xfId="21186"/>
    <cellStyle name="Note 3 6" xfId="825"/>
    <cellStyle name="Note 3 6 2" xfId="21187"/>
    <cellStyle name="Note 3 6 3" xfId="21188"/>
    <cellStyle name="Note 3 6 4" xfId="21189"/>
    <cellStyle name="Note 3 7" xfId="826"/>
    <cellStyle name="Note 3 7 2" xfId="21190"/>
    <cellStyle name="Note 3 8" xfId="21191"/>
    <cellStyle name="Note 3 8 2" xfId="21192"/>
    <cellStyle name="Note 3 9" xfId="21193"/>
    <cellStyle name="Note 4" xfId="827"/>
    <cellStyle name="Note 4 2" xfId="828"/>
    <cellStyle name="Note 4 2 2" xfId="829"/>
    <cellStyle name="Note 4 2 2 2" xfId="16191"/>
    <cellStyle name="Note 4 2 2 3" xfId="21194"/>
    <cellStyle name="Note 4 2 2 4" xfId="21195"/>
    <cellStyle name="Note 4 2 3" xfId="16192"/>
    <cellStyle name="Note 4 2 3 2" xfId="16193"/>
    <cellStyle name="Note 4 2 4" xfId="16194"/>
    <cellStyle name="Note 4 2 5" xfId="16195"/>
    <cellStyle name="Note 4 2 6" xfId="21196"/>
    <cellStyle name="Note 4 3" xfId="830"/>
    <cellStyle name="Note 4 3 2" xfId="831"/>
    <cellStyle name="Note 4 3 2 2" xfId="16196"/>
    <cellStyle name="Note 4 3 3" xfId="16197"/>
    <cellStyle name="Note 4 3 4" xfId="21197"/>
    <cellStyle name="Note 4 4" xfId="832"/>
    <cellStyle name="Note 4 4 2" xfId="16198"/>
    <cellStyle name="Note 4 4 3" xfId="21198"/>
    <cellStyle name="Note 4 4 4" xfId="21199"/>
    <cellStyle name="Note 4 5" xfId="833"/>
    <cellStyle name="Note 4 5 2" xfId="16199"/>
    <cellStyle name="Note 4 6" xfId="16200"/>
    <cellStyle name="Note 4 6 2" xfId="16201"/>
    <cellStyle name="Note 4 7" xfId="16202"/>
    <cellStyle name="Note 4 8" xfId="16203"/>
    <cellStyle name="Note 4 9" xfId="18335"/>
    <cellStyle name="Note 5" xfId="834"/>
    <cellStyle name="Note 5 2" xfId="835"/>
    <cellStyle name="Note 5 2 2" xfId="16204"/>
    <cellStyle name="Note 5 2 2 2" xfId="16205"/>
    <cellStyle name="Note 5 2 3" xfId="16206"/>
    <cellStyle name="Note 5 2 3 2" xfId="16207"/>
    <cellStyle name="Note 5 2 4" xfId="16208"/>
    <cellStyle name="Note 5 2 5" xfId="16209"/>
    <cellStyle name="Note 5 3" xfId="836"/>
    <cellStyle name="Note 5 3 2" xfId="16210"/>
    <cellStyle name="Note 5 3 2 2" xfId="16211"/>
    <cellStyle name="Note 5 3 3" xfId="16212"/>
    <cellStyle name="Note 5 3 4" xfId="21200"/>
    <cellStyle name="Note 5 4" xfId="837"/>
    <cellStyle name="Note 5 4 2" xfId="16213"/>
    <cellStyle name="Note 5 5" xfId="16214"/>
    <cellStyle name="Note 5 5 2" xfId="16215"/>
    <cellStyle name="Note 5 6" xfId="16216"/>
    <cellStyle name="Note 5 6 2" xfId="16217"/>
    <cellStyle name="Note 5 7" xfId="16218"/>
    <cellStyle name="Note 5 8" xfId="16219"/>
    <cellStyle name="Note 6" xfId="16220"/>
    <cellStyle name="Note 6 2" xfId="16221"/>
    <cellStyle name="Note 6 2 2" xfId="16222"/>
    <cellStyle name="Note 6 2 2 2" xfId="16223"/>
    <cellStyle name="Note 6 2 3" xfId="16224"/>
    <cellStyle name="Note 6 2 4" xfId="16225"/>
    <cellStyle name="Note 6 3" xfId="16226"/>
    <cellStyle name="Note 6 3 2" xfId="16227"/>
    <cellStyle name="Note 6 3 2 2" xfId="16228"/>
    <cellStyle name="Note 6 3 3" xfId="16229"/>
    <cellStyle name="Note 6 3 4" xfId="21201"/>
    <cellStyle name="Note 6 4" xfId="16230"/>
    <cellStyle name="Note 6 4 2" xfId="16231"/>
    <cellStyle name="Note 6 5" xfId="16232"/>
    <cellStyle name="Note 6 6" xfId="16233"/>
    <cellStyle name="Note 6 7" xfId="21202"/>
    <cellStyle name="Note 7" xfId="16234"/>
    <cellStyle name="Note 7 2" xfId="16235"/>
    <cellStyle name="Note 7 2 2" xfId="16236"/>
    <cellStyle name="Note 7 2 2 2" xfId="16237"/>
    <cellStyle name="Note 7 2 2 3" xfId="21203"/>
    <cellStyle name="Note 7 2 3" xfId="16238"/>
    <cellStyle name="Note 7 2 4" xfId="16239"/>
    <cellStyle name="Note 7 3" xfId="16240"/>
    <cellStyle name="Note 7 3 2" xfId="16241"/>
    <cellStyle name="Note 7 3 2 2" xfId="16242"/>
    <cellStyle name="Note 7 3 3" xfId="16243"/>
    <cellStyle name="Note 7 3 3 2" xfId="21204"/>
    <cellStyle name="Note 7 3 4" xfId="21205"/>
    <cellStyle name="Note 7 4" xfId="16244"/>
    <cellStyle name="Note 7 4 2" xfId="16245"/>
    <cellStyle name="Note 7 5" xfId="16246"/>
    <cellStyle name="Note 7 6" xfId="16247"/>
    <cellStyle name="Note 7 7" xfId="21206"/>
    <cellStyle name="Note 7 8" xfId="21207"/>
    <cellStyle name="Note 8" xfId="16248"/>
    <cellStyle name="Note 8 2" xfId="16249"/>
    <cellStyle name="Note 8 2 2" xfId="16250"/>
    <cellStyle name="Note 8 2 2 2" xfId="16251"/>
    <cellStyle name="Note 8 2 2 3" xfId="21208"/>
    <cellStyle name="Note 8 2 3" xfId="16252"/>
    <cellStyle name="Note 8 2 3 2" xfId="21209"/>
    <cellStyle name="Note 8 2 4" xfId="16253"/>
    <cellStyle name="Note 8 2 5" xfId="21210"/>
    <cellStyle name="Note 8 3" xfId="16254"/>
    <cellStyle name="Note 8 3 2" xfId="16255"/>
    <cellStyle name="Note 8 3 2 2" xfId="16256"/>
    <cellStyle name="Note 8 3 3" xfId="16257"/>
    <cellStyle name="Note 8 4" xfId="16258"/>
    <cellStyle name="Note 8 4 2" xfId="16259"/>
    <cellStyle name="Note 8 5" xfId="16260"/>
    <cellStyle name="Note 8 6" xfId="16261"/>
    <cellStyle name="Note 8 7" xfId="21211"/>
    <cellStyle name="Note 9" xfId="16262"/>
    <cellStyle name="Note 9 2" xfId="16263"/>
    <cellStyle name="Note 9 2 2" xfId="16264"/>
    <cellStyle name="Note 9 2 2 2" xfId="16265"/>
    <cellStyle name="Note 9 2 3" xfId="16266"/>
    <cellStyle name="Note 9 2 4" xfId="16267"/>
    <cellStyle name="Note 9 3" xfId="16268"/>
    <cellStyle name="Note 9 3 2" xfId="16269"/>
    <cellStyle name="Note 9 3 2 2" xfId="16270"/>
    <cellStyle name="Note 9 3 3" xfId="16271"/>
    <cellStyle name="Note 9 4" xfId="16272"/>
    <cellStyle name="Note 9 4 2" xfId="16273"/>
    <cellStyle name="Note 9 5" xfId="16274"/>
    <cellStyle name="Note 9 6" xfId="16275"/>
    <cellStyle name="Note 9 7" xfId="21212"/>
    <cellStyle name="Note 9 8" xfId="21213"/>
    <cellStyle name="Output 2" xfId="838"/>
    <cellStyle name="Output 2 2" xfId="839"/>
    <cellStyle name="Output 2 2 2" xfId="16276"/>
    <cellStyle name="Output 2 2 2 2" xfId="16277"/>
    <cellStyle name="Output 2 2 2 3" xfId="16278"/>
    <cellStyle name="Output 2 2 3" xfId="16279"/>
    <cellStyle name="Output 2 2 3 2" xfId="16280"/>
    <cellStyle name="Output 2 2 3 2 2" xfId="16281"/>
    <cellStyle name="Output 2 2 3 3" xfId="16282"/>
    <cellStyle name="Output 2 2 4" xfId="16283"/>
    <cellStyle name="Output 2 2 4 2" xfId="16284"/>
    <cellStyle name="Output 2 2 5" xfId="16285"/>
    <cellStyle name="Output 2 2 6" xfId="16286"/>
    <cellStyle name="Output 2 3" xfId="16287"/>
    <cellStyle name="Output 2 3 2" xfId="16288"/>
    <cellStyle name="Output 2 3 2 2" xfId="16289"/>
    <cellStyle name="Output 2 3 3" xfId="16290"/>
    <cellStyle name="Output 2 4" xfId="16291"/>
    <cellStyle name="Output 2 4 2" xfId="16292"/>
    <cellStyle name="Output 2 4 2 2" xfId="16293"/>
    <cellStyle name="Output 2 4 3" xfId="16294"/>
    <cellStyle name="Output 2 4 4" xfId="16295"/>
    <cellStyle name="Output 2 5" xfId="16296"/>
    <cellStyle name="Output 2 5 2" xfId="16297"/>
    <cellStyle name="Output 2 6" xfId="16298"/>
    <cellStyle name="Output 2 7" xfId="16299"/>
    <cellStyle name="Output 3" xfId="840"/>
    <cellStyle name="Output 3 2" xfId="841"/>
    <cellStyle name="Output 3 2 2" xfId="16300"/>
    <cellStyle name="Output 3 2 3" xfId="16301"/>
    <cellStyle name="Output 3 3" xfId="16302"/>
    <cellStyle name="Output 3 3 2" xfId="16303"/>
    <cellStyle name="Output 3 3 2 2" xfId="16304"/>
    <cellStyle name="Output 3 3 3" xfId="16305"/>
    <cellStyle name="Output 3 4" xfId="16306"/>
    <cellStyle name="Output 3 4 2" xfId="16307"/>
    <cellStyle name="Output 3 5" xfId="16308"/>
    <cellStyle name="Output 3 6" xfId="16309"/>
    <cellStyle name="Output 4" xfId="842"/>
    <cellStyle name="Output 4 2" xfId="16310"/>
    <cellStyle name="Output 4 2 2" xfId="16311"/>
    <cellStyle name="Output 4 3" xfId="16312"/>
    <cellStyle name="Output 4 3 2" xfId="16313"/>
    <cellStyle name="Output 4 4" xfId="16314"/>
    <cellStyle name="Output 4 5" xfId="16315"/>
    <cellStyle name="Output 5" xfId="16316"/>
    <cellStyle name="Output 5 2" xfId="16317"/>
    <cellStyle name="Output 5 2 2" xfId="16318"/>
    <cellStyle name="Output 5 3" xfId="16319"/>
    <cellStyle name="Output 5 3 2" xfId="16320"/>
    <cellStyle name="Output 5 4" xfId="16321"/>
    <cellStyle name="Output 6" xfId="16322"/>
    <cellStyle name="Output 6 2" xfId="16323"/>
    <cellStyle name="Output 6 2 2" xfId="16324"/>
    <cellStyle name="Output 6 3" xfId="16325"/>
    <cellStyle name="Output 7" xfId="16326"/>
    <cellStyle name="Output 7 2" xfId="16327"/>
    <cellStyle name="Percen - Style1" xfId="16328"/>
    <cellStyle name="Percen - Style1 2" xfId="16329"/>
    <cellStyle name="Percen - Style1 2 2" xfId="16330"/>
    <cellStyle name="Percen - Style1 2 2 2" xfId="16331"/>
    <cellStyle name="Percen - Style1 2 3" xfId="16332"/>
    <cellStyle name="Percen - Style1 3" xfId="16333"/>
    <cellStyle name="Percen - Style1 3 2" xfId="16334"/>
    <cellStyle name="Percen - Style1 4" xfId="16335"/>
    <cellStyle name="Percen - Style2" xfId="16336"/>
    <cellStyle name="Percen - Style2 2" xfId="16337"/>
    <cellStyle name="Percen - Style2 2 2" xfId="16338"/>
    <cellStyle name="Percen - Style2 2 2 2" xfId="16339"/>
    <cellStyle name="Percen - Style2 2 3" xfId="16340"/>
    <cellStyle name="Percen - Style2 3" xfId="16341"/>
    <cellStyle name="Percen - Style2 3 2" xfId="16342"/>
    <cellStyle name="Percen - Style2 4" xfId="16343"/>
    <cellStyle name="Percen - Style3" xfId="16344"/>
    <cellStyle name="Percen - Style3 2" xfId="16345"/>
    <cellStyle name="Percen - Style3 2 2" xfId="16346"/>
    <cellStyle name="Percen - Style3 2 2 2" xfId="16347"/>
    <cellStyle name="Percen - Style3 2 3" xfId="16348"/>
    <cellStyle name="Percen - Style3 3" xfId="16349"/>
    <cellStyle name="Percen - Style3 3 2" xfId="16350"/>
    <cellStyle name="Percen - Style3 4" xfId="16351"/>
    <cellStyle name="Percen - Style3_Electric Rev Req Model (2009 GRC) Rebuttal" xfId="18235"/>
    <cellStyle name="Percen - Style5" xfId="16352"/>
    <cellStyle name="Percent" xfId="18252" builtinId="5"/>
    <cellStyle name="Percent (0)" xfId="16353"/>
    <cellStyle name="Percent [2]" xfId="843"/>
    <cellStyle name="Percent [2] 10" xfId="5"/>
    <cellStyle name="Percent [2] 2" xfId="844"/>
    <cellStyle name="Percent [2] 2 2" xfId="16354"/>
    <cellStyle name="Percent [2] 2 2 2" xfId="16355"/>
    <cellStyle name="Percent [2] 2 2 2 2" xfId="16356"/>
    <cellStyle name="Percent [2] 2 2 3" xfId="16357"/>
    <cellStyle name="Percent [2] 2 3" xfId="16358"/>
    <cellStyle name="Percent [2] 2 3 2" xfId="16359"/>
    <cellStyle name="Percent [2] 2 3 2 2" xfId="16360"/>
    <cellStyle name="Percent [2] 2 3 3" xfId="16361"/>
    <cellStyle name="Percent [2] 2 4" xfId="16362"/>
    <cellStyle name="Percent [2] 3" xfId="16363"/>
    <cellStyle name="Percent [2] 3 2" xfId="16364"/>
    <cellStyle name="Percent [2] 3 2 2" xfId="16365"/>
    <cellStyle name="Percent [2] 3 3" xfId="16366"/>
    <cellStyle name="Percent [2] 4" xfId="16367"/>
    <cellStyle name="Percent [2] 4 2" xfId="16368"/>
    <cellStyle name="Percent [2] 4 2 2" xfId="16369"/>
    <cellStyle name="Percent [2] 4 2 2 2" xfId="16370"/>
    <cellStyle name="Percent [2] 4 2 3" xfId="16371"/>
    <cellStyle name="Percent [2] 4 3" xfId="16372"/>
    <cellStyle name="Percent [2] 4 3 2" xfId="16373"/>
    <cellStyle name="Percent [2] 4 4" xfId="16374"/>
    <cellStyle name="Percent [2] 5" xfId="16375"/>
    <cellStyle name="Percent [2] 5 2" xfId="16376"/>
    <cellStyle name="Percent [2] 5 2 2" xfId="16377"/>
    <cellStyle name="Percent [2] 5 3" xfId="16378"/>
    <cellStyle name="Percent [2] 6" xfId="16379"/>
    <cellStyle name="Percent [2] 6 2" xfId="16380"/>
    <cellStyle name="Percent [2] 6 2 2" xfId="16381"/>
    <cellStyle name="Percent [2] 6 3" xfId="16382"/>
    <cellStyle name="Percent [2] 7" xfId="16383"/>
    <cellStyle name="Percent [2] 7 2" xfId="16384"/>
    <cellStyle name="Percent [2] 7 2 2" xfId="16385"/>
    <cellStyle name="Percent [2] 7 3" xfId="16386"/>
    <cellStyle name="Percent [2] 8" xfId="16387"/>
    <cellStyle name="Percent [2] 8 2" xfId="16388"/>
    <cellStyle name="Percent [2] 9" xfId="16389"/>
    <cellStyle name="Percent 10" xfId="845"/>
    <cellStyle name="Percent 10 2" xfId="846"/>
    <cellStyle name="Percent 10 2 2" xfId="16390"/>
    <cellStyle name="Percent 10 2 2 2" xfId="16391"/>
    <cellStyle name="Percent 10 2 3" xfId="16392"/>
    <cellStyle name="Percent 10 2 4" xfId="18337"/>
    <cellStyle name="Percent 10 2 5" xfId="21214"/>
    <cellStyle name="Percent 10 3" xfId="16393"/>
    <cellStyle name="Percent 10 3 2" xfId="16394"/>
    <cellStyle name="Percent 10 3 2 2" xfId="16395"/>
    <cellStyle name="Percent 10 3 3" xfId="16396"/>
    <cellStyle name="Percent 10 3 3 2" xfId="16397"/>
    <cellStyle name="Percent 10 3 4" xfId="16398"/>
    <cellStyle name="Percent 10 4" xfId="16399"/>
    <cellStyle name="Percent 10 4 2" xfId="16400"/>
    <cellStyle name="Percent 10 5" xfId="16401"/>
    <cellStyle name="Percent 10 6" xfId="18336"/>
    <cellStyle name="Percent 10 7" xfId="21215"/>
    <cellStyle name="Percent 10 8" xfId="21216"/>
    <cellStyle name="Percent 10 9" xfId="21217"/>
    <cellStyle name="Percent 11" xfId="847"/>
    <cellStyle name="Percent 11 2" xfId="16402"/>
    <cellStyle name="Percent 11 2 2" xfId="16403"/>
    <cellStyle name="Percent 11 2 2 2" xfId="16404"/>
    <cellStyle name="Percent 11 2 3" xfId="16405"/>
    <cellStyle name="Percent 11 3" xfId="16406"/>
    <cellStyle name="Percent 11 3 2" xfId="16407"/>
    <cellStyle name="Percent 11 3 2 2" xfId="16408"/>
    <cellStyle name="Percent 11 3 3" xfId="16409"/>
    <cellStyle name="Percent 11 4" xfId="16410"/>
    <cellStyle name="Percent 12" xfId="848"/>
    <cellStyle name="Percent 12 2" xfId="16411"/>
    <cellStyle name="Percent 12 2 2" xfId="16412"/>
    <cellStyle name="Percent 12 2 2 2" xfId="16413"/>
    <cellStyle name="Percent 12 2 3" xfId="16414"/>
    <cellStyle name="Percent 12 3" xfId="16415"/>
    <cellStyle name="Percent 12 3 2" xfId="16416"/>
    <cellStyle name="Percent 12 4" xfId="16417"/>
    <cellStyle name="Percent 13" xfId="849"/>
    <cellStyle name="Percent 13 2" xfId="850"/>
    <cellStyle name="Percent 13 2 2" xfId="16418"/>
    <cellStyle name="Percent 13 2 2 2" xfId="16419"/>
    <cellStyle name="Percent 13 2 3" xfId="16420"/>
    <cellStyle name="Percent 13 3" xfId="16421"/>
    <cellStyle name="Percent 13 3 2" xfId="16422"/>
    <cellStyle name="Percent 13 4" xfId="16423"/>
    <cellStyle name="Percent 14" xfId="851"/>
    <cellStyle name="Percent 14 2" xfId="852"/>
    <cellStyle name="Percent 14 2 2" xfId="16424"/>
    <cellStyle name="Percent 14 2 2 2" xfId="16425"/>
    <cellStyle name="Percent 14 2 3" xfId="16426"/>
    <cellStyle name="Percent 14 3" xfId="16427"/>
    <cellStyle name="Percent 14 3 2" xfId="16428"/>
    <cellStyle name="Percent 14 4" xfId="16429"/>
    <cellStyle name="Percent 15" xfId="853"/>
    <cellStyle name="Percent 15 2" xfId="16430"/>
    <cellStyle name="Percent 15 2 2" xfId="16431"/>
    <cellStyle name="Percent 15 2 2 2" xfId="16432"/>
    <cellStyle name="Percent 15 2 3" xfId="16433"/>
    <cellStyle name="Percent 15 3" xfId="16434"/>
    <cellStyle name="Percent 15 3 2" xfId="16435"/>
    <cellStyle name="Percent 15 4" xfId="16436"/>
    <cellStyle name="Percent 16" xfId="854"/>
    <cellStyle name="Percent 16 2" xfId="16437"/>
    <cellStyle name="Percent 16 2 2" xfId="16438"/>
    <cellStyle name="Percent 16 2 2 2" xfId="16439"/>
    <cellStyle name="Percent 16 2 3" xfId="16440"/>
    <cellStyle name="Percent 16 3" xfId="16441"/>
    <cellStyle name="Percent 16 3 2" xfId="16442"/>
    <cellStyle name="Percent 16 4" xfId="16443"/>
    <cellStyle name="Percent 17" xfId="855"/>
    <cellStyle name="Percent 17 2" xfId="16444"/>
    <cellStyle name="Percent 17 2 2" xfId="16445"/>
    <cellStyle name="Percent 17 2 2 2" xfId="16446"/>
    <cellStyle name="Percent 17 2 3" xfId="16447"/>
    <cellStyle name="Percent 17 3" xfId="16448"/>
    <cellStyle name="Percent 17 3 2" xfId="16449"/>
    <cellStyle name="Percent 17 4" xfId="16450"/>
    <cellStyle name="Percent 18" xfId="856"/>
    <cellStyle name="Percent 18 2" xfId="16451"/>
    <cellStyle name="Percent 18 2 2" xfId="16452"/>
    <cellStyle name="Percent 18 2 2 2" xfId="16453"/>
    <cellStyle name="Percent 18 2 3" xfId="16454"/>
    <cellStyle name="Percent 18 3" xfId="16455"/>
    <cellStyle name="Percent 18 3 2" xfId="16456"/>
    <cellStyle name="Percent 18 4" xfId="16457"/>
    <cellStyle name="Percent 19" xfId="857"/>
    <cellStyle name="Percent 19 2" xfId="16458"/>
    <cellStyle name="Percent 19 2 2" xfId="16459"/>
    <cellStyle name="Percent 19 2 2 2" xfId="16460"/>
    <cellStyle name="Percent 19 2 3" xfId="16461"/>
    <cellStyle name="Percent 19 3" xfId="16462"/>
    <cellStyle name="Percent 19 3 2" xfId="16463"/>
    <cellStyle name="Percent 19 4" xfId="16464"/>
    <cellStyle name="Percent 2" xfId="858"/>
    <cellStyle name="Percent 2 2" xfId="859"/>
    <cellStyle name="Percent 2 2 2" xfId="16465"/>
    <cellStyle name="Percent 2 2 2 2" xfId="16466"/>
    <cellStyle name="Percent 2 2 2 2 2" xfId="16467"/>
    <cellStyle name="Percent 2 2 2 2 2 2" xfId="16468"/>
    <cellStyle name="Percent 2 2 2 2 3" xfId="16469"/>
    <cellStyle name="Percent 2 2 2 3" xfId="16470"/>
    <cellStyle name="Percent 2 2 2 3 2" xfId="16471"/>
    <cellStyle name="Percent 2 2 2 4" xfId="16472"/>
    <cellStyle name="Percent 2 2 3" xfId="16473"/>
    <cellStyle name="Percent 2 2 3 2" xfId="16474"/>
    <cellStyle name="Percent 2 2 3 2 2" xfId="16475"/>
    <cellStyle name="Percent 2 2 3 2 2 2" xfId="16476"/>
    <cellStyle name="Percent 2 2 3 2 3" xfId="16477"/>
    <cellStyle name="Percent 2 2 3 3" xfId="16478"/>
    <cellStyle name="Percent 2 2 4" xfId="16479"/>
    <cellStyle name="Percent 2 2 4 2" xfId="16480"/>
    <cellStyle name="Percent 2 2 4 2 2" xfId="16481"/>
    <cellStyle name="Percent 2 2 4 3" xfId="16482"/>
    <cellStyle name="Percent 2 2 5" xfId="16483"/>
    <cellStyle name="Percent 2 2 5 2" xfId="16484"/>
    <cellStyle name="Percent 2 2 6" xfId="16485"/>
    <cellStyle name="Percent 2 3" xfId="16486"/>
    <cellStyle name="Percent 2 3 2" xfId="16487"/>
    <cellStyle name="Percent 2 3 2 2" xfId="16488"/>
    <cellStyle name="Percent 2 3 2 2 2" xfId="16489"/>
    <cellStyle name="Percent 2 3 2 3" xfId="16490"/>
    <cellStyle name="Percent 2 3 3" xfId="16491"/>
    <cellStyle name="Percent 2 3 3 2" xfId="16492"/>
    <cellStyle name="Percent 2 3 4" xfId="16493"/>
    <cellStyle name="Percent 2 4" xfId="16494"/>
    <cellStyle name="Percent 2 4 2" xfId="16495"/>
    <cellStyle name="Percent 2 4 2 2" xfId="16496"/>
    <cellStyle name="Percent 2 4 3" xfId="16497"/>
    <cellStyle name="Percent 2 4 3 2" xfId="16498"/>
    <cellStyle name="Percent 2 4 4" xfId="16499"/>
    <cellStyle name="Percent 2 5" xfId="16500"/>
    <cellStyle name="Percent 2 5 2" xfId="16501"/>
    <cellStyle name="Percent 2 6" xfId="16502"/>
    <cellStyle name="Percent 20" xfId="860"/>
    <cellStyle name="Percent 20 2" xfId="16503"/>
    <cellStyle name="Percent 20 2 2" xfId="16504"/>
    <cellStyle name="Percent 20 2 2 2" xfId="16505"/>
    <cellStyle name="Percent 20 2 3" xfId="16506"/>
    <cellStyle name="Percent 20 3" xfId="16507"/>
    <cellStyle name="Percent 20 3 2" xfId="16508"/>
    <cellStyle name="Percent 20 4" xfId="16509"/>
    <cellStyle name="Percent 21" xfId="861"/>
    <cellStyle name="Percent 21 2" xfId="16510"/>
    <cellStyle name="Percent 21 2 2" xfId="16511"/>
    <cellStyle name="Percent 21 3" xfId="16512"/>
    <cellStyle name="Percent 21 3 2" xfId="16513"/>
    <cellStyle name="Percent 21 4" xfId="16514"/>
    <cellStyle name="Percent 21 4 2" xfId="16515"/>
    <cellStyle name="Percent 21 5" xfId="16516"/>
    <cellStyle name="Percent 21 6" xfId="18338"/>
    <cellStyle name="Percent 22" xfId="862"/>
    <cellStyle name="Percent 22 2" xfId="16517"/>
    <cellStyle name="Percent 22 2 2" xfId="16518"/>
    <cellStyle name="Percent 22 2 2 2" xfId="16519"/>
    <cellStyle name="Percent 22 2 3" xfId="16520"/>
    <cellStyle name="Percent 22 3" xfId="16521"/>
    <cellStyle name="Percent 22 4" xfId="18339"/>
    <cellStyle name="Percent 23" xfId="863"/>
    <cellStyle name="Percent 23 2" xfId="16522"/>
    <cellStyle name="Percent 23 2 2" xfId="16523"/>
    <cellStyle name="Percent 23 3" xfId="16524"/>
    <cellStyle name="Percent 23 4" xfId="18340"/>
    <cellStyle name="Percent 24" xfId="16525"/>
    <cellStyle name="Percent 24 2" xfId="16526"/>
    <cellStyle name="Percent 24 2 2" xfId="16527"/>
    <cellStyle name="Percent 24 3" xfId="16528"/>
    <cellStyle name="Percent 24 3 2" xfId="16529"/>
    <cellStyle name="Percent 24 4" xfId="16530"/>
    <cellStyle name="Percent 25" xfId="16531"/>
    <cellStyle name="Percent 25 2" xfId="16532"/>
    <cellStyle name="Percent 25 2 2" xfId="16533"/>
    <cellStyle name="Percent 25 3" xfId="16534"/>
    <cellStyle name="Percent 25 3 2" xfId="16535"/>
    <cellStyle name="Percent 25 4" xfId="16536"/>
    <cellStyle name="Percent 25 4 2" xfId="16537"/>
    <cellStyle name="Percent 25 5" xfId="16538"/>
    <cellStyle name="Percent 25 6" xfId="16539"/>
    <cellStyle name="Percent 25 7" xfId="16540"/>
    <cellStyle name="Percent 26" xfId="16541"/>
    <cellStyle name="Percent 26 2" xfId="16542"/>
    <cellStyle name="Percent 26 2 2" xfId="16543"/>
    <cellStyle name="Percent 26 3" xfId="16544"/>
    <cellStyle name="Percent 27" xfId="16545"/>
    <cellStyle name="Percent 27 2" xfId="16546"/>
    <cellStyle name="Percent 27 2 2" xfId="16547"/>
    <cellStyle name="Percent 27 3" xfId="16548"/>
    <cellStyle name="Percent 28" xfId="16549"/>
    <cellStyle name="Percent 28 2" xfId="16550"/>
    <cellStyle name="Percent 28 2 2" xfId="16551"/>
    <cellStyle name="Percent 28 3" xfId="16552"/>
    <cellStyle name="Percent 29" xfId="16553"/>
    <cellStyle name="Percent 29 2" xfId="16554"/>
    <cellStyle name="Percent 29 2 2" xfId="16555"/>
    <cellStyle name="Percent 29 3" xfId="16556"/>
    <cellStyle name="Percent 3" xfId="864"/>
    <cellStyle name="Percent 3 2" xfId="865"/>
    <cellStyle name="Percent 3 2 2" xfId="16557"/>
    <cellStyle name="Percent 3 2 2 2" xfId="16558"/>
    <cellStyle name="Percent 3 2 2 2 2" xfId="16559"/>
    <cellStyle name="Percent 3 2 2 3" xfId="16560"/>
    <cellStyle name="Percent 3 2 3" xfId="16561"/>
    <cellStyle name="Percent 3 2 3 2" xfId="16562"/>
    <cellStyle name="Percent 3 2 4" xfId="16563"/>
    <cellStyle name="Percent 3 3" xfId="16564"/>
    <cellStyle name="Percent 3 3 2" xfId="16565"/>
    <cellStyle name="Percent 3 3 2 2" xfId="16566"/>
    <cellStyle name="Percent 3 3 2 2 2" xfId="16567"/>
    <cellStyle name="Percent 3 3 2 3" xfId="16568"/>
    <cellStyle name="Percent 3 3 3" xfId="16569"/>
    <cellStyle name="Percent 3 3 3 2" xfId="16570"/>
    <cellStyle name="Percent 3 3 4" xfId="16571"/>
    <cellStyle name="Percent 3 4" xfId="16572"/>
    <cellStyle name="Percent 3 4 2" xfId="16573"/>
    <cellStyle name="Percent 3 4 2 2" xfId="16574"/>
    <cellStyle name="Percent 3 4 3" xfId="16575"/>
    <cellStyle name="Percent 3 4 3 2" xfId="16576"/>
    <cellStyle name="Percent 3 4 4" xfId="16577"/>
    <cellStyle name="Percent 3 5" xfId="16578"/>
    <cellStyle name="Percent 3 5 2" xfId="16579"/>
    <cellStyle name="Percent 3 5 2 2" xfId="16580"/>
    <cellStyle name="Percent 3 5 3" xfId="16581"/>
    <cellStyle name="Percent 3 6" xfId="16582"/>
    <cellStyle name="Percent 3 6 2" xfId="16583"/>
    <cellStyle name="Percent 3 6 2 2" xfId="16584"/>
    <cellStyle name="Percent 3 6 3" xfId="16585"/>
    <cellStyle name="Percent 3 7" xfId="16586"/>
    <cellStyle name="Percent 3 7 2" xfId="16587"/>
    <cellStyle name="Percent 3 8" xfId="16588"/>
    <cellStyle name="Percent 30" xfId="16589"/>
    <cellStyle name="Percent 30 2" xfId="16590"/>
    <cellStyle name="Percent 30 2 2" xfId="16591"/>
    <cellStyle name="Percent 30 3" xfId="16592"/>
    <cellStyle name="Percent 31" xfId="16593"/>
    <cellStyle name="Percent 31 2" xfId="16594"/>
    <cellStyle name="Percent 31 2 2" xfId="16595"/>
    <cellStyle name="Percent 31 3" xfId="16596"/>
    <cellStyle name="Percent 31 4" xfId="16597"/>
    <cellStyle name="Percent 32" xfId="16598"/>
    <cellStyle name="Percent 32 2" xfId="16599"/>
    <cellStyle name="Percent 32 3" xfId="16600"/>
    <cellStyle name="Percent 32 3 2" xfId="18570"/>
    <cellStyle name="Percent 32 4" xfId="18569"/>
    <cellStyle name="Percent 33" xfId="16601"/>
    <cellStyle name="Percent 33 2" xfId="16602"/>
    <cellStyle name="Percent 33 2 2" xfId="16603"/>
    <cellStyle name="Percent 33 2 2 2" xfId="18573"/>
    <cellStyle name="Percent 33 2 3" xfId="18572"/>
    <cellStyle name="Percent 33 3" xfId="16604"/>
    <cellStyle name="Percent 33 3 2" xfId="18574"/>
    <cellStyle name="Percent 33 4" xfId="18571"/>
    <cellStyle name="Percent 34" xfId="16605"/>
    <cellStyle name="Percent 34 2" xfId="16606"/>
    <cellStyle name="Percent 35" xfId="16607"/>
    <cellStyle name="Percent 35 2" xfId="16608"/>
    <cellStyle name="Percent 36" xfId="16609"/>
    <cellStyle name="Percent 36 2" xfId="16610"/>
    <cellStyle name="Percent 37" xfId="16611"/>
    <cellStyle name="Percent 37 2" xfId="16612"/>
    <cellStyle name="Percent 38" xfId="16613"/>
    <cellStyle name="Percent 38 2" xfId="16614"/>
    <cellStyle name="Percent 39" xfId="16615"/>
    <cellStyle name="Percent 39 2" xfId="16616"/>
    <cellStyle name="Percent 4" xfId="866"/>
    <cellStyle name="Percent 4 2" xfId="16617"/>
    <cellStyle name="Percent 4 2 2" xfId="16618"/>
    <cellStyle name="Percent 4 2 2 2" xfId="16619"/>
    <cellStyle name="Percent 4 2 2 2 2" xfId="16620"/>
    <cellStyle name="Percent 4 2 2 3" xfId="16621"/>
    <cellStyle name="Percent 4 2 3" xfId="16622"/>
    <cellStyle name="Percent 4 2 3 2" xfId="16623"/>
    <cellStyle name="Percent 4 2 3 2 2" xfId="16624"/>
    <cellStyle name="Percent 4 2 3 3" xfId="16625"/>
    <cellStyle name="Percent 4 2 4" xfId="16626"/>
    <cellStyle name="Percent 4 2 4 2" xfId="16627"/>
    <cellStyle name="Percent 4 2 5" xfId="16628"/>
    <cellStyle name="Percent 4 3" xfId="16629"/>
    <cellStyle name="Percent 4 3 2" xfId="16630"/>
    <cellStyle name="Percent 4 3 2 2" xfId="16631"/>
    <cellStyle name="Percent 4 3 3" xfId="16632"/>
    <cellStyle name="Percent 4 4" xfId="16633"/>
    <cellStyle name="Percent 4 4 2" xfId="16634"/>
    <cellStyle name="Percent 4 4 2 2" xfId="16635"/>
    <cellStyle name="Percent 4 4 3" xfId="16636"/>
    <cellStyle name="Percent 4 5" xfId="16637"/>
    <cellStyle name="Percent 4 5 2" xfId="16638"/>
    <cellStyle name="Percent 4 6" xfId="16639"/>
    <cellStyle name="Percent 40" xfId="16640"/>
    <cellStyle name="Percent 40 2" xfId="18575"/>
    <cellStyle name="Percent 41" xfId="16641"/>
    <cellStyle name="Percent 41 2" xfId="16642"/>
    <cellStyle name="Percent 41 2 2" xfId="16643"/>
    <cellStyle name="Percent 41 3" xfId="16644"/>
    <cellStyle name="Percent 42" xfId="16645"/>
    <cellStyle name="Percent 43" xfId="16646"/>
    <cellStyle name="Percent 44" xfId="16647"/>
    <cellStyle name="Percent 45" xfId="16648"/>
    <cellStyle name="Percent 46" xfId="16649"/>
    <cellStyle name="Percent 47" xfId="16650"/>
    <cellStyle name="Percent 48" xfId="21232"/>
    <cellStyle name="Percent 5" xfId="867"/>
    <cellStyle name="Percent 5 2" xfId="868"/>
    <cellStyle name="Percent 5 2 2" xfId="16651"/>
    <cellStyle name="Percent 5 2 2 2" xfId="16652"/>
    <cellStyle name="Percent 5 2 3" xfId="16653"/>
    <cellStyle name="Percent 5 3" xfId="16654"/>
    <cellStyle name="Percent 5 3 2" xfId="16655"/>
    <cellStyle name="Percent 5 3 2 2" xfId="16656"/>
    <cellStyle name="Percent 5 3 3" xfId="16657"/>
    <cellStyle name="Percent 5 4" xfId="16658"/>
    <cellStyle name="Percent 5 4 2" xfId="16659"/>
    <cellStyle name="Percent 5 5" xfId="16660"/>
    <cellStyle name="Percent 6" xfId="869"/>
    <cellStyle name="Percent 6 2" xfId="16661"/>
    <cellStyle name="Percent 6 2 2" xfId="16662"/>
    <cellStyle name="Percent 6 2 2 2" xfId="16663"/>
    <cellStyle name="Percent 6 2 2 2 2" xfId="16664"/>
    <cellStyle name="Percent 6 2 2 3" xfId="16665"/>
    <cellStyle name="Percent 6 2 3" xfId="16666"/>
    <cellStyle name="Percent 6 3" xfId="16667"/>
    <cellStyle name="Percent 6 3 2" xfId="16668"/>
    <cellStyle name="Percent 6 3 2 2" xfId="16669"/>
    <cellStyle name="Percent 6 3 3" xfId="16670"/>
    <cellStyle name="Percent 6 4" xfId="16671"/>
    <cellStyle name="Percent 6 4 2" xfId="16672"/>
    <cellStyle name="Percent 6 5" xfId="16673"/>
    <cellStyle name="Percent 7" xfId="870"/>
    <cellStyle name="Percent 7 2" xfId="16674"/>
    <cellStyle name="Percent 7 2 2" xfId="16675"/>
    <cellStyle name="Percent 7 2 2 2" xfId="16676"/>
    <cellStyle name="Percent 7 2 3" xfId="16677"/>
    <cellStyle name="Percent 7 2 3 2" xfId="16678"/>
    <cellStyle name="Percent 7 2 4" xfId="16679"/>
    <cellStyle name="Percent 7 3" xfId="16680"/>
    <cellStyle name="Percent 7 3 2" xfId="16681"/>
    <cellStyle name="Percent 7 4" xfId="16682"/>
    <cellStyle name="Percent 8" xfId="871"/>
    <cellStyle name="Percent 8 2" xfId="16683"/>
    <cellStyle name="Percent 8 2 2" xfId="16684"/>
    <cellStyle name="Percent 8 2 2 2" xfId="16685"/>
    <cellStyle name="Percent 8 2 2 2 2" xfId="16686"/>
    <cellStyle name="Percent 8 2 2 3" xfId="16687"/>
    <cellStyle name="Percent 8 2 3" xfId="16688"/>
    <cellStyle name="Percent 8 3" xfId="16689"/>
    <cellStyle name="Percent 8 3 2" xfId="16690"/>
    <cellStyle name="Percent 8 3 2 2" xfId="16691"/>
    <cellStyle name="Percent 8 3 3" xfId="16692"/>
    <cellStyle name="Percent 8 4" xfId="16693"/>
    <cellStyle name="Percent 8 4 2" xfId="16694"/>
    <cellStyle name="Percent 8 5" xfId="16695"/>
    <cellStyle name="Percent 9" xfId="872"/>
    <cellStyle name="Percent 9 2" xfId="873"/>
    <cellStyle name="Percent 9 2 2" xfId="874"/>
    <cellStyle name="Percent 9 2 2 2" xfId="16696"/>
    <cellStyle name="Percent 9 2 2 2 2" xfId="16697"/>
    <cellStyle name="Percent 9 2 2 3" xfId="16698"/>
    <cellStyle name="Percent 9 2 2 4" xfId="18342"/>
    <cellStyle name="Percent 9 2 2 5" xfId="21218"/>
    <cellStyle name="Percent 9 2 3" xfId="16699"/>
    <cellStyle name="Percent 9 2 3 2" xfId="21219"/>
    <cellStyle name="Percent 9 2 3 3" xfId="21220"/>
    <cellStyle name="Percent 9 2 4" xfId="18341"/>
    <cellStyle name="Percent 9 2 4 2" xfId="21221"/>
    <cellStyle name="Percent 9 2 5" xfId="21222"/>
    <cellStyle name="Percent 9 2 6" xfId="21223"/>
    <cellStyle name="Percent 9 2 7" xfId="21224"/>
    <cellStyle name="Percent 9 2 8" xfId="21225"/>
    <cellStyle name="Percent 9 3" xfId="16700"/>
    <cellStyle name="Percent 9 3 2" xfId="16701"/>
    <cellStyle name="Percent 9 3 2 2" xfId="16702"/>
    <cellStyle name="Percent 9 3 3" xfId="16703"/>
    <cellStyle name="Percent 9 4" xfId="16704"/>
    <cellStyle name="Processing" xfId="16705"/>
    <cellStyle name="Processing 2" xfId="16706"/>
    <cellStyle name="Processing 2 2" xfId="16707"/>
    <cellStyle name="Processing 2 2 2" xfId="16708"/>
    <cellStyle name="Processing 2 2 2 2" xfId="16709"/>
    <cellStyle name="Processing 2 2 3" xfId="16710"/>
    <cellStyle name="Processing 2 3" xfId="16711"/>
    <cellStyle name="Processing 2 3 2" xfId="16712"/>
    <cellStyle name="Processing 2 4" xfId="16713"/>
    <cellStyle name="Processing 3" xfId="16714"/>
    <cellStyle name="Processing 3 2" xfId="16715"/>
    <cellStyle name="Processing 3 2 2" xfId="16716"/>
    <cellStyle name="Processing 3 3" xfId="16717"/>
    <cellStyle name="Processing 4" xfId="16718"/>
    <cellStyle name="Processing 4 2" xfId="16719"/>
    <cellStyle name="Processing 4 2 2" xfId="16720"/>
    <cellStyle name="Processing 4 3" xfId="16721"/>
    <cellStyle name="Processing 5" xfId="16722"/>
    <cellStyle name="Processing 5 2" xfId="16723"/>
    <cellStyle name="Processing 6" xfId="16724"/>
    <cellStyle name="Processing_AURORA Total New" xfId="16725"/>
    <cellStyle name="Protected" xfId="16726"/>
    <cellStyle name="ProtectedDates" xfId="16727"/>
    <cellStyle name="PSChar" xfId="16728"/>
    <cellStyle name="PSChar 2" xfId="16729"/>
    <cellStyle name="PSChar 2 2" xfId="16730"/>
    <cellStyle name="PSChar 2 2 2" xfId="16731"/>
    <cellStyle name="PSChar 2 3" xfId="16732"/>
    <cellStyle name="PSChar 2 3 2" xfId="16733"/>
    <cellStyle name="PSChar 2 4" xfId="16734"/>
    <cellStyle name="PSChar 3" xfId="16735"/>
    <cellStyle name="PSChar 3 2" xfId="16736"/>
    <cellStyle name="PSChar 4" xfId="16737"/>
    <cellStyle name="PSDate" xfId="16738"/>
    <cellStyle name="PSDate 2" xfId="16739"/>
    <cellStyle name="PSDate 2 2" xfId="16740"/>
    <cellStyle name="PSDate 2 2 2" xfId="16741"/>
    <cellStyle name="PSDate 2 3" xfId="16742"/>
    <cellStyle name="PSDate 2 3 2" xfId="16743"/>
    <cellStyle name="PSDate 2 4" xfId="16744"/>
    <cellStyle name="PSDate 3" xfId="16745"/>
    <cellStyle name="PSDate 3 2" xfId="16746"/>
    <cellStyle name="PSDate 4" xfId="16747"/>
    <cellStyle name="PSDec" xfId="16748"/>
    <cellStyle name="PSDec 2" xfId="16749"/>
    <cellStyle name="PSDec 2 2" xfId="16750"/>
    <cellStyle name="PSDec 2 2 2" xfId="16751"/>
    <cellStyle name="PSDec 2 3" xfId="16752"/>
    <cellStyle name="PSDec 2 3 2" xfId="16753"/>
    <cellStyle name="PSDec 2 4" xfId="16754"/>
    <cellStyle name="PSDec 3" xfId="16755"/>
    <cellStyle name="PSDec 3 2" xfId="16756"/>
    <cellStyle name="PSDec 4" xfId="16757"/>
    <cellStyle name="PSHeading" xfId="16758"/>
    <cellStyle name="PSHeading 2" xfId="16759"/>
    <cellStyle name="PSHeading 2 2" xfId="16760"/>
    <cellStyle name="PSHeading 2 2 2" xfId="16761"/>
    <cellStyle name="PSHeading 2 2 3" xfId="16762"/>
    <cellStyle name="PSHeading 2 2 3 2" xfId="16763"/>
    <cellStyle name="PSHeading 2 2 3 3" xfId="16764"/>
    <cellStyle name="PSHeading 2 2 3 4" xfId="16765"/>
    <cellStyle name="PSHeading 2 2 4" xfId="16766"/>
    <cellStyle name="PSHeading 2 2 5" xfId="16767"/>
    <cellStyle name="PSHeading 2 2 6" xfId="16768"/>
    <cellStyle name="PSHeading 2 3" xfId="16769"/>
    <cellStyle name="PSHeading 2 3 2" xfId="16770"/>
    <cellStyle name="PSHeading 2 4" xfId="16771"/>
    <cellStyle name="PSHeading 2 5" xfId="16772"/>
    <cellStyle name="PSHeading 2 5 2" xfId="16773"/>
    <cellStyle name="PSHeading 2 5 3" xfId="16774"/>
    <cellStyle name="PSHeading 2 5 4" xfId="16775"/>
    <cellStyle name="PSHeading 2 6" xfId="16776"/>
    <cellStyle name="PSHeading 2 7" xfId="16777"/>
    <cellStyle name="PSHeading 2 8" xfId="16778"/>
    <cellStyle name="PSHeading 3" xfId="16779"/>
    <cellStyle name="PSHeading 3 2" xfId="16780"/>
    <cellStyle name="PSHeading 4" xfId="16781"/>
    <cellStyle name="PSHeading 5" xfId="16782"/>
    <cellStyle name="PSHeading 5 2" xfId="16783"/>
    <cellStyle name="PSHeading 5 3" xfId="16784"/>
    <cellStyle name="PSHeading 5 4" xfId="16785"/>
    <cellStyle name="PSHeading 6" xfId="16786"/>
    <cellStyle name="PSHeading 7" xfId="16787"/>
    <cellStyle name="PSHeading 8" xfId="16788"/>
    <cellStyle name="PSInt" xfId="16789"/>
    <cellStyle name="PSInt 2" xfId="16790"/>
    <cellStyle name="PSInt 2 2" xfId="16791"/>
    <cellStyle name="PSInt 2 2 2" xfId="16792"/>
    <cellStyle name="PSInt 2 3" xfId="16793"/>
    <cellStyle name="PSInt 2 3 2" xfId="16794"/>
    <cellStyle name="PSInt 2 4" xfId="16795"/>
    <cellStyle name="PSInt 3" xfId="16796"/>
    <cellStyle name="PSInt 3 2" xfId="16797"/>
    <cellStyle name="PSInt 4" xfId="16798"/>
    <cellStyle name="PSSpacer" xfId="16799"/>
    <cellStyle name="PSSpacer 2" xfId="16800"/>
    <cellStyle name="PSSpacer 2 2" xfId="16801"/>
    <cellStyle name="PSSpacer 2 2 2" xfId="16802"/>
    <cellStyle name="PSSpacer 2 3" xfId="16803"/>
    <cellStyle name="PSSpacer 2 3 2" xfId="16804"/>
    <cellStyle name="PSSpacer 2 4" xfId="16805"/>
    <cellStyle name="PSSpacer 3" xfId="16806"/>
    <cellStyle name="PSSpacer 3 2" xfId="16807"/>
    <cellStyle name="PSSpacer 4" xfId="16808"/>
    <cellStyle name="purple - Style8" xfId="16809"/>
    <cellStyle name="purple - Style8 2" xfId="16810"/>
    <cellStyle name="purple - Style8 2 2" xfId="16811"/>
    <cellStyle name="purple - Style8 2 2 2" xfId="16812"/>
    <cellStyle name="purple - Style8 2 3" xfId="16813"/>
    <cellStyle name="purple - Style8 3" xfId="16814"/>
    <cellStyle name="purple - Style8 3 2" xfId="16815"/>
    <cellStyle name="purple - Style8 4" xfId="16816"/>
    <cellStyle name="purple - Style8_Electric Rev Req Model (2009 GRC) Rebuttal" xfId="18236"/>
    <cellStyle name="RED" xfId="16817"/>
    <cellStyle name="Red - Style7" xfId="16818"/>
    <cellStyle name="Red - Style7 2" xfId="16819"/>
    <cellStyle name="Red - Style7 2 2" xfId="16820"/>
    <cellStyle name="Red - Style7 2 2 2" xfId="16821"/>
    <cellStyle name="Red - Style7 2 3" xfId="16822"/>
    <cellStyle name="Red - Style7 3" xfId="16823"/>
    <cellStyle name="Red - Style7 3 2" xfId="16824"/>
    <cellStyle name="Red - Style7 4" xfId="16825"/>
    <cellStyle name="Red - Style7_Electric Rev Req Model (2009 GRC) Rebuttal" xfId="18237"/>
    <cellStyle name="RED 2" xfId="16826"/>
    <cellStyle name="RED 2 2" xfId="16827"/>
    <cellStyle name="RED 2 2 2" xfId="16828"/>
    <cellStyle name="RED 2 3" xfId="16829"/>
    <cellStyle name="RED 2 3 2" xfId="16830"/>
    <cellStyle name="RED 2 4" xfId="16831"/>
    <cellStyle name="RED 3" xfId="16832"/>
    <cellStyle name="RED 3 2" xfId="16833"/>
    <cellStyle name="RED 3 2 2" xfId="16834"/>
    <cellStyle name="RED 3 3" xfId="16835"/>
    <cellStyle name="RED 4" xfId="16836"/>
    <cellStyle name="RED 4 2" xfId="16837"/>
    <cellStyle name="RED 4 2 2" xfId="16838"/>
    <cellStyle name="RED 4 3" xfId="16839"/>
    <cellStyle name="RED 5" xfId="16840"/>
    <cellStyle name="RED 5 2" xfId="16841"/>
    <cellStyle name="RED 5 2 2" xfId="16842"/>
    <cellStyle name="RED 5 3" xfId="16843"/>
    <cellStyle name="RED 6" xfId="16844"/>
    <cellStyle name="RED 6 2" xfId="16845"/>
    <cellStyle name="RED 6 2 2" xfId="16846"/>
    <cellStyle name="RED 6 3" xfId="16847"/>
    <cellStyle name="RED 7" xfId="16848"/>
    <cellStyle name="RED 7 2" xfId="16849"/>
    <cellStyle name="RED 8" xfId="16850"/>
    <cellStyle name="RED_04 07E Wild Horse Wind Expansion (C) (2)" xfId="16851"/>
    <cellStyle name="Report" xfId="16852"/>
    <cellStyle name="Report - Style5" xfId="18238"/>
    <cellStyle name="Report - Style6" xfId="18239"/>
    <cellStyle name="Report - Style7" xfId="18240"/>
    <cellStyle name="Report - Style8" xfId="18241"/>
    <cellStyle name="Report 2" xfId="16853"/>
    <cellStyle name="Report 2 2" xfId="16854"/>
    <cellStyle name="Report 2 2 2" xfId="16855"/>
    <cellStyle name="Report 2 2 2 2" xfId="16856"/>
    <cellStyle name="Report 2 2 3" xfId="16857"/>
    <cellStyle name="Report 2 3" xfId="16858"/>
    <cellStyle name="Report 2 3 2" xfId="16859"/>
    <cellStyle name="Report 2 4" xfId="16860"/>
    <cellStyle name="Report 3" xfId="16861"/>
    <cellStyle name="Report 3 2" xfId="16862"/>
    <cellStyle name="Report 3 2 2" xfId="16863"/>
    <cellStyle name="Report 3 3" xfId="16864"/>
    <cellStyle name="Report 4" xfId="16865"/>
    <cellStyle name="Report 4 2" xfId="16866"/>
    <cellStyle name="Report 4 2 2" xfId="16867"/>
    <cellStyle name="Report 4 3" xfId="16868"/>
    <cellStyle name="Report 5" xfId="16869"/>
    <cellStyle name="Report 5 2" xfId="16870"/>
    <cellStyle name="Report 6" xfId="16871"/>
    <cellStyle name="Report Bar" xfId="16872"/>
    <cellStyle name="Report Bar 2" xfId="16873"/>
    <cellStyle name="Report Bar 2 2" xfId="16874"/>
    <cellStyle name="Report Bar 2 2 2" xfId="16875"/>
    <cellStyle name="Report Bar 2 2 2 2" xfId="16876"/>
    <cellStyle name="Report Bar 2 2 3" xfId="16877"/>
    <cellStyle name="Report Bar 2 3" xfId="16878"/>
    <cellStyle name="Report Bar 2 3 2" xfId="16879"/>
    <cellStyle name="Report Bar 2 4" xfId="16880"/>
    <cellStyle name="Report Bar 3" xfId="16881"/>
    <cellStyle name="Report Bar 3 2" xfId="16882"/>
    <cellStyle name="Report Bar 3 2 2" xfId="16883"/>
    <cellStyle name="Report Bar 3 3" xfId="16884"/>
    <cellStyle name="Report Bar 4" xfId="16885"/>
    <cellStyle name="Report Bar 4 2" xfId="16886"/>
    <cellStyle name="Report Bar 4 2 2" xfId="16887"/>
    <cellStyle name="Report Bar 4 3" xfId="16888"/>
    <cellStyle name="Report Bar 5" xfId="16889"/>
    <cellStyle name="Report Bar 5 2" xfId="16890"/>
    <cellStyle name="Report Bar 6" xfId="16891"/>
    <cellStyle name="Report Bar_AURORA Total New" xfId="16892"/>
    <cellStyle name="Report Heading" xfId="16893"/>
    <cellStyle name="Report Heading 10" xfId="16894"/>
    <cellStyle name="Report Heading 2" xfId="16895"/>
    <cellStyle name="Report Heading 2 2" xfId="16896"/>
    <cellStyle name="Report Heading 2 2 2" xfId="16897"/>
    <cellStyle name="Report Heading 2 3" xfId="16898"/>
    <cellStyle name="Report Heading 2 4" xfId="16899"/>
    <cellStyle name="Report Heading 2 4 2" xfId="16900"/>
    <cellStyle name="Report Heading 2 4 2 2" xfId="16901"/>
    <cellStyle name="Report Heading 2 4 3" xfId="16902"/>
    <cellStyle name="Report Heading 2 4 3 2" xfId="16903"/>
    <cellStyle name="Report Heading 2 4 4" xfId="16904"/>
    <cellStyle name="Report Heading 2 4 4 2" xfId="16905"/>
    <cellStyle name="Report Heading 2 4 5" xfId="16906"/>
    <cellStyle name="Report Heading 2 4 5 2" xfId="16907"/>
    <cellStyle name="Report Heading 2 4 6" xfId="16908"/>
    <cellStyle name="Report Heading 2 5" xfId="16909"/>
    <cellStyle name="Report Heading 2 5 2" xfId="16910"/>
    <cellStyle name="Report Heading 2 6" xfId="16911"/>
    <cellStyle name="Report Heading 2 6 2" xfId="16912"/>
    <cellStyle name="Report Heading 2 7" xfId="16913"/>
    <cellStyle name="Report Heading 2 7 2" xfId="16914"/>
    <cellStyle name="Report Heading 2 8" xfId="16915"/>
    <cellStyle name="Report Heading 2 8 2" xfId="16916"/>
    <cellStyle name="Report Heading 2 9" xfId="16917"/>
    <cellStyle name="Report Heading 3" xfId="16918"/>
    <cellStyle name="Report Heading 3 2" xfId="16919"/>
    <cellStyle name="Report Heading 4" xfId="16920"/>
    <cellStyle name="Report Heading 5" xfId="16921"/>
    <cellStyle name="Report Heading 5 2" xfId="16922"/>
    <cellStyle name="Report Heading 5 2 2" xfId="16923"/>
    <cellStyle name="Report Heading 5 3" xfId="16924"/>
    <cellStyle name="Report Heading 5 3 2" xfId="16925"/>
    <cellStyle name="Report Heading 5 4" xfId="16926"/>
    <cellStyle name="Report Heading 5 4 2" xfId="16927"/>
    <cellStyle name="Report Heading 5 5" xfId="16928"/>
    <cellStyle name="Report Heading 5 5 2" xfId="16929"/>
    <cellStyle name="Report Heading 5 6" xfId="16930"/>
    <cellStyle name="Report Heading 6" xfId="16931"/>
    <cellStyle name="Report Heading 6 2" xfId="16932"/>
    <cellStyle name="Report Heading 7" xfId="16933"/>
    <cellStyle name="Report Heading 7 2" xfId="16934"/>
    <cellStyle name="Report Heading 8" xfId="16935"/>
    <cellStyle name="Report Heading 8 2" xfId="16936"/>
    <cellStyle name="Report Heading 9" xfId="16937"/>
    <cellStyle name="Report Heading 9 2" xfId="16938"/>
    <cellStyle name="Report Heading_Electric Rev Req Model (2009 GRC) Rebuttal" xfId="18242"/>
    <cellStyle name="Report Percent" xfId="16939"/>
    <cellStyle name="Report Percent 2" xfId="16940"/>
    <cellStyle name="Report Percent 2 2" xfId="16941"/>
    <cellStyle name="Report Percent 2 2 2" xfId="16942"/>
    <cellStyle name="Report Percent 2 2 2 2" xfId="16943"/>
    <cellStyle name="Report Percent 2 2 3" xfId="16944"/>
    <cellStyle name="Report Percent 2 3" xfId="16945"/>
    <cellStyle name="Report Percent 2 3 2" xfId="16946"/>
    <cellStyle name="Report Percent 2 3 2 2" xfId="16947"/>
    <cellStyle name="Report Percent 2 3 3" xfId="16948"/>
    <cellStyle name="Report Percent 2 4" xfId="16949"/>
    <cellStyle name="Report Percent 3" xfId="16950"/>
    <cellStyle name="Report Percent 3 2" xfId="16951"/>
    <cellStyle name="Report Percent 3 2 2" xfId="16952"/>
    <cellStyle name="Report Percent 3 3" xfId="16953"/>
    <cellStyle name="Report Percent 4" xfId="16954"/>
    <cellStyle name="Report Percent 4 2" xfId="16955"/>
    <cellStyle name="Report Percent 4 2 2" xfId="16956"/>
    <cellStyle name="Report Percent 4 2 2 2" xfId="16957"/>
    <cellStyle name="Report Percent 4 2 3" xfId="16958"/>
    <cellStyle name="Report Percent 4 3" xfId="16959"/>
    <cellStyle name="Report Percent 4 3 2" xfId="16960"/>
    <cellStyle name="Report Percent 4 4" xfId="16961"/>
    <cellStyle name="Report Percent 5" xfId="16962"/>
    <cellStyle name="Report Percent 5 2" xfId="16963"/>
    <cellStyle name="Report Percent 5 2 2" xfId="16964"/>
    <cellStyle name="Report Percent 5 3" xfId="16965"/>
    <cellStyle name="Report Percent 6" xfId="16966"/>
    <cellStyle name="Report Percent 6 2" xfId="16967"/>
    <cellStyle name="Report Percent 6 2 2" xfId="16968"/>
    <cellStyle name="Report Percent 6 3" xfId="16969"/>
    <cellStyle name="Report Percent 7" xfId="16970"/>
    <cellStyle name="Report Percent 7 2" xfId="16971"/>
    <cellStyle name="Report Percent 7 2 2" xfId="16972"/>
    <cellStyle name="Report Percent 7 3" xfId="16973"/>
    <cellStyle name="Report Percent 8" xfId="16974"/>
    <cellStyle name="Report Percent 8 2" xfId="16975"/>
    <cellStyle name="Report Percent 9" xfId="16976"/>
    <cellStyle name="Report Percent_AURORA Total New" xfId="16977"/>
    <cellStyle name="Report Unit Cost" xfId="16978"/>
    <cellStyle name="Report Unit Cost 10" xfId="16979"/>
    <cellStyle name="Report Unit Cost 2" xfId="16980"/>
    <cellStyle name="Report Unit Cost 2 2" xfId="16981"/>
    <cellStyle name="Report Unit Cost 2 2 2" xfId="16982"/>
    <cellStyle name="Report Unit Cost 2 2 2 2" xfId="16983"/>
    <cellStyle name="Report Unit Cost 2 2 3" xfId="16984"/>
    <cellStyle name="Report Unit Cost 2 3" xfId="16985"/>
    <cellStyle name="Report Unit Cost 2 3 2" xfId="16986"/>
    <cellStyle name="Report Unit Cost 2 3 2 2" xfId="16987"/>
    <cellStyle name="Report Unit Cost 2 3 3" xfId="16988"/>
    <cellStyle name="Report Unit Cost 2 4" xfId="16989"/>
    <cellStyle name="Report Unit Cost 3" xfId="16990"/>
    <cellStyle name="Report Unit Cost 3 2" xfId="16991"/>
    <cellStyle name="Report Unit Cost 3 2 2" xfId="16992"/>
    <cellStyle name="Report Unit Cost 3 3" xfId="16993"/>
    <cellStyle name="Report Unit Cost 4" xfId="16994"/>
    <cellStyle name="Report Unit Cost 4 2" xfId="16995"/>
    <cellStyle name="Report Unit Cost 4 2 2" xfId="16996"/>
    <cellStyle name="Report Unit Cost 4 2 2 2" xfId="16997"/>
    <cellStyle name="Report Unit Cost 4 2 3" xfId="16998"/>
    <cellStyle name="Report Unit Cost 4 3" xfId="16999"/>
    <cellStyle name="Report Unit Cost 4 3 2" xfId="17000"/>
    <cellStyle name="Report Unit Cost 4 4" xfId="17001"/>
    <cellStyle name="Report Unit Cost 5" xfId="17002"/>
    <cellStyle name="Report Unit Cost 5 2" xfId="17003"/>
    <cellStyle name="Report Unit Cost 5 2 2" xfId="17004"/>
    <cellStyle name="Report Unit Cost 5 3" xfId="17005"/>
    <cellStyle name="Report Unit Cost 5 3 2" xfId="17006"/>
    <cellStyle name="Report Unit Cost 5 4" xfId="17007"/>
    <cellStyle name="Report Unit Cost 6" xfId="17008"/>
    <cellStyle name="Report Unit Cost 6 2" xfId="17009"/>
    <cellStyle name="Report Unit Cost 7" xfId="17010"/>
    <cellStyle name="Report Unit Cost 7 2" xfId="17011"/>
    <cellStyle name="Report Unit Cost 7 2 2" xfId="17012"/>
    <cellStyle name="Report Unit Cost 7 3" xfId="17013"/>
    <cellStyle name="Report Unit Cost 8" xfId="17014"/>
    <cellStyle name="Report Unit Cost 8 2" xfId="17015"/>
    <cellStyle name="Report Unit Cost 8 2 2" xfId="17016"/>
    <cellStyle name="Report Unit Cost 8 3" xfId="17017"/>
    <cellStyle name="Report Unit Cost 9" xfId="17018"/>
    <cellStyle name="Report Unit Cost 9 2" xfId="17019"/>
    <cellStyle name="Report Unit Cost_AURORA Total New" xfId="17020"/>
    <cellStyle name="Report_Adj Bench DR 3 for Initial Briefs (Electric)" xfId="17021"/>
    <cellStyle name="Reports" xfId="17022"/>
    <cellStyle name="Reports 2" xfId="17023"/>
    <cellStyle name="Reports 2 2" xfId="17024"/>
    <cellStyle name="Reports 2 2 2" xfId="17025"/>
    <cellStyle name="Reports 2 3" xfId="17026"/>
    <cellStyle name="Reports 3" xfId="17027"/>
    <cellStyle name="Reports 3 2" xfId="17028"/>
    <cellStyle name="Reports 4" xfId="17029"/>
    <cellStyle name="Reports Total" xfId="17030"/>
    <cellStyle name="Reports Total 2" xfId="17031"/>
    <cellStyle name="Reports Total 2 2" xfId="17032"/>
    <cellStyle name="Reports Total 2 2 2" xfId="17033"/>
    <cellStyle name="Reports Total 2 2 2 2" xfId="17034"/>
    <cellStyle name="Reports Total 2 2 3" xfId="17035"/>
    <cellStyle name="Reports Total 2 2 4" xfId="17036"/>
    <cellStyle name="Reports Total 2 2 4 2" xfId="18579"/>
    <cellStyle name="Reports Total 2 2 5" xfId="18578"/>
    <cellStyle name="Reports Total 2 3" xfId="17037"/>
    <cellStyle name="Reports Total 2 3 2" xfId="17038"/>
    <cellStyle name="Reports Total 2 4" xfId="17039"/>
    <cellStyle name="Reports Total 2 5" xfId="17040"/>
    <cellStyle name="Reports Total 2 5 2" xfId="18580"/>
    <cellStyle name="Reports Total 2 6" xfId="18577"/>
    <cellStyle name="Reports Total 3" xfId="17041"/>
    <cellStyle name="Reports Total 3 2" xfId="17042"/>
    <cellStyle name="Reports Total 3 2 2" xfId="17043"/>
    <cellStyle name="Reports Total 3 3" xfId="17044"/>
    <cellStyle name="Reports Total 3 4" xfId="17045"/>
    <cellStyle name="Reports Total 3 4 2" xfId="18582"/>
    <cellStyle name="Reports Total 3 5" xfId="18581"/>
    <cellStyle name="Reports Total 4" xfId="17046"/>
    <cellStyle name="Reports Total 4 2" xfId="17047"/>
    <cellStyle name="Reports Total 4 2 2" xfId="17048"/>
    <cellStyle name="Reports Total 4 3" xfId="17049"/>
    <cellStyle name="Reports Total 5" xfId="17050"/>
    <cellStyle name="Reports Total 5 2" xfId="17051"/>
    <cellStyle name="Reports Total 6" xfId="17052"/>
    <cellStyle name="Reports Total 7" xfId="17053"/>
    <cellStyle name="Reports Total 7 2" xfId="18583"/>
    <cellStyle name="Reports Total 8" xfId="18576"/>
    <cellStyle name="Reports Total_AURORA Total New" xfId="17054"/>
    <cellStyle name="Reports Unit Cost Total" xfId="17055"/>
    <cellStyle name="Reports Unit Cost Total 2" xfId="17056"/>
    <cellStyle name="Reports Unit Cost Total 2 2" xfId="17057"/>
    <cellStyle name="Reports Unit Cost Total 2 2 2" xfId="17058"/>
    <cellStyle name="Reports Unit Cost Total 2 3" xfId="17059"/>
    <cellStyle name="Reports Unit Cost Total 3" xfId="17060"/>
    <cellStyle name="Reports Unit Cost Total 3 2" xfId="17061"/>
    <cellStyle name="Reports Unit Cost Total 3 2 2" xfId="17062"/>
    <cellStyle name="Reports Unit Cost Total 3 3" xfId="17063"/>
    <cellStyle name="Reports Unit Cost Total 4" xfId="17064"/>
    <cellStyle name="Reports Unit Cost Total 4 2" xfId="17065"/>
    <cellStyle name="Reports Unit Cost Total 5" xfId="17066"/>
    <cellStyle name="Reports Unit Cost Total 6" xfId="17067"/>
    <cellStyle name="Reports Unit Cost Total 6 2" xfId="18585"/>
    <cellStyle name="Reports Unit Cost Total 7" xfId="18584"/>
    <cellStyle name="Reports_16.37E Wild Horse Expansion DeferralRevwrkingfile SF" xfId="17068"/>
    <cellStyle name="RevList" xfId="17069"/>
    <cellStyle name="RevList 2" xfId="17070"/>
    <cellStyle name="RevList 2 2" xfId="17071"/>
    <cellStyle name="RevList 2 2 2" xfId="17072"/>
    <cellStyle name="RevList 2 3" xfId="17073"/>
    <cellStyle name="RevList 3" xfId="17074"/>
    <cellStyle name="RevList 3 2" xfId="17075"/>
    <cellStyle name="RevList 4" xfId="17076"/>
    <cellStyle name="round100" xfId="17077"/>
    <cellStyle name="round100 2" xfId="17078"/>
    <cellStyle name="round100 2 2" xfId="17079"/>
    <cellStyle name="round100 2 2 2" xfId="17080"/>
    <cellStyle name="round100 2 2 2 2" xfId="17081"/>
    <cellStyle name="round100 2 2 3" xfId="17082"/>
    <cellStyle name="round100 2 3" xfId="17083"/>
    <cellStyle name="round100 2 3 2" xfId="17084"/>
    <cellStyle name="round100 2 3 2 2" xfId="17085"/>
    <cellStyle name="round100 2 3 3" xfId="17086"/>
    <cellStyle name="round100 2 4" xfId="17087"/>
    <cellStyle name="round100 3" xfId="17088"/>
    <cellStyle name="round100 3 2" xfId="17089"/>
    <cellStyle name="round100 3 2 2" xfId="17090"/>
    <cellStyle name="round100 3 3" xfId="17091"/>
    <cellStyle name="round100 4" xfId="17092"/>
    <cellStyle name="round100 4 2" xfId="17093"/>
    <cellStyle name="round100 4 2 2" xfId="17094"/>
    <cellStyle name="round100 4 2 2 2" xfId="17095"/>
    <cellStyle name="round100 4 2 3" xfId="17096"/>
    <cellStyle name="round100 4 3" xfId="17097"/>
    <cellStyle name="round100 4 3 2" xfId="17098"/>
    <cellStyle name="round100 4 4" xfId="17099"/>
    <cellStyle name="round100 5" xfId="17100"/>
    <cellStyle name="round100 5 2" xfId="17101"/>
    <cellStyle name="round100 5 2 2" xfId="17102"/>
    <cellStyle name="round100 5 3" xfId="17103"/>
    <cellStyle name="round100 6" xfId="17104"/>
    <cellStyle name="round100 6 2" xfId="17105"/>
    <cellStyle name="round100 6 2 2" xfId="17106"/>
    <cellStyle name="round100 6 3" xfId="17107"/>
    <cellStyle name="round100 7" xfId="17108"/>
    <cellStyle name="round100 7 2" xfId="17109"/>
    <cellStyle name="round100 7 2 2" xfId="17110"/>
    <cellStyle name="round100 7 3" xfId="17111"/>
    <cellStyle name="round100 8" xfId="17112"/>
    <cellStyle name="round100 8 2" xfId="17113"/>
    <cellStyle name="round100 9" xfId="17114"/>
    <cellStyle name="RowHeading" xfId="17115"/>
    <cellStyle name="SAPBEXaggData" xfId="17116"/>
    <cellStyle name="SAPBEXaggData 2" xfId="17117"/>
    <cellStyle name="SAPBEXaggData 2 2" xfId="17118"/>
    <cellStyle name="SAPBEXaggData 2 2 2" xfId="17119"/>
    <cellStyle name="SAPBEXaggData 2 3" xfId="17120"/>
    <cellStyle name="SAPBEXaggData 3" xfId="17121"/>
    <cellStyle name="SAPBEXaggData 4" xfId="17122"/>
    <cellStyle name="SAPBEXaggData 4 2" xfId="17123"/>
    <cellStyle name="SAPBEXaggData 4 2 2" xfId="17124"/>
    <cellStyle name="SAPBEXaggData 4 3" xfId="17125"/>
    <cellStyle name="SAPBEXaggData 5" xfId="17126"/>
    <cellStyle name="SAPBEXaggDataEmph" xfId="17127"/>
    <cellStyle name="SAPBEXaggDataEmph 2" xfId="17128"/>
    <cellStyle name="SAPBEXaggDataEmph 2 2" xfId="17129"/>
    <cellStyle name="SAPBEXaggDataEmph 2 2 2" xfId="17130"/>
    <cellStyle name="SAPBEXaggDataEmph 2 3" xfId="17131"/>
    <cellStyle name="SAPBEXaggDataEmph 3" xfId="17132"/>
    <cellStyle name="SAPBEXaggDataEmph 4" xfId="17133"/>
    <cellStyle name="SAPBEXaggItem" xfId="17134"/>
    <cellStyle name="SAPBEXaggItem 2" xfId="17135"/>
    <cellStyle name="SAPBEXaggItem 2 2" xfId="17136"/>
    <cellStyle name="SAPBEXaggItem 2 2 2" xfId="17137"/>
    <cellStyle name="SAPBEXaggItem 2 3" xfId="17138"/>
    <cellStyle name="SAPBEXaggItem 3" xfId="17139"/>
    <cellStyle name="SAPBEXaggItem 4" xfId="17140"/>
    <cellStyle name="SAPBEXaggItem 4 2" xfId="17141"/>
    <cellStyle name="SAPBEXaggItem 4 2 2" xfId="17142"/>
    <cellStyle name="SAPBEXaggItem 4 3" xfId="17143"/>
    <cellStyle name="SAPBEXaggItem 5" xfId="17144"/>
    <cellStyle name="SAPBEXaggItemX" xfId="17145"/>
    <cellStyle name="SAPBEXaggItemX 2" xfId="17146"/>
    <cellStyle name="SAPBEXaggItemX 2 2" xfId="17147"/>
    <cellStyle name="SAPBEXaggItemX 2 2 2" xfId="17148"/>
    <cellStyle name="SAPBEXaggItemX 2 3" xfId="17149"/>
    <cellStyle name="SAPBEXaggItemX 3" xfId="17150"/>
    <cellStyle name="SAPBEXaggItemX 4" xfId="17151"/>
    <cellStyle name="SAPBEXchaText" xfId="17152"/>
    <cellStyle name="SAPBEXchaText 2" xfId="17153"/>
    <cellStyle name="SAPBEXchaText 2 2" xfId="17154"/>
    <cellStyle name="SAPBEXchaText 2 2 2" xfId="17155"/>
    <cellStyle name="SAPBEXchaText 2 3" xfId="17156"/>
    <cellStyle name="SAPBEXchaText 3" xfId="17157"/>
    <cellStyle name="SAPBEXchaText 4" xfId="17158"/>
    <cellStyle name="SAPBEXchaText 4 2" xfId="17159"/>
    <cellStyle name="SAPBEXchaText 4 2 2" xfId="17160"/>
    <cellStyle name="SAPBEXchaText 4 3" xfId="17161"/>
    <cellStyle name="SAPBEXchaText 4 3 2" xfId="17162"/>
    <cellStyle name="SAPBEXchaText 4 4" xfId="17163"/>
    <cellStyle name="SAPBEXexcBad7" xfId="17164"/>
    <cellStyle name="SAPBEXexcBad7 2" xfId="17165"/>
    <cellStyle name="SAPBEXexcBad7 2 2" xfId="17166"/>
    <cellStyle name="SAPBEXexcBad7 2 2 2" xfId="17167"/>
    <cellStyle name="SAPBEXexcBad7 2 3" xfId="17168"/>
    <cellStyle name="SAPBEXexcBad7 3" xfId="17169"/>
    <cellStyle name="SAPBEXexcBad7 4" xfId="17170"/>
    <cellStyle name="SAPBEXexcBad8" xfId="17171"/>
    <cellStyle name="SAPBEXexcBad8 2" xfId="17172"/>
    <cellStyle name="SAPBEXexcBad8 2 2" xfId="17173"/>
    <cellStyle name="SAPBEXexcBad8 2 2 2" xfId="17174"/>
    <cellStyle name="SAPBEXexcBad8 2 3" xfId="17175"/>
    <cellStyle name="SAPBEXexcBad8 3" xfId="17176"/>
    <cellStyle name="SAPBEXexcBad8 4" xfId="17177"/>
    <cellStyle name="SAPBEXexcBad9" xfId="17178"/>
    <cellStyle name="SAPBEXexcBad9 2" xfId="17179"/>
    <cellStyle name="SAPBEXexcBad9 2 2" xfId="17180"/>
    <cellStyle name="SAPBEXexcBad9 2 2 2" xfId="17181"/>
    <cellStyle name="SAPBEXexcBad9 2 3" xfId="17182"/>
    <cellStyle name="SAPBEXexcBad9 3" xfId="17183"/>
    <cellStyle name="SAPBEXexcBad9 4" xfId="17184"/>
    <cellStyle name="SAPBEXexcCritical4" xfId="17185"/>
    <cellStyle name="SAPBEXexcCritical4 2" xfId="17186"/>
    <cellStyle name="SAPBEXexcCritical4 2 2" xfId="17187"/>
    <cellStyle name="SAPBEXexcCritical4 2 2 2" xfId="17188"/>
    <cellStyle name="SAPBEXexcCritical4 2 3" xfId="17189"/>
    <cellStyle name="SAPBEXexcCritical4 3" xfId="17190"/>
    <cellStyle name="SAPBEXexcCritical4 4" xfId="17191"/>
    <cellStyle name="SAPBEXexcCritical5" xfId="17192"/>
    <cellStyle name="SAPBEXexcCritical5 2" xfId="17193"/>
    <cellStyle name="SAPBEXexcCritical5 2 2" xfId="17194"/>
    <cellStyle name="SAPBEXexcCritical5 2 2 2" xfId="17195"/>
    <cellStyle name="SAPBEXexcCritical5 2 3" xfId="17196"/>
    <cellStyle name="SAPBEXexcCritical5 3" xfId="17197"/>
    <cellStyle name="SAPBEXexcCritical5 4" xfId="17198"/>
    <cellStyle name="SAPBEXexcCritical6" xfId="17199"/>
    <cellStyle name="SAPBEXexcCritical6 2" xfId="17200"/>
    <cellStyle name="SAPBEXexcCritical6 2 2" xfId="17201"/>
    <cellStyle name="SAPBEXexcCritical6 2 2 2" xfId="17202"/>
    <cellStyle name="SAPBEXexcCritical6 2 3" xfId="17203"/>
    <cellStyle name="SAPBEXexcCritical6 3" xfId="17204"/>
    <cellStyle name="SAPBEXexcCritical6 4" xfId="17205"/>
    <cellStyle name="SAPBEXexcGood1" xfId="17206"/>
    <cellStyle name="SAPBEXexcGood1 2" xfId="17207"/>
    <cellStyle name="SAPBEXexcGood1 2 2" xfId="17208"/>
    <cellStyle name="SAPBEXexcGood1 2 2 2" xfId="17209"/>
    <cellStyle name="SAPBEXexcGood1 2 3" xfId="17210"/>
    <cellStyle name="SAPBEXexcGood1 3" xfId="17211"/>
    <cellStyle name="SAPBEXexcGood1 4" xfId="17212"/>
    <cellStyle name="SAPBEXexcGood2" xfId="17213"/>
    <cellStyle name="SAPBEXexcGood2 2" xfId="17214"/>
    <cellStyle name="SAPBEXexcGood2 2 2" xfId="17215"/>
    <cellStyle name="SAPBEXexcGood2 2 2 2" xfId="17216"/>
    <cellStyle name="SAPBEXexcGood2 2 3" xfId="17217"/>
    <cellStyle name="SAPBEXexcGood2 3" xfId="17218"/>
    <cellStyle name="SAPBEXexcGood2 4" xfId="17219"/>
    <cellStyle name="SAPBEXexcGood3" xfId="17220"/>
    <cellStyle name="SAPBEXexcGood3 2" xfId="17221"/>
    <cellStyle name="SAPBEXexcGood3 2 2" xfId="17222"/>
    <cellStyle name="SAPBEXexcGood3 2 2 2" xfId="17223"/>
    <cellStyle name="SAPBEXexcGood3 2 3" xfId="17224"/>
    <cellStyle name="SAPBEXexcGood3 3" xfId="17225"/>
    <cellStyle name="SAPBEXexcGood3 4" xfId="17226"/>
    <cellStyle name="SAPBEXfilterDrill" xfId="17227"/>
    <cellStyle name="SAPBEXfilterDrill 2" xfId="17228"/>
    <cellStyle name="SAPBEXfilterDrill 2 2" xfId="17229"/>
    <cellStyle name="SAPBEXfilterDrill 2 2 2" xfId="17230"/>
    <cellStyle name="SAPBEXfilterDrill 2 3" xfId="17231"/>
    <cellStyle name="SAPBEXfilterDrill 3" xfId="17232"/>
    <cellStyle name="SAPBEXfilterItem" xfId="17233"/>
    <cellStyle name="SAPBEXfilterItem 2" xfId="17234"/>
    <cellStyle name="SAPBEXfilterItem 2 2" xfId="17235"/>
    <cellStyle name="SAPBEXfilterItem 2 2 2" xfId="17236"/>
    <cellStyle name="SAPBEXfilterItem 2 3" xfId="17237"/>
    <cellStyle name="SAPBEXfilterItem 3" xfId="17238"/>
    <cellStyle name="SAPBEXfilterText" xfId="17239"/>
    <cellStyle name="SAPBEXfilterText 2" xfId="17240"/>
    <cellStyle name="SAPBEXfilterText 2 2" xfId="17241"/>
    <cellStyle name="SAPBEXfilterText 2 2 2" xfId="17242"/>
    <cellStyle name="SAPBEXfilterText 2 3" xfId="17243"/>
    <cellStyle name="SAPBEXfilterText 3" xfId="17244"/>
    <cellStyle name="SAPBEXformats" xfId="17245"/>
    <cellStyle name="SAPBEXformats 2" xfId="17246"/>
    <cellStyle name="SAPBEXformats 2 2" xfId="17247"/>
    <cellStyle name="SAPBEXformats 2 2 2" xfId="17248"/>
    <cellStyle name="SAPBEXformats 2 3" xfId="17249"/>
    <cellStyle name="SAPBEXformats 2 4" xfId="17250"/>
    <cellStyle name="SAPBEXformats 3" xfId="17251"/>
    <cellStyle name="SAPBEXformats 4" xfId="17252"/>
    <cellStyle name="SAPBEXheaderItem" xfId="17253"/>
    <cellStyle name="SAPBEXheaderItem 2" xfId="17254"/>
    <cellStyle name="SAPBEXheaderItem 2 2" xfId="17255"/>
    <cellStyle name="SAPBEXheaderItem 2 2 2" xfId="17256"/>
    <cellStyle name="SAPBEXheaderItem 2 3" xfId="17257"/>
    <cellStyle name="SAPBEXheaderItem 3" xfId="17258"/>
    <cellStyle name="SAPBEXheaderText" xfId="17259"/>
    <cellStyle name="SAPBEXheaderText 2" xfId="17260"/>
    <cellStyle name="SAPBEXheaderText 2 2" xfId="17261"/>
    <cellStyle name="SAPBEXheaderText 2 2 2" xfId="17262"/>
    <cellStyle name="SAPBEXheaderText 2 3" xfId="17263"/>
    <cellStyle name="SAPBEXheaderText 3" xfId="17264"/>
    <cellStyle name="SAPBEXHLevel0" xfId="17265"/>
    <cellStyle name="SAPBEXHLevel0 2" xfId="17266"/>
    <cellStyle name="SAPBEXHLevel0 2 2" xfId="17267"/>
    <cellStyle name="SAPBEXHLevel0 2 2 2" xfId="17268"/>
    <cellStyle name="SAPBEXHLevel0 2 3" xfId="17269"/>
    <cellStyle name="SAPBEXHLevel0 2 4" xfId="17270"/>
    <cellStyle name="SAPBEXHLevel0 3" xfId="17271"/>
    <cellStyle name="SAPBEXHLevel0 4" xfId="17272"/>
    <cellStyle name="SAPBEXHLevel0X" xfId="17273"/>
    <cellStyle name="SAPBEXHLevel0X 2" xfId="17274"/>
    <cellStyle name="SAPBEXHLevel0X 2 2" xfId="17275"/>
    <cellStyle name="SAPBEXHLevel0X 2 2 2" xfId="17276"/>
    <cellStyle name="SAPBEXHLevel0X 2 3" xfId="17277"/>
    <cellStyle name="SAPBEXHLevel0X 2 4" xfId="17278"/>
    <cellStyle name="SAPBEXHLevel0X 3" xfId="17279"/>
    <cellStyle name="SAPBEXHLevel0X 4" xfId="17280"/>
    <cellStyle name="SAPBEXHLevel1" xfId="17281"/>
    <cellStyle name="SAPBEXHLevel1 2" xfId="17282"/>
    <cellStyle name="SAPBEXHLevel1 2 2" xfId="17283"/>
    <cellStyle name="SAPBEXHLevel1 2 2 2" xfId="17284"/>
    <cellStyle name="SAPBEXHLevel1 2 3" xfId="17285"/>
    <cellStyle name="SAPBEXHLevel1 2 4" xfId="17286"/>
    <cellStyle name="SAPBEXHLevel1 3" xfId="17287"/>
    <cellStyle name="SAPBEXHLevel1 4" xfId="17288"/>
    <cellStyle name="SAPBEXHLevel1X" xfId="17289"/>
    <cellStyle name="SAPBEXHLevel1X 2" xfId="17290"/>
    <cellStyle name="SAPBEXHLevel1X 2 2" xfId="17291"/>
    <cellStyle name="SAPBEXHLevel1X 2 2 2" xfId="17292"/>
    <cellStyle name="SAPBEXHLevel1X 2 3" xfId="17293"/>
    <cellStyle name="SAPBEXHLevel1X 2 4" xfId="17294"/>
    <cellStyle name="SAPBEXHLevel1X 3" xfId="17295"/>
    <cellStyle name="SAPBEXHLevel1X 4" xfId="17296"/>
    <cellStyle name="SAPBEXHLevel2" xfId="17297"/>
    <cellStyle name="SAPBEXHLevel2 2" xfId="17298"/>
    <cellStyle name="SAPBEXHLevel2 2 2" xfId="17299"/>
    <cellStyle name="SAPBEXHLevel2 2 2 2" xfId="17300"/>
    <cellStyle name="SAPBEXHLevel2 2 3" xfId="17301"/>
    <cellStyle name="SAPBEXHLevel2 2 4" xfId="17302"/>
    <cellStyle name="SAPBEXHLevel2 3" xfId="17303"/>
    <cellStyle name="SAPBEXHLevel2 4" xfId="17304"/>
    <cellStyle name="SAPBEXHLevel2X" xfId="17305"/>
    <cellStyle name="SAPBEXHLevel2X 2" xfId="17306"/>
    <cellStyle name="SAPBEXHLevel2X 2 2" xfId="17307"/>
    <cellStyle name="SAPBEXHLevel2X 2 2 2" xfId="17308"/>
    <cellStyle name="SAPBEXHLevel2X 2 3" xfId="17309"/>
    <cellStyle name="SAPBEXHLevel2X 2 4" xfId="17310"/>
    <cellStyle name="SAPBEXHLevel2X 3" xfId="17311"/>
    <cellStyle name="SAPBEXHLevel2X 4" xfId="17312"/>
    <cellStyle name="SAPBEXHLevel3" xfId="17313"/>
    <cellStyle name="SAPBEXHLevel3 2" xfId="17314"/>
    <cellStyle name="SAPBEXHLevel3 2 2" xfId="17315"/>
    <cellStyle name="SAPBEXHLevel3 2 2 2" xfId="17316"/>
    <cellStyle name="SAPBEXHLevel3 2 3" xfId="17317"/>
    <cellStyle name="SAPBEXHLevel3 2 4" xfId="17318"/>
    <cellStyle name="SAPBEXHLevel3 3" xfId="17319"/>
    <cellStyle name="SAPBEXHLevel3 4" xfId="17320"/>
    <cellStyle name="SAPBEXHLevel3X" xfId="17321"/>
    <cellStyle name="SAPBEXHLevel3X 2" xfId="17322"/>
    <cellStyle name="SAPBEXHLevel3X 2 2" xfId="17323"/>
    <cellStyle name="SAPBEXHLevel3X 2 2 2" xfId="17324"/>
    <cellStyle name="SAPBEXHLevel3X 2 3" xfId="17325"/>
    <cellStyle name="SAPBEXHLevel3X 2 4" xfId="17326"/>
    <cellStyle name="SAPBEXHLevel3X 3" xfId="17327"/>
    <cellStyle name="SAPBEXHLevel3X 4" xfId="17328"/>
    <cellStyle name="SAPBEXinputData" xfId="17329"/>
    <cellStyle name="SAPBEXinputData 2" xfId="17330"/>
    <cellStyle name="SAPBEXinputData 2 2" xfId="17331"/>
    <cellStyle name="SAPBEXinputData 3" xfId="17332"/>
    <cellStyle name="SAPBEXItemHeader" xfId="17333"/>
    <cellStyle name="SAPBEXItemHeader 2" xfId="17334"/>
    <cellStyle name="SAPBEXresData" xfId="17335"/>
    <cellStyle name="SAPBEXresData 2" xfId="17336"/>
    <cellStyle name="SAPBEXresData 2 2" xfId="17337"/>
    <cellStyle name="SAPBEXresData 2 2 2" xfId="17338"/>
    <cellStyle name="SAPBEXresData 2 3" xfId="17339"/>
    <cellStyle name="SAPBEXresData 3" xfId="17340"/>
    <cellStyle name="SAPBEXresData 4" xfId="17341"/>
    <cellStyle name="SAPBEXresDataEmph" xfId="17342"/>
    <cellStyle name="SAPBEXresDataEmph 2" xfId="17343"/>
    <cellStyle name="SAPBEXresDataEmph 2 2" xfId="17344"/>
    <cellStyle name="SAPBEXresDataEmph 2 2 2" xfId="17345"/>
    <cellStyle name="SAPBEXresDataEmph 2 3" xfId="17346"/>
    <cellStyle name="SAPBEXresDataEmph 3" xfId="17347"/>
    <cellStyle name="SAPBEXresDataEmph 4" xfId="17348"/>
    <cellStyle name="SAPBEXresItem" xfId="17349"/>
    <cellStyle name="SAPBEXresItem 2" xfId="17350"/>
    <cellStyle name="SAPBEXresItem 2 2" xfId="17351"/>
    <cellStyle name="SAPBEXresItem 2 2 2" xfId="17352"/>
    <cellStyle name="SAPBEXresItem 2 3" xfId="17353"/>
    <cellStyle name="SAPBEXresItem 3" xfId="17354"/>
    <cellStyle name="SAPBEXresItem 4" xfId="17355"/>
    <cellStyle name="SAPBEXresItemX" xfId="17356"/>
    <cellStyle name="SAPBEXresItemX 2" xfId="17357"/>
    <cellStyle name="SAPBEXresItemX 2 2" xfId="17358"/>
    <cellStyle name="SAPBEXresItemX 2 2 2" xfId="17359"/>
    <cellStyle name="SAPBEXresItemX 2 3" xfId="17360"/>
    <cellStyle name="SAPBEXresItemX 3" xfId="17361"/>
    <cellStyle name="SAPBEXresItemX 4" xfId="17362"/>
    <cellStyle name="SAPBEXstdData" xfId="17363"/>
    <cellStyle name="SAPBEXstdData 2" xfId="17364"/>
    <cellStyle name="SAPBEXstdData 2 2" xfId="17365"/>
    <cellStyle name="SAPBEXstdData 2 2 2" xfId="17366"/>
    <cellStyle name="SAPBEXstdData 2 3" xfId="17367"/>
    <cellStyle name="SAPBEXstdData 2 4" xfId="17368"/>
    <cellStyle name="SAPBEXstdData 3" xfId="17369"/>
    <cellStyle name="SAPBEXstdData 3 2" xfId="17370"/>
    <cellStyle name="SAPBEXstdData 3 2 2" xfId="17371"/>
    <cellStyle name="SAPBEXstdData 3 3" xfId="17372"/>
    <cellStyle name="SAPBEXstdData 4" xfId="17373"/>
    <cellStyle name="SAPBEXstdData 4 2" xfId="17374"/>
    <cellStyle name="SAPBEXstdData 5" xfId="17375"/>
    <cellStyle name="SAPBEXstdData 6" xfId="17376"/>
    <cellStyle name="SAPBEXstdData 6 2" xfId="17377"/>
    <cellStyle name="SAPBEXstdData 6 2 2" xfId="17378"/>
    <cellStyle name="SAPBEXstdData 6 3" xfId="17379"/>
    <cellStyle name="SAPBEXstdData 7" xfId="17380"/>
    <cellStyle name="SAPBEXstdDataEmph" xfId="17381"/>
    <cellStyle name="SAPBEXstdDataEmph 2" xfId="17382"/>
    <cellStyle name="SAPBEXstdDataEmph 2 2" xfId="17383"/>
    <cellStyle name="SAPBEXstdDataEmph 2 2 2" xfId="17384"/>
    <cellStyle name="SAPBEXstdDataEmph 2 3" xfId="17385"/>
    <cellStyle name="SAPBEXstdDataEmph 3" xfId="17386"/>
    <cellStyle name="SAPBEXstdDataEmph 4" xfId="17387"/>
    <cellStyle name="SAPBEXstdItem" xfId="17388"/>
    <cellStyle name="SAPBEXstdItem 2" xfId="17389"/>
    <cellStyle name="SAPBEXstdItem 2 2" xfId="17390"/>
    <cellStyle name="SAPBEXstdItem 2 2 2" xfId="17391"/>
    <cellStyle name="SAPBEXstdItem 2 3" xfId="17392"/>
    <cellStyle name="SAPBEXstdItem 2 4" xfId="17393"/>
    <cellStyle name="SAPBEXstdItem 3" xfId="17394"/>
    <cellStyle name="SAPBEXstdItem 4" xfId="17395"/>
    <cellStyle name="SAPBEXstdItem 4 2" xfId="17396"/>
    <cellStyle name="SAPBEXstdItem 4 2 2" xfId="17397"/>
    <cellStyle name="SAPBEXstdItem 4 3" xfId="17398"/>
    <cellStyle name="SAPBEXstdItem 4 3 2" xfId="17399"/>
    <cellStyle name="SAPBEXstdItem 4 4" xfId="17400"/>
    <cellStyle name="SAPBEXstdItem 5" xfId="17401"/>
    <cellStyle name="SAPBEXstdItemX" xfId="17402"/>
    <cellStyle name="SAPBEXstdItemX 2" xfId="17403"/>
    <cellStyle name="SAPBEXstdItemX 2 2" xfId="17404"/>
    <cellStyle name="SAPBEXstdItemX 2 2 2" xfId="17405"/>
    <cellStyle name="SAPBEXstdItemX 2 3" xfId="17406"/>
    <cellStyle name="SAPBEXstdItemX 2 4" xfId="17407"/>
    <cellStyle name="SAPBEXstdItemX 3" xfId="17408"/>
    <cellStyle name="SAPBEXstdItemX 4" xfId="17409"/>
    <cellStyle name="SAPBEXtitle" xfId="17410"/>
    <cellStyle name="SAPBEXtitle 2" xfId="17411"/>
    <cellStyle name="SAPBEXtitle 2 2" xfId="17412"/>
    <cellStyle name="SAPBEXtitle 2 2 2" xfId="17413"/>
    <cellStyle name="SAPBEXtitle 2 3" xfId="17414"/>
    <cellStyle name="SAPBEXtitle 3" xfId="17415"/>
    <cellStyle name="SAPBEXunassignedItem" xfId="17416"/>
    <cellStyle name="SAPBEXunassignedItem 2" xfId="17417"/>
    <cellStyle name="SAPBEXundefined" xfId="17418"/>
    <cellStyle name="SAPBEXundefined 2" xfId="17419"/>
    <cellStyle name="SAPBEXundefined 2 2" xfId="17420"/>
    <cellStyle name="SAPBEXundefined 2 2 2" xfId="17421"/>
    <cellStyle name="SAPBEXundefined 2 3" xfId="17422"/>
    <cellStyle name="SAPBEXundefined 3" xfId="17423"/>
    <cellStyle name="SAPBEXundefined 4" xfId="17424"/>
    <cellStyle name="shade" xfId="17425"/>
    <cellStyle name="Shade 10" xfId="17426"/>
    <cellStyle name="shade 2" xfId="17427"/>
    <cellStyle name="shade 2 2" xfId="17428"/>
    <cellStyle name="shade 2 2 2" xfId="17429"/>
    <cellStyle name="shade 2 2 2 2" xfId="17430"/>
    <cellStyle name="shade 2 2 3" xfId="17431"/>
    <cellStyle name="shade 2 3" xfId="17432"/>
    <cellStyle name="shade 2 3 2" xfId="17433"/>
    <cellStyle name="shade 2 3 2 2" xfId="17434"/>
    <cellStyle name="shade 2 3 3" xfId="17435"/>
    <cellStyle name="shade 2 4" xfId="17436"/>
    <cellStyle name="shade 3" xfId="17437"/>
    <cellStyle name="shade 3 2" xfId="17438"/>
    <cellStyle name="shade 3 2 2" xfId="17439"/>
    <cellStyle name="shade 3 3" xfId="17440"/>
    <cellStyle name="shade 4" xfId="17441"/>
    <cellStyle name="shade 4 2" xfId="17442"/>
    <cellStyle name="shade 4 2 2" xfId="17443"/>
    <cellStyle name="shade 4 2 2 2" xfId="17444"/>
    <cellStyle name="shade 4 2 3" xfId="17445"/>
    <cellStyle name="shade 4 3" xfId="17446"/>
    <cellStyle name="shade 4 3 2" xfId="17447"/>
    <cellStyle name="shade 4 4" xfId="17448"/>
    <cellStyle name="shade 5" xfId="17449"/>
    <cellStyle name="shade 5 2" xfId="17450"/>
    <cellStyle name="shade 5 2 2" xfId="17451"/>
    <cellStyle name="shade 5 3" xfId="17452"/>
    <cellStyle name="shade 6" xfId="17453"/>
    <cellStyle name="shade 6 2" xfId="17454"/>
    <cellStyle name="shade 6 2 2" xfId="17455"/>
    <cellStyle name="shade 6 3" xfId="17456"/>
    <cellStyle name="shade 7" xfId="17457"/>
    <cellStyle name="shade 7 2" xfId="17458"/>
    <cellStyle name="shade 7 2 2" xfId="17459"/>
    <cellStyle name="shade 7 3" xfId="17460"/>
    <cellStyle name="shade 8" xfId="17461"/>
    <cellStyle name="shade 8 2" xfId="17462"/>
    <cellStyle name="shade 9" xfId="17463"/>
    <cellStyle name="shade_AURORA Total New" xfId="17464"/>
    <cellStyle name="Sheet Title" xfId="17465"/>
    <cellStyle name="Sheet Title 2" xfId="17466"/>
    <cellStyle name="StmtTtl1" xfId="17467"/>
    <cellStyle name="StmtTtl1 2" xfId="17468"/>
    <cellStyle name="StmtTtl1 2 2" xfId="17469"/>
    <cellStyle name="StmtTtl1 2 2 2" xfId="17470"/>
    <cellStyle name="StmtTtl1 2 2 2 2" xfId="17471"/>
    <cellStyle name="StmtTtl1 2 2 3" xfId="17472"/>
    <cellStyle name="StmtTtl1 2 3" xfId="17473"/>
    <cellStyle name="StmtTtl1 2 3 2" xfId="17474"/>
    <cellStyle name="StmtTtl1 2 4" xfId="17475"/>
    <cellStyle name="StmtTtl1 3" xfId="17476"/>
    <cellStyle name="StmtTtl1 3 2" xfId="17477"/>
    <cellStyle name="StmtTtl1 3 2 2" xfId="17478"/>
    <cellStyle name="StmtTtl1 3 2 2 2" xfId="17479"/>
    <cellStyle name="StmtTtl1 3 2 3" xfId="17480"/>
    <cellStyle name="StmtTtl1 3 3" xfId="17481"/>
    <cellStyle name="StmtTtl1 3 3 2" xfId="17482"/>
    <cellStyle name="StmtTtl1 3 4" xfId="17483"/>
    <cellStyle name="StmtTtl1 4" xfId="17484"/>
    <cellStyle name="StmtTtl1 4 2" xfId="17485"/>
    <cellStyle name="StmtTtl1 4 2 2" xfId="17486"/>
    <cellStyle name="StmtTtl1 4 2 2 2" xfId="17487"/>
    <cellStyle name="StmtTtl1 4 2 3" xfId="17488"/>
    <cellStyle name="StmtTtl1 4 3" xfId="17489"/>
    <cellStyle name="StmtTtl1 4 3 2" xfId="17490"/>
    <cellStyle name="StmtTtl1 4 4" xfId="17491"/>
    <cellStyle name="StmtTtl1 5" xfId="17492"/>
    <cellStyle name="StmtTtl1 5 2" xfId="17493"/>
    <cellStyle name="StmtTtl1 5 2 2" xfId="17494"/>
    <cellStyle name="StmtTtl1 5 3" xfId="17495"/>
    <cellStyle name="StmtTtl1 5 3 2" xfId="17496"/>
    <cellStyle name="StmtTtl1 5 4" xfId="17497"/>
    <cellStyle name="StmtTtl1 6" xfId="17498"/>
    <cellStyle name="StmtTtl1 6 2" xfId="17499"/>
    <cellStyle name="StmtTtl1 7" xfId="17500"/>
    <cellStyle name="StmtTtl1_(C) WHE Proforma with ITC cash grant 10 Yr Amort_for deferral_102809" xfId="17501"/>
    <cellStyle name="StmtTtl2" xfId="17502"/>
    <cellStyle name="StmtTtl2 2" xfId="17503"/>
    <cellStyle name="StmtTtl2 2 2" xfId="17504"/>
    <cellStyle name="StmtTtl2 2 2 2" xfId="17505"/>
    <cellStyle name="StmtTtl2 2 3" xfId="17506"/>
    <cellStyle name="StmtTtl2 2 4" xfId="17507"/>
    <cellStyle name="StmtTtl2 2 4 2" xfId="18588"/>
    <cellStyle name="StmtTtl2 2 5" xfId="18587"/>
    <cellStyle name="StmtTtl2 3" xfId="17508"/>
    <cellStyle name="StmtTtl2 3 2" xfId="17509"/>
    <cellStyle name="StmtTtl2 3 2 2" xfId="17510"/>
    <cellStyle name="StmtTtl2 3 2 3" xfId="17511"/>
    <cellStyle name="StmtTtl2 3 2 3 2" xfId="18591"/>
    <cellStyle name="StmtTtl2 3 2 4" xfId="18590"/>
    <cellStyle name="StmtTtl2 3 3" xfId="17512"/>
    <cellStyle name="StmtTtl2 3 3 2" xfId="17513"/>
    <cellStyle name="StmtTtl2 3 4" xfId="17514"/>
    <cellStyle name="StmtTtl2 3 5" xfId="17515"/>
    <cellStyle name="StmtTtl2 3 5 2" xfId="18592"/>
    <cellStyle name="StmtTtl2 3 6" xfId="18589"/>
    <cellStyle name="StmtTtl2 4" xfId="17516"/>
    <cellStyle name="StmtTtl2 4 2" xfId="17517"/>
    <cellStyle name="StmtTtl2 5" xfId="17518"/>
    <cellStyle name="StmtTtl2 6" xfId="17519"/>
    <cellStyle name="StmtTtl2 6 2" xfId="18593"/>
    <cellStyle name="StmtTtl2 7" xfId="18586"/>
    <cellStyle name="STYL1 - Style1" xfId="17520"/>
    <cellStyle name="STYL1 - Style1 2" xfId="17521"/>
    <cellStyle name="STYL1 - Style1 2 2" xfId="17522"/>
    <cellStyle name="STYL1 - Style1 2 2 2" xfId="17523"/>
    <cellStyle name="STYL1 - Style1 2 3" xfId="17524"/>
    <cellStyle name="STYL1 - Style1 3" xfId="17525"/>
    <cellStyle name="STYL1 - Style1 3 2" xfId="17526"/>
    <cellStyle name="STYL1 - Style1 4" xfId="17527"/>
    <cellStyle name="Style 1" xfId="17528"/>
    <cellStyle name="Style 1 10" xfId="17529"/>
    <cellStyle name="Style 1 10 2" xfId="17530"/>
    <cellStyle name="Style 1 10 2 2" xfId="10"/>
    <cellStyle name="Style 1 10 3" xfId="17531"/>
    <cellStyle name="Style 1 10 3 2" xfId="17532"/>
    <cellStyle name="Style 1 10 4" xfId="17533"/>
    <cellStyle name="Style 1 11" xfId="17534"/>
    <cellStyle name="Style 1 11 2" xfId="17535"/>
    <cellStyle name="Style 1 11 2 2" xfId="17536"/>
    <cellStyle name="Style 1 11 3" xfId="17537"/>
    <cellStyle name="Style 1 12" xfId="17538"/>
    <cellStyle name="Style 1 12 2" xfId="17539"/>
    <cellStyle name="Style 1 12 2 2" xfId="17540"/>
    <cellStyle name="Style 1 12 3" xfId="17541"/>
    <cellStyle name="Style 1 12 3 2" xfId="17542"/>
    <cellStyle name="Style 1 12 4" xfId="17543"/>
    <cellStyle name="Style 1 13" xfId="17544"/>
    <cellStyle name="Style 1 13 2" xfId="17545"/>
    <cellStyle name="Style 1 14" xfId="17546"/>
    <cellStyle name="Style 1 2" xfId="17547"/>
    <cellStyle name="Style 1 2 2" xfId="17548"/>
    <cellStyle name="Style 1 2 2 2" xfId="17549"/>
    <cellStyle name="Style 1 2 2 2 2" xfId="17550"/>
    <cellStyle name="Style 1 2 2 2 2 2" xfId="17551"/>
    <cellStyle name="Style 1 2 2 2 3" xfId="17552"/>
    <cellStyle name="Style 1 2 2 3" xfId="17553"/>
    <cellStyle name="Style 1 2 2 3 2" xfId="17554"/>
    <cellStyle name="Style 1 2 2 4" xfId="17555"/>
    <cellStyle name="Style 1 2 2 4 2" xfId="17556"/>
    <cellStyle name="Style 1 2 2 5" xfId="17557"/>
    <cellStyle name="Style 1 2 3" xfId="17558"/>
    <cellStyle name="Style 1 2 3 2" xfId="17559"/>
    <cellStyle name="Style 1 2 3 2 2" xfId="17560"/>
    <cellStyle name="Style 1 2 3 3" xfId="17561"/>
    <cellStyle name="Style 1 2 3 3 2" xfId="17562"/>
    <cellStyle name="Style 1 2 3 4" xfId="17563"/>
    <cellStyle name="Style 1 2 4" xfId="17564"/>
    <cellStyle name="Style 1 2 4 2" xfId="17565"/>
    <cellStyle name="Style 1 2 4 2 2" xfId="17566"/>
    <cellStyle name="Style 1 2 4 3" xfId="17567"/>
    <cellStyle name="Style 1 2 5" xfId="17568"/>
    <cellStyle name="Style 1 2 5 2" xfId="17569"/>
    <cellStyle name="Style 1 2 5 2 2" xfId="17570"/>
    <cellStyle name="Style 1 2 5 3" xfId="17571"/>
    <cellStyle name="Style 1 2 6" xfId="17572"/>
    <cellStyle name="Style 1 2 6 2" xfId="17573"/>
    <cellStyle name="Style 1 2 7" xfId="17574"/>
    <cellStyle name="Style 1 2 7 2" xfId="17575"/>
    <cellStyle name="Style 1 2 8" xfId="17576"/>
    <cellStyle name="Style 1 2 8 2" xfId="17577"/>
    <cellStyle name="Style 1 2_4 31E Reg Asset  Liab and EXH D" xfId="17578"/>
    <cellStyle name="Style 1 3" xfId="17579"/>
    <cellStyle name="Style 1 3 2" xfId="17580"/>
    <cellStyle name="Style 1 3 2 2" xfId="17581"/>
    <cellStyle name="Style 1 3 2 2 2" xfId="17582"/>
    <cellStyle name="Style 1 3 2 2 2 2" xfId="17583"/>
    <cellStyle name="Style 1 3 2 2 3" xfId="17584"/>
    <cellStyle name="Style 1 3 2 2 3 2" xfId="17585"/>
    <cellStyle name="Style 1 3 2 2 4" xfId="17586"/>
    <cellStyle name="Style 1 3 2 3" xfId="17587"/>
    <cellStyle name="Style 1 3 2 3 2" xfId="17588"/>
    <cellStyle name="Style 1 3 2 3 2 2" xfId="17589"/>
    <cellStyle name="Style 1 3 2 3 3" xfId="17590"/>
    <cellStyle name="Style 1 3 2 4" xfId="17591"/>
    <cellStyle name="Style 1 3 3" xfId="17592"/>
    <cellStyle name="Style 1 3 3 2" xfId="17593"/>
    <cellStyle name="Style 1 3 3 2 2" xfId="17594"/>
    <cellStyle name="Style 1 3 3 2 2 2" xfId="17595"/>
    <cellStyle name="Style 1 3 3 2 3" xfId="17596"/>
    <cellStyle name="Style 1 3 3 3" xfId="17597"/>
    <cellStyle name="Style 1 3 3 3 2" xfId="17598"/>
    <cellStyle name="Style 1 3 3 4" xfId="17599"/>
    <cellStyle name="Style 1 3 4" xfId="17600"/>
    <cellStyle name="Style 1 3 4 2" xfId="17601"/>
    <cellStyle name="Style 1 3 4 2 2" xfId="17602"/>
    <cellStyle name="Style 1 3 4 3" xfId="17603"/>
    <cellStyle name="Style 1 3 4 3 2" xfId="17604"/>
    <cellStyle name="Style 1 3 4 4" xfId="17605"/>
    <cellStyle name="Style 1 3 5" xfId="17606"/>
    <cellStyle name="Style 1 3 5 2" xfId="17607"/>
    <cellStyle name="Style 1 3 5 2 2" xfId="17608"/>
    <cellStyle name="Style 1 3 5 3" xfId="17609"/>
    <cellStyle name="Style 1 3 6" xfId="17610"/>
    <cellStyle name="Style 1 4" xfId="17611"/>
    <cellStyle name="Style 1 4 2" xfId="17612"/>
    <cellStyle name="Style 1 4 2 2" xfId="17613"/>
    <cellStyle name="Style 1 4 2 2 2" xfId="17614"/>
    <cellStyle name="Style 1 4 2 3" xfId="17615"/>
    <cellStyle name="Style 1 4 3" xfId="17616"/>
    <cellStyle name="Style 1 4 3 2" xfId="17617"/>
    <cellStyle name="Style 1 4 3 2 2" xfId="17618"/>
    <cellStyle name="Style 1 4 3 3" xfId="17619"/>
    <cellStyle name="Style 1 4 4" xfId="17620"/>
    <cellStyle name="Style 1 4 4 2" xfId="17621"/>
    <cellStyle name="Style 1 4 5" xfId="17622"/>
    <cellStyle name="Style 1 4 5 2" xfId="17623"/>
    <cellStyle name="Style 1 4 6" xfId="17624"/>
    <cellStyle name="Style 1 5" xfId="17625"/>
    <cellStyle name="Style 1 5 2" xfId="17626"/>
    <cellStyle name="Style 1 5 2 2" xfId="17627"/>
    <cellStyle name="Style 1 5 2 2 2" xfId="17628"/>
    <cellStyle name="Style 1 5 2 3" xfId="17629"/>
    <cellStyle name="Style 1 5 3" xfId="17630"/>
    <cellStyle name="Style 1 5 3 2" xfId="17631"/>
    <cellStyle name="Style 1 5 3 2 2" xfId="17632"/>
    <cellStyle name="Style 1 5 3 3" xfId="17633"/>
    <cellStyle name="Style 1 5 3 3 2" xfId="17634"/>
    <cellStyle name="Style 1 5 3 4" xfId="17635"/>
    <cellStyle name="Style 1 5 4" xfId="17636"/>
    <cellStyle name="Style 1 5 4 2" xfId="17637"/>
    <cellStyle name="Style 1 5 4 2 2" xfId="17638"/>
    <cellStyle name="Style 1 5 4 3" xfId="17639"/>
    <cellStyle name="Style 1 5 5" xfId="17640"/>
    <cellStyle name="Style 1 5 5 2" xfId="17641"/>
    <cellStyle name="Style 1 5 6" xfId="17642"/>
    <cellStyle name="Style 1 6" xfId="17643"/>
    <cellStyle name="Style 1 6 2" xfId="17644"/>
    <cellStyle name="Style 1 6 2 2" xfId="17645"/>
    <cellStyle name="Style 1 6 2 2 2" xfId="17646"/>
    <cellStyle name="Style 1 6 2 2 2 2" xfId="17647"/>
    <cellStyle name="Style 1 6 2 2 3" xfId="17648"/>
    <cellStyle name="Style 1 6 2 3" xfId="17649"/>
    <cellStyle name="Style 1 6 2 3 2" xfId="17650"/>
    <cellStyle name="Style 1 6 2 4" xfId="17651"/>
    <cellStyle name="Style 1 6 3" xfId="17652"/>
    <cellStyle name="Style 1 6 3 2" xfId="17653"/>
    <cellStyle name="Style 1 6 3 2 2" xfId="17654"/>
    <cellStyle name="Style 1 6 3 2 2 2" xfId="17655"/>
    <cellStyle name="Style 1 6 3 2 3" xfId="17656"/>
    <cellStyle name="Style 1 6 3 3" xfId="17657"/>
    <cellStyle name="Style 1 6 4" xfId="17658"/>
    <cellStyle name="Style 1 6 4 2" xfId="17659"/>
    <cellStyle name="Style 1 6 4 2 2" xfId="17660"/>
    <cellStyle name="Style 1 6 4 2 2 2" xfId="17661"/>
    <cellStyle name="Style 1 6 4 2 3" xfId="17662"/>
    <cellStyle name="Style 1 6 4 3" xfId="17663"/>
    <cellStyle name="Style 1 6 5" xfId="17664"/>
    <cellStyle name="Style 1 6 5 2" xfId="17665"/>
    <cellStyle name="Style 1 6 5 2 2" xfId="17666"/>
    <cellStyle name="Style 1 6 5 2 2 2" xfId="17667"/>
    <cellStyle name="Style 1 6 5 2 3" xfId="17668"/>
    <cellStyle name="Style 1 6 5 3" xfId="17669"/>
    <cellStyle name="Style 1 6 6" xfId="17670"/>
    <cellStyle name="Style 1 6 6 2" xfId="17671"/>
    <cellStyle name="Style 1 6 6 2 2" xfId="17672"/>
    <cellStyle name="Style 1 6 6 3" xfId="17673"/>
    <cellStyle name="Style 1 6 7" xfId="17674"/>
    <cellStyle name="Style 1 6 7 2" xfId="17675"/>
    <cellStyle name="Style 1 6 8" xfId="17676"/>
    <cellStyle name="Style 1 7" xfId="17677"/>
    <cellStyle name="Style 1 7 2" xfId="17678"/>
    <cellStyle name="Style 1 7 2 2" xfId="17679"/>
    <cellStyle name="Style 1 7 3" xfId="17680"/>
    <cellStyle name="Style 1 7 3 2" xfId="17681"/>
    <cellStyle name="Style 1 7 4" xfId="17682"/>
    <cellStyle name="Style 1 8" xfId="17683"/>
    <cellStyle name="Style 1 8 2" xfId="17684"/>
    <cellStyle name="Style 1 8 2 2" xfId="17685"/>
    <cellStyle name="Style 1 8 3" xfId="17686"/>
    <cellStyle name="Style 1 8 3 2" xfId="17687"/>
    <cellStyle name="Style 1 8 4" xfId="17688"/>
    <cellStyle name="Style 1 9" xfId="17689"/>
    <cellStyle name="Style 1 9 2" xfId="17690"/>
    <cellStyle name="Style 1 9 2 2" xfId="17691"/>
    <cellStyle name="Style 1 9 3" xfId="17692"/>
    <cellStyle name="Style 1 9 3 2" xfId="17693"/>
    <cellStyle name="Style 1 9 4" xfId="17694"/>
    <cellStyle name="Style 1_ Price Inputs" xfId="17695"/>
    <cellStyle name="Style 21" xfId="17696"/>
    <cellStyle name="Style 21 2" xfId="17697"/>
    <cellStyle name="Style 21 2 2" xfId="17698"/>
    <cellStyle name="Style 21 3" xfId="17699"/>
    <cellStyle name="Style 21 4" xfId="17700"/>
    <cellStyle name="Style 22" xfId="17701"/>
    <cellStyle name="Style 22 2" xfId="17702"/>
    <cellStyle name="Style 22 2 2" xfId="17703"/>
    <cellStyle name="Style 22 3" xfId="17704"/>
    <cellStyle name="Style 22 4" xfId="17705"/>
    <cellStyle name="Style 23" xfId="17706"/>
    <cellStyle name="Style 23 2" xfId="17707"/>
    <cellStyle name="Style 23 2 2" xfId="17708"/>
    <cellStyle name="Style 23 3" xfId="17709"/>
    <cellStyle name="Style 24" xfId="17710"/>
    <cellStyle name="Style 24 2" xfId="17711"/>
    <cellStyle name="Style 24 2 2" xfId="17712"/>
    <cellStyle name="Style 24 2 3" xfId="17713"/>
    <cellStyle name="Style 24 2 3 2" xfId="17714"/>
    <cellStyle name="Style 24 2 3 3" xfId="17715"/>
    <cellStyle name="Style 24 2 3 4" xfId="17716"/>
    <cellStyle name="Style 24 2 4" xfId="17717"/>
    <cellStyle name="Style 24 2 5" xfId="17718"/>
    <cellStyle name="Style 24 2 6" xfId="17719"/>
    <cellStyle name="Style 24 3" xfId="17720"/>
    <cellStyle name="Style 24 4" xfId="17721"/>
    <cellStyle name="Style 24 4 2" xfId="17722"/>
    <cellStyle name="Style 24 4 3" xfId="17723"/>
    <cellStyle name="Style 24 4 4" xfId="17724"/>
    <cellStyle name="Style 24 5" xfId="17725"/>
    <cellStyle name="Style 24 6" xfId="17726"/>
    <cellStyle name="Style 24 7" xfId="17727"/>
    <cellStyle name="Style 25" xfId="17728"/>
    <cellStyle name="Style 25 2" xfId="17729"/>
    <cellStyle name="Style 25 2 2" xfId="17730"/>
    <cellStyle name="Style 25 3" xfId="17731"/>
    <cellStyle name="Style 26" xfId="17732"/>
    <cellStyle name="Style 26 2" xfId="17733"/>
    <cellStyle name="Style 26 2 2" xfId="17734"/>
    <cellStyle name="Style 26 3" xfId="17735"/>
    <cellStyle name="Style 27" xfId="17736"/>
    <cellStyle name="Style 27 2" xfId="17737"/>
    <cellStyle name="Style 27 2 2" xfId="17738"/>
    <cellStyle name="Style 27 3" xfId="17739"/>
    <cellStyle name="Style 28" xfId="17740"/>
    <cellStyle name="Style 28 2" xfId="17741"/>
    <cellStyle name="Style 28 2 2" xfId="17742"/>
    <cellStyle name="Style 28 3" xfId="17743"/>
    <cellStyle name="Style 29" xfId="17744"/>
    <cellStyle name="Style 29 2" xfId="17745"/>
    <cellStyle name="Style 29 2 2" xfId="17746"/>
    <cellStyle name="Style 29 3" xfId="17747"/>
    <cellStyle name="Style 29 3 2" xfId="17748"/>
    <cellStyle name="Style 29 4" xfId="17749"/>
    <cellStyle name="Style 30" xfId="17750"/>
    <cellStyle name="Style 30 2" xfId="17751"/>
    <cellStyle name="Style 30 2 2" xfId="17752"/>
    <cellStyle name="Style 30 3" xfId="17753"/>
    <cellStyle name="Style 30 3 2" xfId="17754"/>
    <cellStyle name="Style 30 4" xfId="17755"/>
    <cellStyle name="Style 31" xfId="17756"/>
    <cellStyle name="Style 31 2" xfId="17757"/>
    <cellStyle name="Style 31 2 2" xfId="17758"/>
    <cellStyle name="Style 31 3" xfId="17759"/>
    <cellStyle name="Style 32" xfId="17760"/>
    <cellStyle name="Style 32 2" xfId="17761"/>
    <cellStyle name="Style 32 2 2" xfId="17762"/>
    <cellStyle name="Style 32 3" xfId="17763"/>
    <cellStyle name="Style 33" xfId="17764"/>
    <cellStyle name="Style 33 2" xfId="17765"/>
    <cellStyle name="Style 33 2 2" xfId="17766"/>
    <cellStyle name="Style 33 3" xfId="17767"/>
    <cellStyle name="Style 33 3 2" xfId="17768"/>
    <cellStyle name="Style 33 4" xfId="17769"/>
    <cellStyle name="Style 34" xfId="17770"/>
    <cellStyle name="Style 34 2" xfId="17771"/>
    <cellStyle name="Style 34 2 2" xfId="17772"/>
    <cellStyle name="Style 34 3" xfId="17773"/>
    <cellStyle name="Style 34 3 2" xfId="17774"/>
    <cellStyle name="Style 34 4" xfId="17775"/>
    <cellStyle name="Style 35" xfId="17776"/>
    <cellStyle name="Style 35 2" xfId="17777"/>
    <cellStyle name="Style 35 2 2" xfId="17778"/>
    <cellStyle name="Style 35 3" xfId="17779"/>
    <cellStyle name="Style 35 3 2" xfId="17780"/>
    <cellStyle name="Style 35 4" xfId="17781"/>
    <cellStyle name="Style 36" xfId="17782"/>
    <cellStyle name="Style 36 2" xfId="17783"/>
    <cellStyle name="Style 36 2 2" xfId="17784"/>
    <cellStyle name="Style 36 3" xfId="17785"/>
    <cellStyle name="Style 36 3 2" xfId="17786"/>
    <cellStyle name="Style 36 4" xfId="17787"/>
    <cellStyle name="Style 39" xfId="17788"/>
    <cellStyle name="Style 39 2" xfId="17789"/>
    <cellStyle name="Style 39 2 2" xfId="17790"/>
    <cellStyle name="Style 39 3" xfId="17791"/>
    <cellStyle name="Style 39 3 2" xfId="17792"/>
    <cellStyle name="Style 39 4" xfId="17793"/>
    <cellStyle name="STYLE1" xfId="17794"/>
    <cellStyle name="STYLE1 2" xfId="17795"/>
    <cellStyle name="STYLE2" xfId="17796"/>
    <cellStyle name="STYLE2 2" xfId="17797"/>
    <cellStyle name="STYLE3" xfId="17798"/>
    <cellStyle name="STYLE3 2" xfId="17799"/>
    <cellStyle name="STYLE4" xfId="17800"/>
    <cellStyle name="STYLE5" xfId="17801"/>
    <cellStyle name="SUB HEADING" xfId="17802"/>
    <cellStyle name="SubHeading" xfId="17803"/>
    <cellStyle name="SubsidTitle" xfId="17804"/>
    <cellStyle name="sub-tl - Style3" xfId="17805"/>
    <cellStyle name="subtot - Style5" xfId="17806"/>
    <cellStyle name="subtot - Style5 2" xfId="17807"/>
    <cellStyle name="Subtotal" xfId="17808"/>
    <cellStyle name="Sub-total" xfId="17809"/>
    <cellStyle name="Subtotal 2" xfId="17810"/>
    <cellStyle name="Sub-total 2" xfId="17811"/>
    <cellStyle name="Subtotal 2 2" xfId="17812"/>
    <cellStyle name="Sub-total 2 2" xfId="17813"/>
    <cellStyle name="Subtotal 2 2 2" xfId="17814"/>
    <cellStyle name="Sub-total 2 2 2" xfId="17815"/>
    <cellStyle name="Subtotal 2 3" xfId="17816"/>
    <cellStyle name="Sub-total 2 3" xfId="17817"/>
    <cellStyle name="Subtotal 2 3 2" xfId="17818"/>
    <cellStyle name="Sub-total 2 3 2" xfId="17819"/>
    <cellStyle name="Subtotal 2 4" xfId="17820"/>
    <cellStyle name="Sub-total 2 4" xfId="17821"/>
    <cellStyle name="Subtotal 3" xfId="17822"/>
    <cellStyle name="Sub-total 3" xfId="17823"/>
    <cellStyle name="Subtotal 3 2" xfId="17824"/>
    <cellStyle name="Sub-total 3 2" xfId="17825"/>
    <cellStyle name="Subtotal 3 2 2" xfId="17826"/>
    <cellStyle name="Sub-total 3 2 2" xfId="17827"/>
    <cellStyle name="Subtotal 3 3" xfId="17828"/>
    <cellStyle name="Sub-total 3 3" xfId="17829"/>
    <cellStyle name="Subtotal 3 3 2" xfId="17830"/>
    <cellStyle name="Sub-total 3 3 2" xfId="17831"/>
    <cellStyle name="Subtotal 3 4" xfId="17832"/>
    <cellStyle name="Sub-total 3 4" xfId="17833"/>
    <cellStyle name="Subtotal 4" xfId="17834"/>
    <cellStyle name="Sub-total 4" xfId="17835"/>
    <cellStyle name="Subtotal 4 2" xfId="17836"/>
    <cellStyle name="Sub-total 4 2" xfId="17837"/>
    <cellStyle name="Subtotal 4 2 2" xfId="17838"/>
    <cellStyle name="Sub-total 4 2 2" xfId="17839"/>
    <cellStyle name="Subtotal 4 3" xfId="17840"/>
    <cellStyle name="Sub-total 4 3" xfId="17841"/>
    <cellStyle name="Subtotal 4 3 2" xfId="17842"/>
    <cellStyle name="Sub-total 4 3 2" xfId="17843"/>
    <cellStyle name="Subtotal 4 4" xfId="17844"/>
    <cellStyle name="Sub-total 4 4" xfId="17845"/>
    <cellStyle name="Subtotal 5" xfId="17846"/>
    <cellStyle name="Sub-total 5" xfId="17847"/>
    <cellStyle name="Subtotal 5 2" xfId="17848"/>
    <cellStyle name="Sub-total 5 2" xfId="17849"/>
    <cellStyle name="Subtotal 5 2 2" xfId="17850"/>
    <cellStyle name="Sub-total 5 2 2" xfId="17851"/>
    <cellStyle name="Subtotal 5 3" xfId="17852"/>
    <cellStyle name="Sub-total 5 3" xfId="17853"/>
    <cellStyle name="Subtotal 5 3 2" xfId="17854"/>
    <cellStyle name="Sub-total 5 3 2" xfId="17855"/>
    <cellStyle name="Subtotal 5 4" xfId="17856"/>
    <cellStyle name="Sub-total 5 4" xfId="17857"/>
    <cellStyle name="Subtotal 6" xfId="17858"/>
    <cellStyle name="Sub-total 6" xfId="17859"/>
    <cellStyle name="Subtotal 6 2" xfId="17860"/>
    <cellStyle name="Sub-total 6 2" xfId="17861"/>
    <cellStyle name="Subtotal 6 2 2" xfId="17862"/>
    <cellStyle name="Sub-total 6 2 2" xfId="17863"/>
    <cellStyle name="Subtotal 6 3" xfId="17864"/>
    <cellStyle name="Sub-total 6 3" xfId="17865"/>
    <cellStyle name="Subtotal 6 3 2" xfId="17866"/>
    <cellStyle name="Sub-total 6 3 2" xfId="17867"/>
    <cellStyle name="Subtotal 6 4" xfId="17868"/>
    <cellStyle name="Sub-total 6 4" xfId="17869"/>
    <cellStyle name="Subtotal 7" xfId="17870"/>
    <cellStyle name="Sub-total 7" xfId="17871"/>
    <cellStyle name="Subtotal 7 2" xfId="17872"/>
    <cellStyle name="Sub-total 7 2" xfId="17873"/>
    <cellStyle name="Subtotal 8" xfId="17874"/>
    <cellStyle name="Sub-total 8" xfId="17875"/>
    <cellStyle name="Table Data" xfId="17876"/>
    <cellStyle name="Table Headings Bold" xfId="17877"/>
    <cellStyle name="Table Headings Bold 2" xfId="17878"/>
    <cellStyle name="Table Headings Bold 2 2" xfId="17879"/>
    <cellStyle name="Table Headings Bold 3" xfId="17880"/>
    <cellStyle name="Table Headings Bold 3 2" xfId="17881"/>
    <cellStyle name="Table Headings Bold 4" xfId="17882"/>
    <cellStyle name="Table Headings Bold 4 2" xfId="17883"/>
    <cellStyle name="Table Headings Bold 5" xfId="17884"/>
    <cellStyle name="Table Headings Bold 5 2" xfId="17885"/>
    <cellStyle name="TableBody" xfId="17886"/>
    <cellStyle name="TableBody 10" xfId="17887"/>
    <cellStyle name="TableBody 10 2" xfId="17888"/>
    <cellStyle name="TableBody 10 3" xfId="17889"/>
    <cellStyle name="TableBody 11" xfId="17890"/>
    <cellStyle name="TableBody 11 2" xfId="17891"/>
    <cellStyle name="TableBody 11 2 2" xfId="17892"/>
    <cellStyle name="TableBody 11 2 2 2" xfId="17893"/>
    <cellStyle name="TableBody 11 2 2 3" xfId="17894"/>
    <cellStyle name="TableBody 11 2 3" xfId="17895"/>
    <cellStyle name="TableBody 11 2 4" xfId="17896"/>
    <cellStyle name="TableBody 11 3" xfId="17897"/>
    <cellStyle name="TableBody 11 4" xfId="17898"/>
    <cellStyle name="TableBody 12" xfId="17899"/>
    <cellStyle name="TableBody 12 2" xfId="17900"/>
    <cellStyle name="TableBody 12 3" xfId="17901"/>
    <cellStyle name="TableBody 13" xfId="17902"/>
    <cellStyle name="TableBody 13 2" xfId="17903"/>
    <cellStyle name="TableBody 13 3" xfId="17904"/>
    <cellStyle name="TableBody 14" xfId="17905"/>
    <cellStyle name="TableBody 15" xfId="17906"/>
    <cellStyle name="TableBody 2" xfId="17907"/>
    <cellStyle name="TableBody 2 2" xfId="17908"/>
    <cellStyle name="TableBody 2 2 2" xfId="17909"/>
    <cellStyle name="TableBody 2 2 2 2" xfId="17910"/>
    <cellStyle name="TableBody 2 2 2 2 2" xfId="17911"/>
    <cellStyle name="TableBody 2 2 2 2 3" xfId="17912"/>
    <cellStyle name="TableBody 2 2 2 3" xfId="17913"/>
    <cellStyle name="TableBody 2 2 2 4" xfId="17914"/>
    <cellStyle name="TableBody 2 2 3" xfId="17915"/>
    <cellStyle name="TableBody 2 2 4" xfId="17916"/>
    <cellStyle name="TableBody 2 3" xfId="17917"/>
    <cellStyle name="TableBody 2 3 2" xfId="17918"/>
    <cellStyle name="TableBody 2 3 3" xfId="17919"/>
    <cellStyle name="TableBody 2 4" xfId="17920"/>
    <cellStyle name="TableBody 2 4 2" xfId="17921"/>
    <cellStyle name="TableBody 2 4 3" xfId="17922"/>
    <cellStyle name="TableBody 2 5" xfId="17923"/>
    <cellStyle name="TableBody 2 6" xfId="17924"/>
    <cellStyle name="TableBody 3" xfId="17925"/>
    <cellStyle name="TableBody 3 2" xfId="17926"/>
    <cellStyle name="TableBody 3 3" xfId="17927"/>
    <cellStyle name="TableBody 4" xfId="17928"/>
    <cellStyle name="TableBody 4 2" xfId="17929"/>
    <cellStyle name="TableBody 4 3" xfId="17930"/>
    <cellStyle name="TableBody 5" xfId="17931"/>
    <cellStyle name="TableBody 5 2" xfId="17932"/>
    <cellStyle name="TableBody 5 3" xfId="17933"/>
    <cellStyle name="TableBody 6" xfId="17934"/>
    <cellStyle name="TableBody 6 2" xfId="17935"/>
    <cellStyle name="TableBody 6 3" xfId="17936"/>
    <cellStyle name="TableBody 7" xfId="17937"/>
    <cellStyle name="TableBody 7 2" xfId="17938"/>
    <cellStyle name="TableBody 7 3" xfId="17939"/>
    <cellStyle name="TableBody 8" xfId="17940"/>
    <cellStyle name="TableBody 8 2" xfId="17941"/>
    <cellStyle name="TableBody 8 3" xfId="17942"/>
    <cellStyle name="TableBody 9" xfId="17943"/>
    <cellStyle name="TableBody 9 2" xfId="17944"/>
    <cellStyle name="TableBody 9 3" xfId="17945"/>
    <cellStyle name="taples Plaza" xfId="17946"/>
    <cellStyle name="Test" xfId="18243"/>
    <cellStyle name="TextEntry" xfId="17947"/>
    <cellStyle name="TextEntry 10" xfId="17948"/>
    <cellStyle name="TextEntry 10 2" xfId="17949"/>
    <cellStyle name="TextEntry 10 3" xfId="17950"/>
    <cellStyle name="TextEntry 11" xfId="17951"/>
    <cellStyle name="TextEntry 11 2" xfId="17952"/>
    <cellStyle name="TextEntry 11 2 2" xfId="17953"/>
    <cellStyle name="TextEntry 11 2 2 2" xfId="17954"/>
    <cellStyle name="TextEntry 11 2 2 3" xfId="17955"/>
    <cellStyle name="TextEntry 11 2 3" xfId="17956"/>
    <cellStyle name="TextEntry 11 2 4" xfId="17957"/>
    <cellStyle name="TextEntry 11 3" xfId="17958"/>
    <cellStyle name="TextEntry 11 4" xfId="17959"/>
    <cellStyle name="TextEntry 12" xfId="17960"/>
    <cellStyle name="TextEntry 12 2" xfId="17961"/>
    <cellStyle name="TextEntry 12 3" xfId="17962"/>
    <cellStyle name="TextEntry 13" xfId="17963"/>
    <cellStyle name="TextEntry 13 2" xfId="17964"/>
    <cellStyle name="TextEntry 13 3" xfId="17965"/>
    <cellStyle name="TextEntry 14" xfId="17966"/>
    <cellStyle name="TextEntry 15" xfId="17967"/>
    <cellStyle name="TextEntry 2" xfId="17968"/>
    <cellStyle name="TextEntry 2 2" xfId="17969"/>
    <cellStyle name="TextEntry 2 2 2" xfId="17970"/>
    <cellStyle name="TextEntry 2 2 2 2" xfId="17971"/>
    <cellStyle name="TextEntry 2 2 2 2 2" xfId="17972"/>
    <cellStyle name="TextEntry 2 2 2 2 3" xfId="17973"/>
    <cellStyle name="TextEntry 2 2 2 3" xfId="17974"/>
    <cellStyle name="TextEntry 2 2 2 4" xfId="17975"/>
    <cellStyle name="TextEntry 2 2 3" xfId="17976"/>
    <cellStyle name="TextEntry 2 2 4" xfId="17977"/>
    <cellStyle name="TextEntry 2 3" xfId="17978"/>
    <cellStyle name="TextEntry 2 3 2" xfId="17979"/>
    <cellStyle name="TextEntry 2 3 3" xfId="17980"/>
    <cellStyle name="TextEntry 2 4" xfId="17981"/>
    <cellStyle name="TextEntry 2 4 2" xfId="17982"/>
    <cellStyle name="TextEntry 2 4 3" xfId="17983"/>
    <cellStyle name="TextEntry 2 5" xfId="17984"/>
    <cellStyle name="TextEntry 2 6" xfId="17985"/>
    <cellStyle name="TextEntry 3" xfId="17986"/>
    <cellStyle name="TextEntry 3 2" xfId="17987"/>
    <cellStyle name="TextEntry 3 3" xfId="17988"/>
    <cellStyle name="TextEntry 4" xfId="17989"/>
    <cellStyle name="TextEntry 4 2" xfId="17990"/>
    <cellStyle name="TextEntry 4 3" xfId="17991"/>
    <cellStyle name="TextEntry 5" xfId="17992"/>
    <cellStyle name="TextEntry 5 2" xfId="17993"/>
    <cellStyle name="TextEntry 5 3" xfId="17994"/>
    <cellStyle name="TextEntry 6" xfId="17995"/>
    <cellStyle name="TextEntry 6 2" xfId="17996"/>
    <cellStyle name="TextEntry 6 3" xfId="17997"/>
    <cellStyle name="TextEntry 7" xfId="17998"/>
    <cellStyle name="TextEntry 7 2" xfId="17999"/>
    <cellStyle name="TextEntry 7 3" xfId="18000"/>
    <cellStyle name="TextEntry 8" xfId="18001"/>
    <cellStyle name="TextEntry 8 2" xfId="18002"/>
    <cellStyle name="TextEntry 8 3" xfId="18003"/>
    <cellStyle name="TextEntry 9" xfId="18004"/>
    <cellStyle name="TextEntry 9 2" xfId="18005"/>
    <cellStyle name="TextEntry 9 3" xfId="18006"/>
    <cellStyle name="Tickmark" xfId="18007"/>
    <cellStyle name="Title 2" xfId="875"/>
    <cellStyle name="Title 2 2" xfId="876"/>
    <cellStyle name="Title 2 2 2" xfId="18008"/>
    <cellStyle name="Title 2 2 2 2" xfId="18009"/>
    <cellStyle name="Title 2 2 3" xfId="18010"/>
    <cellStyle name="Title 2 2 3 2" xfId="18011"/>
    <cellStyle name="Title 2 2 3 2 2" xfId="18012"/>
    <cellStyle name="Title 2 2 3 3" xfId="18013"/>
    <cellStyle name="Title 2 2 4" xfId="18014"/>
    <cellStyle name="Title 2 2 4 2" xfId="18015"/>
    <cellStyle name="Title 2 2 5" xfId="18016"/>
    <cellStyle name="Title 2 3" xfId="18017"/>
    <cellStyle name="Title 2 3 2" xfId="18018"/>
    <cellStyle name="Title 2 3 2 2" xfId="18019"/>
    <cellStyle name="Title 2 3 3" xfId="18020"/>
    <cellStyle name="Title 2 3 3 2" xfId="18021"/>
    <cellStyle name="Title 2 3 4" xfId="18022"/>
    <cellStyle name="Title 2 4" xfId="18023"/>
    <cellStyle name="Title 2 4 2" xfId="18024"/>
    <cellStyle name="Title 2 4 2 2" xfId="18025"/>
    <cellStyle name="Title 2 4 3" xfId="18026"/>
    <cellStyle name="Title 2 5" xfId="18027"/>
    <cellStyle name="Title 2 5 2" xfId="18028"/>
    <cellStyle name="Title 2 6" xfId="18029"/>
    <cellStyle name="Title 2 6 2" xfId="18030"/>
    <cellStyle name="Title 2 7" xfId="18031"/>
    <cellStyle name="Title 3" xfId="877"/>
    <cellStyle name="Title 3 2" xfId="18032"/>
    <cellStyle name="Title 3 2 2" xfId="18033"/>
    <cellStyle name="Title 3 3" xfId="18034"/>
    <cellStyle name="Title 3 3 2" xfId="18035"/>
    <cellStyle name="Title 3 3 2 2" xfId="18036"/>
    <cellStyle name="Title 3 3 3" xfId="18037"/>
    <cellStyle name="Title 3 4" xfId="18038"/>
    <cellStyle name="Title 3 4 2" xfId="18039"/>
    <cellStyle name="Title 3 5" xfId="18040"/>
    <cellStyle name="Title 4" xfId="18041"/>
    <cellStyle name="Title 4 2" xfId="18042"/>
    <cellStyle name="Title 4 2 2" xfId="18043"/>
    <cellStyle name="Title 4 3" xfId="18044"/>
    <cellStyle name="Title 4 3 2" xfId="18045"/>
    <cellStyle name="Title 4 4" xfId="18046"/>
    <cellStyle name="Title 5" xfId="18047"/>
    <cellStyle name="Title 5 2" xfId="18048"/>
    <cellStyle name="Title 5 2 2" xfId="18049"/>
    <cellStyle name="Title 5 3" xfId="18050"/>
    <cellStyle name="Title 5 3 2" xfId="18051"/>
    <cellStyle name="Title 5 4" xfId="18052"/>
    <cellStyle name="Title 6" xfId="18053"/>
    <cellStyle name="Title 6 2" xfId="18054"/>
    <cellStyle name="Title 6 2 2" xfId="18055"/>
    <cellStyle name="Title 6 3" xfId="18056"/>
    <cellStyle name="Title 7" xfId="18057"/>
    <cellStyle name="Title 7 2" xfId="18058"/>
    <cellStyle name="Title: - Style3" xfId="18244"/>
    <cellStyle name="Title: - Style4" xfId="18245"/>
    <cellStyle name="Title: Major" xfId="18059"/>
    <cellStyle name="Title: Major 2" xfId="18060"/>
    <cellStyle name="Title: Major 2 2" xfId="18061"/>
    <cellStyle name="Title: Major 2 2 2" xfId="18062"/>
    <cellStyle name="Title: Major 2 3" xfId="18063"/>
    <cellStyle name="Title: Major 3" xfId="18064"/>
    <cellStyle name="Title: Major 3 2" xfId="18065"/>
    <cellStyle name="Title: Major 3 2 2" xfId="18066"/>
    <cellStyle name="Title: Major 3 3" xfId="18067"/>
    <cellStyle name="Title: Major 4" xfId="18068"/>
    <cellStyle name="Title: Major 4 2" xfId="18069"/>
    <cellStyle name="Title: Major 5" xfId="18070"/>
    <cellStyle name="Title: Minor" xfId="18071"/>
    <cellStyle name="Title: Minor 2" xfId="18072"/>
    <cellStyle name="Title: Minor 2 2" xfId="18073"/>
    <cellStyle name="Title: Minor 2 2 2" xfId="18074"/>
    <cellStyle name="Title: Minor 2 3" xfId="18075"/>
    <cellStyle name="Title: Minor 3" xfId="18076"/>
    <cellStyle name="Title: Minor 3 2" xfId="18077"/>
    <cellStyle name="Title: Minor 4" xfId="18078"/>
    <cellStyle name="Title: Minor_Electric Rev Req Model (2009 GRC) Rebuttal" xfId="18246"/>
    <cellStyle name="Title: Worksheet" xfId="18079"/>
    <cellStyle name="Title: Worksheet 2" xfId="18080"/>
    <cellStyle name="Title: Worksheet 2 2" xfId="18081"/>
    <cellStyle name="Title: Worksheet 2 2 2" xfId="18082"/>
    <cellStyle name="Title: Worksheet 2 3" xfId="18083"/>
    <cellStyle name="Title: Worksheet 3" xfId="18084"/>
    <cellStyle name="Title: Worksheet 3 2" xfId="18085"/>
    <cellStyle name="Title: Worksheet 4" xfId="18086"/>
    <cellStyle name="Titles" xfId="18087"/>
    <cellStyle name="Total 2" xfId="878"/>
    <cellStyle name="Total 2 2" xfId="879"/>
    <cellStyle name="Total 2 2 2" xfId="18088"/>
    <cellStyle name="Total 2 2 2 2" xfId="18089"/>
    <cellStyle name="Total 2 2 3" xfId="18090"/>
    <cellStyle name="Total 2 2 3 2" xfId="18091"/>
    <cellStyle name="Total 2 2 3 2 2" xfId="18092"/>
    <cellStyle name="Total 2 2 3 3" xfId="18093"/>
    <cellStyle name="Total 2 2 4" xfId="18094"/>
    <cellStyle name="Total 2 2 4 2" xfId="18095"/>
    <cellStyle name="Total 2 2 5" xfId="18096"/>
    <cellStyle name="Total 2 2 6" xfId="18097"/>
    <cellStyle name="Total 2 3" xfId="18098"/>
    <cellStyle name="Total 2 3 2" xfId="18099"/>
    <cellStyle name="Total 2 3 2 2" xfId="18100"/>
    <cellStyle name="Total 2 3 3" xfId="18101"/>
    <cellStyle name="Total 2 3 3 2" xfId="18102"/>
    <cellStyle name="Total 2 3 4" xfId="18103"/>
    <cellStyle name="Total 2 3 4 2" xfId="18104"/>
    <cellStyle name="Total 2 3 5" xfId="18105"/>
    <cellStyle name="Total 2 3 6" xfId="18106"/>
    <cellStyle name="Total 2 4" xfId="18107"/>
    <cellStyle name="Total 2 4 2" xfId="18108"/>
    <cellStyle name="Total 2 4 2 2" xfId="18109"/>
    <cellStyle name="Total 2 4 3" xfId="18110"/>
    <cellStyle name="Total 2 4 4" xfId="18111"/>
    <cellStyle name="Total 2 5" xfId="18112"/>
    <cellStyle name="Total 2 5 2" xfId="18113"/>
    <cellStyle name="Total 2 6" xfId="18114"/>
    <cellStyle name="Total 3" xfId="880"/>
    <cellStyle name="Total 3 2" xfId="881"/>
    <cellStyle name="Total 3 2 2" xfId="18115"/>
    <cellStyle name="Total 3 2 2 2" xfId="18116"/>
    <cellStyle name="Total 3 2 3" xfId="18117"/>
    <cellStyle name="Total 3 2 3 2" xfId="18118"/>
    <cellStyle name="Total 3 2 4" xfId="18119"/>
    <cellStyle name="Total 3 3" xfId="18120"/>
    <cellStyle name="Total 3 3 2" xfId="18121"/>
    <cellStyle name="Total 3 4" xfId="18122"/>
    <cellStyle name="Total 3 5" xfId="18343"/>
    <cellStyle name="Total 4" xfId="882"/>
    <cellStyle name="Total 4 2" xfId="18123"/>
    <cellStyle name="Total 4 2 2" xfId="18124"/>
    <cellStyle name="Total 4 3" xfId="18125"/>
    <cellStyle name="Total 4 3 2" xfId="18126"/>
    <cellStyle name="Total 4 4" xfId="18127"/>
    <cellStyle name="Total 5" xfId="18128"/>
    <cellStyle name="Total 5 2" xfId="18129"/>
    <cellStyle name="Total 5 2 2" xfId="18130"/>
    <cellStyle name="Total 5 3" xfId="18131"/>
    <cellStyle name="Total 5 3 2" xfId="18132"/>
    <cellStyle name="Total 5 4" xfId="18133"/>
    <cellStyle name="Total 6" xfId="18134"/>
    <cellStyle name="Total 6 2" xfId="18135"/>
    <cellStyle name="Total 9" xfId="18136"/>
    <cellStyle name="Total 9 2" xfId="18137"/>
    <cellStyle name="Total4 - Style4" xfId="18138"/>
    <cellStyle name="Total4 - Style4 2" xfId="18139"/>
    <cellStyle name="Total4 - Style4 2 2" xfId="18140"/>
    <cellStyle name="Total4 - Style4 2 2 2" xfId="18141"/>
    <cellStyle name="Total4 - Style4 2 3" xfId="18142"/>
    <cellStyle name="Total4 - Style4 3" xfId="18143"/>
    <cellStyle name="Total4 - Style4 3 2" xfId="18144"/>
    <cellStyle name="Total4 - Style4 4" xfId="18145"/>
    <cellStyle name="Total4 - Style4_Electric Rev Req Model (2009 GRC) Rebuttal" xfId="18247"/>
    <cellStyle name="Totals" xfId="18146"/>
    <cellStyle name="Totals [0]" xfId="18147"/>
    <cellStyle name="Totals [2]" xfId="18148"/>
    <cellStyle name="Totals_FWB Summary" xfId="18149"/>
    <cellStyle name="UnProtectedCalc" xfId="18150"/>
    <cellStyle name="UnProtectedCalc 2" xfId="18151"/>
    <cellStyle name="Warning Text 2" xfId="883"/>
    <cellStyle name="Warning Text 2 2" xfId="884"/>
    <cellStyle name="Warning Text 2 2 2" xfId="18152"/>
    <cellStyle name="Warning Text 2 2 2 2" xfId="18153"/>
    <cellStyle name="Warning Text 2 2 3" xfId="18154"/>
    <cellStyle name="Warning Text 2 2 3 2" xfId="18155"/>
    <cellStyle name="Warning Text 2 2 3 2 2" xfId="18156"/>
    <cellStyle name="Warning Text 2 2 3 3" xfId="18157"/>
    <cellStyle name="Warning Text 2 2 4" xfId="18158"/>
    <cellStyle name="Warning Text 2 2 4 2" xfId="18159"/>
    <cellStyle name="Warning Text 2 2 5" xfId="18160"/>
    <cellStyle name="Warning Text 2 3" xfId="18161"/>
    <cellStyle name="Warning Text 2 3 2" xfId="18162"/>
    <cellStyle name="Warning Text 2 3 2 2" xfId="18163"/>
    <cellStyle name="Warning Text 2 3 3" xfId="18164"/>
    <cellStyle name="Warning Text 2 4" xfId="18165"/>
    <cellStyle name="Warning Text 2 4 2" xfId="18166"/>
    <cellStyle name="Warning Text 2 4 2 2" xfId="18167"/>
    <cellStyle name="Warning Text 2 4 3" xfId="18168"/>
    <cellStyle name="Warning Text 2 5" xfId="18169"/>
    <cellStyle name="Warning Text 2 5 2" xfId="18170"/>
    <cellStyle name="Warning Text 2 6" xfId="18171"/>
    <cellStyle name="Warning Text 3" xfId="885"/>
    <cellStyle name="Warning Text 3 2" xfId="18172"/>
    <cellStyle name="Warning Text 3 2 2" xfId="18173"/>
    <cellStyle name="Warning Text 3 3" xfId="18174"/>
    <cellStyle name="Warning Text 3 3 2" xfId="18175"/>
    <cellStyle name="Warning Text 3 3 2 2" xfId="18176"/>
    <cellStyle name="Warning Text 3 3 3" xfId="18177"/>
    <cellStyle name="Warning Text 3 4" xfId="18178"/>
    <cellStyle name="Warning Text 3 4 2" xfId="18179"/>
    <cellStyle name="Warning Text 3 5" xfId="18180"/>
    <cellStyle name="Warning Text 4" xfId="886"/>
    <cellStyle name="Warning Text 4 2" xfId="18181"/>
    <cellStyle name="Warning Text 4 2 2" xfId="18182"/>
    <cellStyle name="Warning Text 4 3" xfId="18183"/>
    <cellStyle name="Warning Text 4 3 2" xfId="18184"/>
    <cellStyle name="Warning Text 4 4" xfId="18185"/>
    <cellStyle name="Warning Text 5" xfId="18186"/>
    <cellStyle name="Warning Text 5 2" xfId="18187"/>
    <cellStyle name="Warning Text 5 2 2" xfId="18188"/>
    <cellStyle name="Warning Text 5 3" xfId="18189"/>
    <cellStyle name="Warning Text 6" xfId="18190"/>
    <cellStyle name="Warning Text 6 2" xfId="18191"/>
    <cellStyle name="Warning Text 6 2 2" xfId="18192"/>
    <cellStyle name="Warning Text 6 3" xfId="18193"/>
    <cellStyle name="Year" xfId="18194"/>
    <cellStyle name="Year 2" xfId="18195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mruColors>
      <color rgb="FF005B70"/>
      <color rgb="FFFF9933"/>
      <color rgb="FF0000FF"/>
      <color rgb="FF002F3A"/>
      <color rgb="FFFF0066"/>
      <color rgb="FF00FF00"/>
      <color rgb="FF00FFFF"/>
      <color rgb="FFCCFF33"/>
      <color rgb="FFCC00FF"/>
      <color rgb="FFDBD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20.xml"/><Relationship Id="rId47" Type="http://schemas.openxmlformats.org/officeDocument/2006/relationships/externalLink" Target="externalLinks/externalLink25.xml"/><Relationship Id="rId63" Type="http://schemas.openxmlformats.org/officeDocument/2006/relationships/externalLink" Target="externalLinks/externalLink41.xml"/><Relationship Id="rId68" Type="http://schemas.openxmlformats.org/officeDocument/2006/relationships/externalLink" Target="externalLinks/externalLink46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53" Type="http://schemas.openxmlformats.org/officeDocument/2006/relationships/externalLink" Target="externalLinks/externalLink31.xml"/><Relationship Id="rId58" Type="http://schemas.openxmlformats.org/officeDocument/2006/relationships/externalLink" Target="externalLinks/externalLink36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externalLink" Target="externalLinks/externalLink26.xml"/><Relationship Id="rId56" Type="http://schemas.openxmlformats.org/officeDocument/2006/relationships/externalLink" Target="externalLinks/externalLink34.xml"/><Relationship Id="rId64" Type="http://schemas.openxmlformats.org/officeDocument/2006/relationships/externalLink" Target="externalLinks/externalLink42.xml"/><Relationship Id="rId69" Type="http://schemas.openxmlformats.org/officeDocument/2006/relationships/externalLink" Target="externalLinks/externalLink47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9.xml"/><Relationship Id="rId72" Type="http://schemas.openxmlformats.org/officeDocument/2006/relationships/externalLink" Target="externalLinks/externalLink50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24.xml"/><Relationship Id="rId59" Type="http://schemas.openxmlformats.org/officeDocument/2006/relationships/externalLink" Target="externalLinks/externalLink37.xml"/><Relationship Id="rId67" Type="http://schemas.openxmlformats.org/officeDocument/2006/relationships/externalLink" Target="externalLinks/externalLink4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Relationship Id="rId54" Type="http://schemas.openxmlformats.org/officeDocument/2006/relationships/externalLink" Target="externalLinks/externalLink32.xml"/><Relationship Id="rId62" Type="http://schemas.openxmlformats.org/officeDocument/2006/relationships/externalLink" Target="externalLinks/externalLink40.xml"/><Relationship Id="rId70" Type="http://schemas.openxmlformats.org/officeDocument/2006/relationships/externalLink" Target="externalLinks/externalLink48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externalLink" Target="externalLinks/externalLink27.xml"/><Relationship Id="rId57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externalLink" Target="externalLinks/externalLink30.xml"/><Relationship Id="rId60" Type="http://schemas.openxmlformats.org/officeDocument/2006/relationships/externalLink" Target="externalLinks/externalLink38.xml"/><Relationship Id="rId65" Type="http://schemas.openxmlformats.org/officeDocument/2006/relationships/externalLink" Target="externalLinks/externalLink43.xml"/><Relationship Id="rId73" Type="http://schemas.openxmlformats.org/officeDocument/2006/relationships/externalLink" Target="externalLinks/externalLink51.xml"/><Relationship Id="rId78" Type="http://schemas.openxmlformats.org/officeDocument/2006/relationships/customXml" Target="../customXml/item1.xml"/><Relationship Id="rId8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28.xml"/><Relationship Id="rId55" Type="http://schemas.openxmlformats.org/officeDocument/2006/relationships/externalLink" Target="externalLinks/externalLink33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.xml"/><Relationship Id="rId40" Type="http://schemas.openxmlformats.org/officeDocument/2006/relationships/externalLink" Target="externalLinks/externalLink18.xml"/><Relationship Id="rId45" Type="http://schemas.openxmlformats.org/officeDocument/2006/relationships/externalLink" Target="externalLinks/externalLink23.xml"/><Relationship Id="rId66" Type="http://schemas.openxmlformats.org/officeDocument/2006/relationships/externalLink" Target="externalLinks/externalLink4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init/I.%202017%20GRC%20Barnard%20direct%20workpapers%20PSE%2001-13-2017/6.15E%20&amp;%206.15G%20Pension%20Plan%2017GRC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z%206.15E%20&amp;%206.15G%20Pension%20Plan%2017GRC%20(Modified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z%206.19E%20&amp;%206.19G%20Environmental%2017GRC%20(Modified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5.03%20E&amp;G%20RB%20-%205.04%20E&amp;G%20WC%2017GRC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7.06E%20Reg%20Assets%20&amp;%20Liab%2017GRC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02E%20&amp;%203.02G%20Cost%20of%20Capital%2017GRC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&amp;%203.03G%20Conversion%20Factor%2017GRC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6.04E%20Federal%20Income%20Tax%2017GRC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6.07E%20&amp;%206.07G%20Inj%20&amp;%20Damages%20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6.10E%20&amp;%206.10G%20D&amp;O%20Ins%2017GRC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6.11E%20&amp;%206.11G%20Int%20on%20Cust%20Dep%2017GRC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6.13E%20Def'd%20Gains%20&amp;%20Loss%2017GRC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6.14E%20&amp;%206.14G%20Prop%20&amp;%20Liab%20Ins%2017GRC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6.22E%20&amp;%206.22G%20WUTC%20Filing%20Fee%20-%20Excise%20Tax%2017GRC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6.03E%20Pass%20Thru%20Rev%20&amp;%20Exp%2017GRC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6.08E%20Bad%20Debt%2017GRC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6.09E%20&amp;%206.09G%20Incentive%20Pay%2017GRC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6.16E%20&amp;%206.16G%20Wage%20Incr%2017GRC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6.17E%20&amp;%206.17G%20%20Investment%20Plan%2017GR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6.18E%20&amp;%206.18G%20Employee%20Ins%2017GRC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6.20E%20&amp;%206.20G%20Payment%20Processing%20Costs%2017GRC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init/I.%202017%20GRC%20Barnard%20direct%20workpapers%20PSE%2001-13-2017/5.03%20E&amp;G%20RB%20-%205.04%20E&amp;G%20WC%2017GRC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6.01E%20Rev%20&amp;%20Exp%2017GRC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6.02E%20Temp%20Norm%2017GRC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6.12E%20&amp;%206.12G%20Rate%20Case%20Exp%2017GRC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6.21E%20&amp;%206.21G%20South%20King%20Ser%20Cen%2017GRC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UE-170033-UG-170034__Exh.%20No.%20BGM-6_B.%20Mullins%20(ICNU-NWIGU)%20(6.30.17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7.02E%20Montana%20Energy%20Tax%2017GRC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7.13E%20Production%20Factor%2017GR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7.07E%20Glacier%20Battery%2017GRC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7.09E%20Goldendale%20Capacity%20Upgrade%2017GRC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7.11E%20White%20River%2017GR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7.12E%20HydroTreas%20Grants%20RB%20Reclass%2017GRC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7.03E%20Wild%20Horse%20Solar%2017GRC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7.05E%20Storm%20Damage%2017GRC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7.08E%20EIM%2017GRC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7.10E%20Mint%20Farm%20Capacity%20Upgrade%2017GRC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5.07E%20TY%20Power%20Costs%2017GRC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5.06E%20TY%20Production%20Ratebase%2017GRC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5.08E%20TY%20Transmission%20Ratebase%2017GR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8%20-%20UE-160228%202016%20GRC/dir/_xls/Exh.%20No.%20BGM-5%20-%20Pro%20Forma%2009.2015%20WA%20Electric%20Mode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init/I.%202017%20GRC%20Barnard%20direct%20workpapers%20PSE%2001-13-2017/%23Electric%20Model%202017%20GR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z%206.06E%20Depr%20Study%2017GRC%20(Modifi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heet1"/>
      <sheetName val="Alloc. Method"/>
    </sheetNames>
    <sheetDataSet>
      <sheetData sheetId="0">
        <row r="17">
          <cell r="F17">
            <v>1822992.9925739774</v>
          </cell>
        </row>
      </sheetData>
      <sheetData sheetId="1">
        <row r="17">
          <cell r="F17">
            <v>880140.1518121101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heet1"/>
      <sheetName val="Alloc. Method"/>
    </sheetNames>
    <sheetDataSet>
      <sheetData sheetId="0">
        <row r="14">
          <cell r="C14">
            <v>6111576.3846948147</v>
          </cell>
          <cell r="D14">
            <v>4681488.0878659077</v>
          </cell>
        </row>
        <row r="17">
          <cell r="F17">
            <v>-1430088.296828907</v>
          </cell>
        </row>
      </sheetData>
      <sheetData sheetId="1">
        <row r="14">
          <cell r="C14">
            <v>2950666.1786130364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JKR-3 E"/>
      <sheetName val="JKR-3 G"/>
      <sheetName val="Future Costs"/>
    </sheetNames>
    <sheetDataSet>
      <sheetData sheetId="0">
        <row r="19">
          <cell r="C19">
            <v>9596412.3000000007</v>
          </cell>
        </row>
        <row r="24">
          <cell r="C24">
            <v>-5344209.3900000006</v>
          </cell>
        </row>
        <row r="27">
          <cell r="J27">
            <v>-572136.46737016202</v>
          </cell>
        </row>
      </sheetData>
      <sheetData sheetId="1">
        <row r="19">
          <cell r="C19">
            <v>72192483.439999983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Unallocated Detail"/>
      <sheetName val="Common by Account "/>
      <sheetName val="Detail"/>
      <sheetName val="UIP Summary"/>
      <sheetName val="Reclass"/>
      <sheetName val="12 ME Q2"/>
      <sheetName val="allocation factors"/>
    </sheetNames>
    <sheetDataSet>
      <sheetData sheetId="0">
        <row r="9">
          <cell r="B9">
            <v>2146048308.1900001</v>
          </cell>
        </row>
        <row r="10">
          <cell r="B10">
            <v>324382.2</v>
          </cell>
        </row>
        <row r="11">
          <cell r="B11">
            <v>201125741.739999</v>
          </cell>
        </row>
        <row r="12">
          <cell r="B12">
            <v>47841338.950000003</v>
          </cell>
        </row>
        <row r="18">
          <cell r="B18">
            <v>235002886.5</v>
          </cell>
        </row>
        <row r="19">
          <cell r="B19">
            <v>532346459.37</v>
          </cell>
        </row>
        <row r="20">
          <cell r="B20">
            <v>113800193.219999</v>
          </cell>
        </row>
        <row r="21">
          <cell r="B21">
            <v>-69268219.669999897</v>
          </cell>
        </row>
        <row r="24">
          <cell r="B24">
            <v>125897437.02</v>
          </cell>
        </row>
        <row r="25">
          <cell r="B25">
            <v>20270050.379999898</v>
          </cell>
        </row>
        <row r="26">
          <cell r="B26">
            <v>83356029.179999903</v>
          </cell>
        </row>
        <row r="27">
          <cell r="B27">
            <v>47600166.421824999</v>
          </cell>
        </row>
        <row r="28">
          <cell r="B28">
            <v>19829127.240927998</v>
          </cell>
        </row>
        <row r="29">
          <cell r="B29">
            <v>97566974.959999993</v>
          </cell>
        </row>
        <row r="30">
          <cell r="B30">
            <v>114599758.581515</v>
          </cell>
        </row>
        <row r="31">
          <cell r="B31">
            <v>268356984.80397999</v>
          </cell>
        </row>
        <row r="32">
          <cell r="B32">
            <v>45684974.945897996</v>
          </cell>
        </row>
        <row r="33">
          <cell r="B33">
            <v>20604866.16</v>
          </cell>
        </row>
        <row r="34">
          <cell r="B34">
            <v>-9997193.5551139992</v>
          </cell>
        </row>
        <row r="35">
          <cell r="B35">
            <v>-64111667.629999898</v>
          </cell>
        </row>
        <row r="36">
          <cell r="B36">
            <v>230800256.78218898</v>
          </cell>
        </row>
        <row r="37">
          <cell r="B37">
            <v>800</v>
          </cell>
        </row>
        <row r="38">
          <cell r="B38">
            <v>181996914.66999999</v>
          </cell>
        </row>
      </sheetData>
      <sheetData sheetId="1"/>
      <sheetData sheetId="2"/>
      <sheetData sheetId="3"/>
      <sheetData sheetId="4">
        <row r="235">
          <cell r="G235">
            <v>2828141.4334780001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GRB"/>
      <sheetName val="E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</sheetNames>
    <sheetDataSet>
      <sheetData sheetId="0"/>
      <sheetData sheetId="1">
        <row r="19">
          <cell r="D19">
            <v>3545031363</v>
          </cell>
        </row>
      </sheetData>
      <sheetData sheetId="2">
        <row r="91">
          <cell r="D91">
            <v>9760401506.5440865</v>
          </cell>
        </row>
        <row r="92">
          <cell r="D92">
            <v>-3743804806.4787149</v>
          </cell>
        </row>
        <row r="93">
          <cell r="D93">
            <v>253258620.21125004</v>
          </cell>
        </row>
        <row r="94">
          <cell r="D94">
            <v>-1263932467.6059232</v>
          </cell>
        </row>
        <row r="95">
          <cell r="D95">
            <v>227005241.70228952</v>
          </cell>
        </row>
        <row r="96">
          <cell r="D96">
            <v>-79723632.787103415</v>
          </cell>
        </row>
      </sheetData>
      <sheetData sheetId="3"/>
      <sheetData sheetId="4">
        <row r="1422">
          <cell r="D1422">
            <v>117980225.48999999</v>
          </cell>
        </row>
      </sheetData>
      <sheetData sheetId="5">
        <row r="11">
          <cell r="I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BEP 2006 GRC"/>
      <sheetName val="BNP"/>
      <sheetName val="FB Energy"/>
      <sheetName val="$89M Chelan PUD"/>
      <sheetName val="Mint Farm Def"/>
      <sheetName val="Colstrip 1&amp;2 Prepaid"/>
      <sheetName val="$18.5M Chelan"/>
      <sheetName val="Chelan PUD"/>
      <sheetName val="FERC PART 12 STUDY (Baker)"/>
      <sheetName val="LSR Prepaid carrying charges "/>
      <sheetName val="LSR Deferral 4yrs"/>
      <sheetName val="LSR Prepaid Principal"/>
      <sheetName val="LSR Prepaid BPA interest"/>
      <sheetName val="LSR Prepaid Bill Credits"/>
      <sheetName val="BPA Statement"/>
      <sheetName val="Snoq"/>
      <sheetName val="Baker"/>
      <sheetName val="Ferndale"/>
      <sheetName val="T-Grant Baker Deferral"/>
      <sheetName val="T-Grant Snoq Deferral"/>
      <sheetName val="Electron Deferral"/>
      <sheetName val="RB-IS by FERC"/>
    </sheetNames>
    <sheetDataSet>
      <sheetData sheetId="0" refreshError="1"/>
      <sheetData sheetId="1" refreshError="1"/>
      <sheetData sheetId="2" refreshError="1"/>
      <sheetData sheetId="3" refreshError="1">
        <row r="14">
          <cell r="B14" t="str">
            <v>BEP</v>
          </cell>
          <cell r="C14">
            <v>2930264.5350000057</v>
          </cell>
          <cell r="D14">
            <v>0</v>
          </cell>
        </row>
        <row r="15">
          <cell r="B15" t="str">
            <v>WESTCOAST PIPELINE CAPACITY - UE-082013 (FB ENERGY)</v>
          </cell>
          <cell r="C15">
            <v>-658518.54083333327</v>
          </cell>
          <cell r="D15">
            <v>-88510.49771296572</v>
          </cell>
        </row>
        <row r="16">
          <cell r="B16" t="str">
            <v>WESTCOAST PIPELINE CAPACITY - UE-100503 (BNP PARIBUS)</v>
          </cell>
          <cell r="C16">
            <v>-902764.31833333336</v>
          </cell>
          <cell r="D16">
            <v>-121339.24959547223</v>
          </cell>
        </row>
        <row r="17">
          <cell r="B17" t="str">
            <v>MINT FARM DEFFRED - UE-090704 (FERC 407.3)</v>
          </cell>
          <cell r="C17">
            <v>16769498.08</v>
          </cell>
          <cell r="D17">
            <v>12550110.290861849</v>
          </cell>
        </row>
        <row r="18">
          <cell r="B18" t="str">
            <v>CHELAN PUD</v>
          </cell>
          <cell r="C18">
            <v>96067432.909166694</v>
          </cell>
          <cell r="D18">
            <v>82196760.579333305</v>
          </cell>
        </row>
        <row r="19">
          <cell r="B19" t="str">
            <v xml:space="preserve">CHELAN - ROCK ISLAND SECURITY DEPOSIT </v>
          </cell>
          <cell r="C19">
            <v>18500000</v>
          </cell>
          <cell r="D19">
            <v>18500000</v>
          </cell>
        </row>
        <row r="20">
          <cell r="B20" t="str">
            <v>COLSTRIP 1&amp;2 (WECo) PREPAYMENT</v>
          </cell>
          <cell r="C20">
            <v>1874999.78</v>
          </cell>
          <cell r="D20">
            <v>750000.00000000524</v>
          </cell>
        </row>
        <row r="21">
          <cell r="B21" t="str">
            <v>FERC PART 12 STUDY NON-CONSTRUCTION COSTS UE-070074 (FERC 407)</v>
          </cell>
          <cell r="C21">
            <v>180950.83</v>
          </cell>
          <cell r="D21">
            <v>0</v>
          </cell>
        </row>
        <row r="22">
          <cell r="B22" t="str">
            <v>LOWER SNAKE RIVER PP TRANSM PRINCIPAL $99.8M</v>
          </cell>
          <cell r="C22">
            <v>68955037.953333333</v>
          </cell>
          <cell r="D22">
            <v>60863794.047865629</v>
          </cell>
        </row>
        <row r="23">
          <cell r="B23" t="str">
            <v>CARRYING CHARGES ON LSR PP TRANSM $99.8M (FERC 407.3)</v>
          </cell>
          <cell r="C23">
            <v>9472052.8500000015</v>
          </cell>
          <cell r="D23">
            <v>8466701.2744743638</v>
          </cell>
        </row>
        <row r="24">
          <cell r="B24" t="str">
            <v>LOWER SNAKE RIVER PLANT DEFERRAL $18.3M  (FERC 407.3)</v>
          </cell>
          <cell r="C24">
            <v>497611.72500000009</v>
          </cell>
          <cell r="D24">
            <v>0.16838636322063394</v>
          </cell>
        </row>
        <row r="25">
          <cell r="B25" t="str">
            <v>BAKER LICENSE UPGRADE DEFERRAL (2013 PCORC) (FERC 407.3)</v>
          </cell>
          <cell r="C25">
            <v>1130665.8299999996</v>
          </cell>
          <cell r="D25">
            <v>151971.71732166281</v>
          </cell>
        </row>
        <row r="26">
          <cell r="B26" t="str">
            <v>SNOQUALMIE LICENSE UPGRADE DEFERRAL (2013 PCORC) (FERC 407.3)</v>
          </cell>
          <cell r="C26">
            <v>4439919.72</v>
          </cell>
          <cell r="D26">
            <v>596763.95810137875</v>
          </cell>
        </row>
        <row r="27">
          <cell r="B27" t="str">
            <v>FERNDALE DEFERRAL (2013 PCORC) (FERC 407.3)</v>
          </cell>
          <cell r="C27">
            <v>10528816.84</v>
          </cell>
          <cell r="D27">
            <v>3917699.507429909</v>
          </cell>
        </row>
        <row r="28">
          <cell r="B28" t="str">
            <v>BAKER TREASURY GRANT DEFERRAL (2014 PCORC) (FERC 407.4)</v>
          </cell>
          <cell r="C28">
            <v>-806046.15000000014</v>
          </cell>
          <cell r="D28">
            <v>-108339.16201768839</v>
          </cell>
        </row>
        <row r="29">
          <cell r="B29" t="str">
            <v>SNOQUALMIE TREASURY GRANT DEFERRAL (2014 PCORC) (FERC 407.4)</v>
          </cell>
          <cell r="C29">
            <v>-2784431.6500000004</v>
          </cell>
          <cell r="D29">
            <v>-374251.50670083519</v>
          </cell>
        </row>
        <row r="30">
          <cell r="B30" t="str">
            <v>ELECTRON UNRECOVERED COST (2014 PCORC) (FERC 407.3)</v>
          </cell>
          <cell r="C30">
            <v>6319201.1350000016</v>
          </cell>
          <cell r="D30">
            <v>1128003.9151666719</v>
          </cell>
        </row>
        <row r="36">
          <cell r="B36" t="str">
            <v>BEP</v>
          </cell>
        </row>
        <row r="37">
          <cell r="B37" t="str">
            <v>WESTCOAST PIPELINE CAPACITY - UE-082013 (FB ENERGY)</v>
          </cell>
        </row>
        <row r="38">
          <cell r="B38" t="str">
            <v>WESTCOAST PIPELINE CAPACITY - UE-100503 (BNP PARIBUS)</v>
          </cell>
        </row>
        <row r="39">
          <cell r="B39" t="str">
            <v>MINT FARM DEFFRED - UE-090704 (FERC 407.3)</v>
          </cell>
          <cell r="C39">
            <v>2885052</v>
          </cell>
          <cell r="D39">
            <v>2885052</v>
          </cell>
        </row>
        <row r="40">
          <cell r="B40" t="str">
            <v>CHELAN PUD</v>
          </cell>
        </row>
        <row r="41">
          <cell r="B41" t="str">
            <v>COLSTRIP 1&amp;2 (WECo) PREPAYMENT</v>
          </cell>
        </row>
        <row r="42">
          <cell r="B42" t="str">
            <v>FERC PART 12 STUDY NON-CONSTRUCTION COSTS UE-070074 (FERC 407)</v>
          </cell>
          <cell r="C42">
            <v>241268.10200000007</v>
          </cell>
          <cell r="D42">
            <v>0</v>
          </cell>
        </row>
        <row r="43">
          <cell r="B43" t="str">
            <v>LOWER SNAKE RIVER PP TRANSM PRINCIPAL $99.8M</v>
          </cell>
        </row>
        <row r="44">
          <cell r="B44" t="str">
            <v>CARRYING CHARGES ON LSR PP TRANSM $99.8M (FERC 407.3)</v>
          </cell>
          <cell r="C44">
            <v>687420</v>
          </cell>
          <cell r="D44">
            <v>687420</v>
          </cell>
        </row>
        <row r="45">
          <cell r="B45" t="str">
            <v>LOWER SNAKE RIVER PLANT DEFERRAL $18.3M  (FERC 407.3)</v>
          </cell>
          <cell r="C45">
            <v>2624776.7668181919</v>
          </cell>
          <cell r="D45">
            <v>0</v>
          </cell>
        </row>
        <row r="46">
          <cell r="B46" t="str">
            <v>BAKER LICENSE UPGRADE DEFERRAL (2013 PCORC) (FERC 407.3)</v>
          </cell>
          <cell r="C46">
            <v>673351.60905598255</v>
          </cell>
          <cell r="D46">
            <v>561126.34087998548</v>
          </cell>
        </row>
        <row r="47">
          <cell r="B47" t="str">
            <v>SNOQUALMIE LICENSE UPGRADE DEFERRAL (2013 PCORC) (FERC 407.3)</v>
          </cell>
          <cell r="C47">
            <v>2644123.3835876156</v>
          </cell>
          <cell r="D47">
            <v>2203436.1529896799</v>
          </cell>
        </row>
        <row r="48">
          <cell r="B48" t="str">
            <v>FERNDALE DEFERRAL (2013 PCORC) (FERC 407.3)</v>
          </cell>
          <cell r="C48">
            <v>4520422.508572978</v>
          </cell>
          <cell r="D48">
            <v>4520422.508572978</v>
          </cell>
        </row>
        <row r="49">
          <cell r="B49" t="str">
            <v>BAKER TREASURY GRANT DEFERRAL (2014 PCORC) (FERC 407.4)</v>
          </cell>
          <cell r="C49">
            <v>-480025.82555530063</v>
          </cell>
          <cell r="D49">
            <v>-400021.52129608387</v>
          </cell>
        </row>
        <row r="50">
          <cell r="B50" t="str">
            <v>SNOQUALMIE TREASURY GRANT DEFERRAL (2014 PCORC) (FERC 407.4)</v>
          </cell>
          <cell r="C50">
            <v>-1658222.0604590874</v>
          </cell>
          <cell r="D50">
            <v>-1381851.7170492394</v>
          </cell>
        </row>
        <row r="51">
          <cell r="B51" t="str">
            <v>ELECTRON UNRECOVERED COST (2014 PCORC) (FERC 407.3)</v>
          </cell>
          <cell r="C51">
            <v>3394820.4299999997</v>
          </cell>
          <cell r="D51">
            <v>3786307.8400000003</v>
          </cell>
        </row>
        <row r="64">
          <cell r="C64">
            <v>-58945766.064063393</v>
          </cell>
        </row>
        <row r="65">
          <cell r="C65">
            <v>14860439.578644209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8">
          <cell r="J9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 CofCap"/>
    </sheetNames>
    <sheetDataSet>
      <sheetData sheetId="0">
        <row r="21">
          <cell r="D21">
            <v>0.51500000000000001</v>
          </cell>
          <cell r="E21">
            <v>5.8058252427184473E-2</v>
          </cell>
        </row>
        <row r="22">
          <cell r="D22">
            <v>0.48499999999999999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E"/>
      <sheetName val="3.05 G"/>
      <sheetName val="Annual Filing Fee"/>
      <sheetName val="Pub Util Tax"/>
    </sheetNames>
    <sheetDataSet>
      <sheetData sheetId="0">
        <row r="14">
          <cell r="E14">
            <v>7.1570000000000002E-3</v>
          </cell>
        </row>
        <row r="15">
          <cell r="E15">
            <v>2E-3</v>
          </cell>
        </row>
        <row r="16">
          <cell r="D16">
            <v>3.8733999999999998E-2</v>
          </cell>
        </row>
      </sheetData>
      <sheetData sheetId="1">
        <row r="14">
          <cell r="E14">
            <v>2E-3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ept 16 Elect GRC"/>
      <sheetName val="IS Allocated"/>
      <sheetName val="Account 4101 "/>
      <sheetName val="Account 4111"/>
    </sheetNames>
    <sheetDataSet>
      <sheetData sheetId="0">
        <row r="12">
          <cell r="D12">
            <v>413817759.0187788</v>
          </cell>
        </row>
        <row r="17">
          <cell r="D17">
            <v>64183937.829999998</v>
          </cell>
        </row>
        <row r="24">
          <cell r="C24">
            <v>581832300.8599999</v>
          </cell>
        </row>
        <row r="25">
          <cell r="C25">
            <v>-399835386.18000001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12ME 925 Group 9-2016"/>
      <sheetName val="ZO12 12ME 925 Group 9-2015"/>
      <sheetName val="ZO12 12ME 925 Group 9-2014"/>
      <sheetName val="Alloc. Methods 6-2015"/>
      <sheetName val="Alloc. Methods 6-2014"/>
    </sheetNames>
    <sheetDataSet>
      <sheetData sheetId="0">
        <row r="13">
          <cell r="C13">
            <v>162500</v>
          </cell>
          <cell r="D13">
            <v>76666.666666666672</v>
          </cell>
        </row>
        <row r="14">
          <cell r="C14">
            <v>300359.45390300005</v>
          </cell>
          <cell r="D14">
            <v>279442.50856566668</v>
          </cell>
        </row>
      </sheetData>
      <sheetData sheetId="1">
        <row r="13">
          <cell r="C13">
            <v>190500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Utility-Non-utility"/>
      <sheetName val="3.04 &amp; 4.04 Lead"/>
      <sheetName val="Sheet5"/>
    </sheetNames>
    <sheetDataSet>
      <sheetData sheetId="0">
        <row r="12">
          <cell r="C12">
            <v>117054.47314375022</v>
          </cell>
          <cell r="D12">
            <v>92221.976429313785</v>
          </cell>
        </row>
      </sheetData>
      <sheetData sheetId="1">
        <row r="12">
          <cell r="C12">
            <v>84381.550163340158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Gas"/>
      <sheetName val="Change in InterestElec"/>
      <sheetName val="SAP"/>
      <sheetName val="E&amp;G Split"/>
      <sheetName val="2016PO "/>
      <sheetName val="2015PO"/>
      <sheetName val=" Nov-Dec 2013"/>
      <sheetName val=" Jul - Oct 2013"/>
      <sheetName val="2015IntRates"/>
      <sheetName val="2016IntRates"/>
      <sheetName val="Balance Calculation"/>
    </sheetNames>
    <sheetDataSet>
      <sheetData sheetId="0">
        <row r="13">
          <cell r="D13">
            <v>108170.94876945516</v>
          </cell>
        </row>
      </sheetData>
      <sheetData sheetId="1">
        <row r="13">
          <cell r="D13">
            <v>30708.659753503118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Rate Year - Electric"/>
      <sheetName val="Charged to IS - Elec "/>
      <sheetName val="Acct 18700041 "/>
    </sheetNames>
    <sheetDataSet>
      <sheetData sheetId="0">
        <row r="14">
          <cell r="C14">
            <v>1736007.1099999975</v>
          </cell>
        </row>
        <row r="15">
          <cell r="C15">
            <v>-353278.49999999959</v>
          </cell>
        </row>
        <row r="18">
          <cell r="C18">
            <v>-4002173.9600000004</v>
          </cell>
        </row>
        <row r="19">
          <cell r="C19">
            <v>328215.27999999997</v>
          </cell>
        </row>
        <row r="26">
          <cell r="C26">
            <v>-500359.08000000007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"/>
      <sheetName val="Freddy1 Ins"/>
      <sheetName val="Colstrip Ins "/>
      <sheetName val="Alloc Factors for calc"/>
    </sheetNames>
    <sheetDataSet>
      <sheetData sheetId="0">
        <row r="11">
          <cell r="C11">
            <v>4178643.7106927508</v>
          </cell>
          <cell r="D11">
            <v>4124900.4153809994</v>
          </cell>
        </row>
        <row r="12">
          <cell r="C12">
            <v>2006229.4154838233</v>
          </cell>
          <cell r="D12">
            <v>1958207.9099557111</v>
          </cell>
        </row>
      </sheetData>
      <sheetData sheetId="1">
        <row r="11">
          <cell r="C11">
            <v>243605.91699100003</v>
          </cell>
        </row>
      </sheetData>
      <sheetData sheetId="2"/>
      <sheetData sheetId="3"/>
      <sheetData sheetId="4"/>
      <sheetData sheetId="5"/>
      <sheetData sheetId="6">
        <row r="40">
          <cell r="D40">
            <v>2763777.09</v>
          </cell>
        </row>
      </sheetData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"/>
      <sheetName val="Sept 16 Ex Tax Trued Up in Oct"/>
      <sheetName val="TY Filing Fee"/>
      <sheetName val="E Filing Fee Restated"/>
      <sheetName val="G Filing Fee Restated"/>
      <sheetName val="IS Sept 2016"/>
      <sheetName val="Order Group 456"/>
    </sheetNames>
    <sheetDataSet>
      <sheetData sheetId="0">
        <row r="12">
          <cell r="C12">
            <v>84291892.014198005</v>
          </cell>
          <cell r="D12">
            <v>84328016.972460017</v>
          </cell>
        </row>
        <row r="13">
          <cell r="C13">
            <v>4386765.2</v>
          </cell>
          <cell r="D13">
            <v>4334851.9246400008</v>
          </cell>
        </row>
      </sheetData>
      <sheetData sheetId="1">
        <row r="12">
          <cell r="C12">
            <v>33506393.815802004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Revised Rev Req Summary"/>
      <sheetName val="Sch 140 Prop Taxes"/>
      <sheetName val="Expense Orders"/>
      <sheetName val="Conv Factor"/>
    </sheetNames>
    <sheetDataSet>
      <sheetData sheetId="0">
        <row r="11">
          <cell r="E11">
            <v>102287066.92</v>
          </cell>
        </row>
        <row r="12">
          <cell r="E12">
            <v>58785500.5</v>
          </cell>
        </row>
        <row r="13">
          <cell r="E13">
            <v>84690569.569999993</v>
          </cell>
        </row>
        <row r="14">
          <cell r="E14">
            <v>13257.679999999998</v>
          </cell>
        </row>
        <row r="15">
          <cell r="E15">
            <v>17088658.920000002</v>
          </cell>
        </row>
        <row r="16">
          <cell r="E16">
            <v>-72579362.799999982</v>
          </cell>
        </row>
        <row r="17">
          <cell r="E17">
            <v>-2081681.16</v>
          </cell>
        </row>
        <row r="18">
          <cell r="E18">
            <v>1841461.71</v>
          </cell>
        </row>
        <row r="19">
          <cell r="E19">
            <v>4599593.6399999997</v>
          </cell>
        </row>
        <row r="20">
          <cell r="E20">
            <v>-1563408.86</v>
          </cell>
        </row>
        <row r="21">
          <cell r="E21">
            <v>-257285.07999999996</v>
          </cell>
        </row>
        <row r="31">
          <cell r="E31">
            <v>-97540765.159999996</v>
          </cell>
        </row>
        <row r="32">
          <cell r="E32">
            <v>-55961766.059999995</v>
          </cell>
        </row>
        <row r="33">
          <cell r="E33">
            <v>-80920052.489999995</v>
          </cell>
        </row>
        <row r="34">
          <cell r="E34">
            <v>-16296500.52</v>
          </cell>
        </row>
        <row r="35">
          <cell r="E35">
            <v>69268219.670000002</v>
          </cell>
        </row>
        <row r="36">
          <cell r="E36">
            <v>138514.25</v>
          </cell>
        </row>
        <row r="37">
          <cell r="E37">
            <v>-979067.74</v>
          </cell>
        </row>
        <row r="38">
          <cell r="E38">
            <v>-41429.58</v>
          </cell>
        </row>
        <row r="39">
          <cell r="E39">
            <v>-11150.8</v>
          </cell>
        </row>
        <row r="40">
          <cell r="E40">
            <v>226820.57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3-YR AVERAGE-ELEC"/>
      <sheetName val="NetWriteoffs-Elec"/>
      <sheetName val="BS Acct-Elec"/>
      <sheetName val="SOE 12ME 5-2012"/>
      <sheetName val="SOE 12ME 5-2013"/>
      <sheetName val="SOE 12ME 5-2014"/>
      <sheetName val="SOE 12ME 5-2015"/>
      <sheetName val="SOE 12ME 5-2016"/>
      <sheetName val="904E Uncollectible 5YE 9-2016"/>
    </sheetNames>
    <sheetDataSet>
      <sheetData sheetId="0">
        <row r="14">
          <cell r="B14" t="str">
            <v>12 ME 9/30/2013 AND 5/31/2013</v>
          </cell>
          <cell r="C14">
            <v>13270215.639999984</v>
          </cell>
          <cell r="D14">
            <v>2127321374.8900001</v>
          </cell>
          <cell r="E14">
            <v>29723813.52</v>
          </cell>
          <cell r="F14">
            <v>3626759.2399999974</v>
          </cell>
          <cell r="G14">
            <v>352508.76</v>
          </cell>
        </row>
        <row r="15">
          <cell r="B15" t="str">
            <v>12 ME 9/30/2015 AND 5/31/2015</v>
          </cell>
          <cell r="C15">
            <v>13381338.190000001</v>
          </cell>
          <cell r="D15">
            <v>2006366630.26</v>
          </cell>
          <cell r="E15">
            <v>33059229.91</v>
          </cell>
          <cell r="F15">
            <v>65827878.809999995</v>
          </cell>
          <cell r="G15">
            <v>321888.03000000003</v>
          </cell>
        </row>
        <row r="16">
          <cell r="B16" t="str">
            <v>12 ME 9/30/2016 AND 5/31/2016</v>
          </cell>
          <cell r="C16">
            <v>17507852.960000001</v>
          </cell>
          <cell r="D16">
            <v>2204873602.5399995</v>
          </cell>
          <cell r="E16">
            <v>51568623.43</v>
          </cell>
          <cell r="F16">
            <v>-4047083.2700000033</v>
          </cell>
          <cell r="G16">
            <v>323282.82</v>
          </cell>
        </row>
        <row r="20">
          <cell r="D20">
            <v>2395339771.079999</v>
          </cell>
          <cell r="E20">
            <v>201125741.739999</v>
          </cell>
          <cell r="F20">
            <v>47841338.950000003</v>
          </cell>
          <cell r="G20">
            <v>324382.2</v>
          </cell>
        </row>
        <row r="26">
          <cell r="H26">
            <v>16407059.630000001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Incntv Pay - Allocated Electric"/>
      <sheetName val="Incntv Pay - Allocated Gas"/>
      <sheetName val="Electric wage increase ratios"/>
      <sheetName val="Gas wage increase ratios"/>
      <sheetName val="4 Yr Avg 2016 "/>
      <sheetName val="Report 2016"/>
      <sheetName val="4 Year Avg 2012"/>
      <sheetName val="4 Year Avg 2011"/>
      <sheetName val="4 Year Avg 2010"/>
      <sheetName val="Incent &amp; Related PR Tax - TY"/>
      <sheetName val="Manual Clearing"/>
      <sheetName val="Alloc Methods"/>
      <sheetName val="Total Payroll Taxes"/>
      <sheetName val="Payroll Taxes DL"/>
      <sheetName val="SAP DL"/>
      <sheetName val="PR Taxes Alloc"/>
      <sheetName val="Incentive Alloc"/>
    </sheetNames>
    <sheetDataSet>
      <sheetData sheetId="0">
        <row r="13">
          <cell r="C13">
            <v>330277.21861834492</v>
          </cell>
          <cell r="D13">
            <v>323610.34041521908</v>
          </cell>
        </row>
        <row r="14">
          <cell r="C14">
            <v>1539502.5690667895</v>
          </cell>
          <cell r="D14">
            <v>1483757.3337856447</v>
          </cell>
        </row>
        <row r="15">
          <cell r="C15">
            <v>675496.77630054636</v>
          </cell>
          <cell r="D15">
            <v>657399.03559729992</v>
          </cell>
        </row>
        <row r="16">
          <cell r="C16">
            <v>1814058.848417453</v>
          </cell>
          <cell r="D16">
            <v>1746069.2993820761</v>
          </cell>
        </row>
        <row r="17">
          <cell r="C17">
            <v>831692.0644458835</v>
          </cell>
          <cell r="D17">
            <v>797699.13248879998</v>
          </cell>
        </row>
        <row r="18">
          <cell r="C18">
            <v>104449.15828380465</v>
          </cell>
          <cell r="D18">
            <v>102018.92658053512</v>
          </cell>
        </row>
        <row r="19">
          <cell r="C19">
            <v>15752.022461405353</v>
          </cell>
          <cell r="D19">
            <v>15299.629274645029</v>
          </cell>
        </row>
        <row r="20">
          <cell r="C20">
            <v>2049529.5019409845</v>
          </cell>
          <cell r="D20">
            <v>2006840.6030095925</v>
          </cell>
        </row>
        <row r="23">
          <cell r="C23">
            <v>462245.76916034456</v>
          </cell>
        </row>
      </sheetData>
      <sheetData sheetId="1">
        <row r="13">
          <cell r="C13">
            <v>7065.992857014975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ages support=&gt;"/>
      <sheetName val="Summary by IS Category"/>
      <sheetName val="Wage Data Payroll "/>
      <sheetName val="Non-Union Wage Incr"/>
      <sheetName val="Union Wage Inc"/>
      <sheetName val="Manual JEs Reclass "/>
      <sheetName val="Sal by FERC"/>
      <sheetName val="Labor by Employee Grp"/>
      <sheetName val="12ME Sept 2016 Inc Alloc"/>
      <sheetName val="3.05 Lead"/>
      <sheetName val="Payroll Taxes =&gt;"/>
      <sheetName val="TY Payroll Tax Alloc "/>
      <sheetName val="SAP Payroll Data"/>
      <sheetName val="PR Tax Rates "/>
      <sheetName val="PR Taxes"/>
      <sheetName val="FICA"/>
      <sheetName val="SUTA"/>
      <sheetName val="FUTA"/>
      <sheetName val="Employee Salary Payroll Tax "/>
    </sheetNames>
    <sheetDataSet>
      <sheetData sheetId="0">
        <row r="14">
          <cell r="E14">
            <v>4380759.8377278037</v>
          </cell>
          <cell r="F14">
            <v>4527515.2922916859</v>
          </cell>
        </row>
        <row r="15">
          <cell r="E15">
            <v>20419279.131090328</v>
          </cell>
          <cell r="F15">
            <v>20758759.979530361</v>
          </cell>
        </row>
        <row r="16">
          <cell r="E16">
            <v>8959227.0002665874</v>
          </cell>
          <cell r="F16">
            <v>9197453.1000313908</v>
          </cell>
        </row>
        <row r="17">
          <cell r="E17">
            <v>24060543.133236647</v>
          </cell>
          <cell r="F17">
            <v>24428711.200946681</v>
          </cell>
        </row>
        <row r="18">
          <cell r="E18">
            <v>11030663.555404065</v>
          </cell>
          <cell r="F18">
            <v>11160381.690797323</v>
          </cell>
        </row>
        <row r="19">
          <cell r="E19">
            <v>1385463.025825866</v>
          </cell>
          <cell r="F19">
            <v>1427346.657537359</v>
          </cell>
        </row>
        <row r="20">
          <cell r="E20">
            <v>209317.86788684683</v>
          </cell>
          <cell r="F20">
            <v>214075.16440109309</v>
          </cell>
        </row>
        <row r="21">
          <cell r="E21">
            <v>27183671.346791636</v>
          </cell>
          <cell r="F21">
            <v>28077102.382967826</v>
          </cell>
        </row>
        <row r="24">
          <cell r="E24">
            <v>6486464.3989615748</v>
          </cell>
          <cell r="F24">
            <v>6627179.6998789413</v>
          </cell>
          <cell r="G24">
            <v>140715.30091736629</v>
          </cell>
        </row>
      </sheetData>
      <sheetData sheetId="1">
        <row r="14">
          <cell r="E14">
            <v>98066.872882425538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Non Union Wage"/>
      <sheetName val="Union Wage Inc "/>
      <sheetName val="Inv Plan"/>
    </sheetNames>
    <sheetDataSet>
      <sheetData sheetId="0">
        <row r="13">
          <cell r="D13">
            <v>7483207.9381920006</v>
          </cell>
        </row>
        <row r="14">
          <cell r="C14">
            <v>3.3500000000000002E-2</v>
          </cell>
        </row>
        <row r="18">
          <cell r="D18">
            <v>2733666.2376000001</v>
          </cell>
        </row>
        <row r="19">
          <cell r="C19">
            <v>6.875E-3</v>
          </cell>
        </row>
        <row r="23">
          <cell r="D23">
            <v>1013154.9303599999</v>
          </cell>
        </row>
        <row r="24">
          <cell r="C24">
            <v>0.03</v>
          </cell>
        </row>
        <row r="29">
          <cell r="C29">
            <v>0.54659120593235488</v>
          </cell>
        </row>
      </sheetData>
      <sheetData sheetId="1">
        <row r="14">
          <cell r="D14">
            <v>3612889.2418080005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 Summary"/>
      <sheetName val="Average Costs Cal"/>
      <sheetName val="Additional Costs"/>
      <sheetName val="TY Headcounts "/>
      <sheetName val="Flex Credits"/>
      <sheetName val="SAP Test Yr"/>
      <sheetName val="Allocation Method"/>
    </sheetNames>
    <sheetDataSet>
      <sheetData sheetId="0">
        <row r="13">
          <cell r="D13">
            <v>15271331.540317921</v>
          </cell>
        </row>
        <row r="14">
          <cell r="D14">
            <v>9200243.6631220803</v>
          </cell>
        </row>
        <row r="17">
          <cell r="C17">
            <v>0.54659120593235488</v>
          </cell>
        </row>
        <row r="18">
          <cell r="D18">
            <v>13188639.070766069</v>
          </cell>
        </row>
      </sheetData>
      <sheetData sheetId="1">
        <row r="14">
          <cell r="D14">
            <v>7372991.6214820798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New Svc Agmt --&gt;"/>
      <sheetName val="Summary"/>
      <sheetName val="BDHV"/>
      <sheetName val="BillMatrix-NonCard Test Year"/>
      <sheetName val="CheckFreePay Test Year"/>
      <sheetName val="Deferral --&gt;"/>
      <sheetName val="Deferral"/>
      <sheetName val="Estimate"/>
      <sheetName val="Allocation Method"/>
    </sheetNames>
    <sheetDataSet>
      <sheetData sheetId="0">
        <row r="12">
          <cell r="C12">
            <v>1047962.0507459998</v>
          </cell>
          <cell r="D12">
            <v>835892.12481449998</v>
          </cell>
        </row>
        <row r="17">
          <cell r="D17">
            <v>2476040.8475628183</v>
          </cell>
        </row>
        <row r="18">
          <cell r="C18">
            <v>0</v>
          </cell>
          <cell r="D18">
            <v>2486031.0369156054</v>
          </cell>
        </row>
      </sheetData>
      <sheetData sheetId="1">
        <row r="12">
          <cell r="C12">
            <v>755448.80925399996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</sheetNames>
    <sheetDataSet>
      <sheetData sheetId="0"/>
      <sheetData sheetId="1">
        <row r="36">
          <cell r="D36">
            <v>49313213.286249995</v>
          </cell>
        </row>
        <row r="67">
          <cell r="D67">
            <v>73969464.23932533</v>
          </cell>
        </row>
      </sheetData>
      <sheetData sheetId="2">
        <row r="19">
          <cell r="D19">
            <v>3545031363</v>
          </cell>
        </row>
      </sheetData>
      <sheetData sheetId="3"/>
      <sheetData sheetId="4">
        <row r="34">
          <cell r="Q34">
            <v>3591494.7587500005</v>
          </cell>
        </row>
      </sheetData>
      <sheetData sheetId="5">
        <row r="11">
          <cell r="I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Revised Rev Req Summary"/>
      <sheetName val="PTC Liability"/>
      <sheetName val="95A Treas Grant Amort"/>
      <sheetName val="456 Decoupling"/>
    </sheetNames>
    <sheetDataSet>
      <sheetData sheetId="0">
        <row r="15">
          <cell r="D15">
            <v>6318302.8499999996</v>
          </cell>
        </row>
        <row r="16">
          <cell r="D16">
            <v>54955983.910000004</v>
          </cell>
        </row>
        <row r="17">
          <cell r="D17">
            <v>29011926</v>
          </cell>
        </row>
        <row r="18">
          <cell r="D18">
            <v>-29745544</v>
          </cell>
        </row>
        <row r="19">
          <cell r="D19">
            <v>-82720471.5</v>
          </cell>
        </row>
        <row r="20">
          <cell r="D20">
            <v>146.57999999999811</v>
          </cell>
        </row>
        <row r="21">
          <cell r="D21">
            <v>7446504.8799999999</v>
          </cell>
        </row>
        <row r="22">
          <cell r="D22">
            <v>-3902999.6601178469</v>
          </cell>
        </row>
        <row r="27">
          <cell r="D27">
            <v>-7446504.8799999999</v>
          </cell>
        </row>
        <row r="28">
          <cell r="D28">
            <v>11994134.030000001</v>
          </cell>
        </row>
        <row r="29">
          <cell r="D29">
            <v>-32491234.77</v>
          </cell>
        </row>
        <row r="30">
          <cell r="D30">
            <v>17718442.649999999</v>
          </cell>
        </row>
        <row r="36">
          <cell r="D36">
            <v>-22899640</v>
          </cell>
        </row>
        <row r="37">
          <cell r="D37">
            <v>40241934.120000005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</sheetNames>
    <sheetDataSet>
      <sheetData sheetId="0">
        <row r="12">
          <cell r="C12">
            <v>1709553137</v>
          </cell>
          <cell r="D12">
            <v>1757265842.6147575</v>
          </cell>
        </row>
        <row r="13">
          <cell r="C13">
            <v>2071074561</v>
          </cell>
          <cell r="D13">
            <v>2021559503.7397845</v>
          </cell>
        </row>
        <row r="14">
          <cell r="C14">
            <v>2293718205</v>
          </cell>
          <cell r="D14">
            <v>2341463234.1684051</v>
          </cell>
        </row>
        <row r="15">
          <cell r="C15">
            <v>2264400226</v>
          </cell>
          <cell r="D15">
            <v>2313151612.2310338</v>
          </cell>
        </row>
        <row r="16">
          <cell r="C16">
            <v>1926704963</v>
          </cell>
          <cell r="D16">
            <v>2027518228.9616108</v>
          </cell>
        </row>
        <row r="17">
          <cell r="C17">
            <v>1958545780</v>
          </cell>
          <cell r="D17">
            <v>2015037059.0936217</v>
          </cell>
        </row>
        <row r="18">
          <cell r="C18">
            <v>1641032699</v>
          </cell>
          <cell r="D18">
            <v>1717808476.922034</v>
          </cell>
        </row>
        <row r="19">
          <cell r="C19">
            <v>1626432632</v>
          </cell>
          <cell r="D19">
            <v>1641730768.4739172</v>
          </cell>
        </row>
        <row r="20">
          <cell r="C20">
            <v>1597200862</v>
          </cell>
          <cell r="D20">
            <v>1584799398.2238727</v>
          </cell>
        </row>
        <row r="21">
          <cell r="C21">
            <v>1647778275</v>
          </cell>
          <cell r="D21">
            <v>1645397292.7076356</v>
          </cell>
        </row>
        <row r="22">
          <cell r="C22">
            <v>1712297533</v>
          </cell>
          <cell r="D22">
            <v>1680388551.7681735</v>
          </cell>
        </row>
        <row r="23">
          <cell r="C23">
            <v>1559199266</v>
          </cell>
          <cell r="D23">
            <v>1565709070.7194872</v>
          </cell>
        </row>
        <row r="26">
          <cell r="E26">
            <v>242969649.42949438</v>
          </cell>
          <cell r="F26">
            <v>25306989</v>
          </cell>
        </row>
        <row r="27">
          <cell r="E27">
            <v>22548468.167257171</v>
          </cell>
          <cell r="F27">
            <v>2013368</v>
          </cell>
        </row>
        <row r="28">
          <cell r="E28">
            <v>11247064.07998576</v>
          </cell>
          <cell r="F28">
            <v>720622</v>
          </cell>
        </row>
        <row r="29">
          <cell r="E29">
            <v>-231987.67610922537</v>
          </cell>
          <cell r="F29">
            <v>-13163</v>
          </cell>
        </row>
        <row r="30">
          <cell r="E30">
            <v>-158746.83383420159</v>
          </cell>
          <cell r="F30">
            <v>-8444</v>
          </cell>
        </row>
        <row r="31">
          <cell r="E31">
            <v>957232.70373482071</v>
          </cell>
          <cell r="F31">
            <v>52022</v>
          </cell>
        </row>
        <row r="32">
          <cell r="E32">
            <v>3836119.7974334164</v>
          </cell>
          <cell r="F32">
            <v>214416</v>
          </cell>
        </row>
        <row r="33">
          <cell r="E33">
            <v>139730.50241881609</v>
          </cell>
          <cell r="F33">
            <v>7914</v>
          </cell>
        </row>
        <row r="34">
          <cell r="E34">
            <v>283772.54288090428</v>
          </cell>
          <cell r="F34">
            <v>16073</v>
          </cell>
        </row>
        <row r="35">
          <cell r="E35">
            <v>-30131.256685476605</v>
          </cell>
          <cell r="F35">
            <v>-1662</v>
          </cell>
        </row>
        <row r="36">
          <cell r="E36">
            <v>145693.42218082878</v>
          </cell>
          <cell r="F36">
            <v>5118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2009 SAP"/>
      <sheetName val="2007 SAP"/>
      <sheetName val="Summary PCORCs"/>
    </sheetNames>
    <sheetDataSet>
      <sheetData sheetId="0">
        <row r="16">
          <cell r="D16">
            <v>1040000</v>
          </cell>
        </row>
        <row r="19">
          <cell r="D19">
            <v>180704.512644</v>
          </cell>
        </row>
        <row r="23">
          <cell r="D23">
            <v>273000</v>
          </cell>
        </row>
      </sheetData>
      <sheetData sheetId="1">
        <row r="15">
          <cell r="D15">
            <v>1040000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Data Electric &amp; Gas"/>
      <sheetName val="Leashold Improvements"/>
      <sheetName val="IRS DFIT"/>
      <sheetName val="Plant and Tax Data"/>
      <sheetName val="Tax Depreciation Rates"/>
      <sheetName val="South King Plant"/>
      <sheetName val="Allocation Method"/>
      <sheetName val="Common Depr Rates"/>
    </sheetNames>
    <sheetDataSet>
      <sheetData sheetId="0">
        <row r="16">
          <cell r="D16">
            <v>2565876.3629749999</v>
          </cell>
          <cell r="E16">
            <v>20603887.664999999</v>
          </cell>
        </row>
        <row r="17">
          <cell r="D17">
            <v>2296590.5674166665</v>
          </cell>
          <cell r="E17">
            <v>0</v>
          </cell>
        </row>
        <row r="18">
          <cell r="D18">
            <v>-41074.731625878645</v>
          </cell>
          <cell r="E18">
            <v>-1199152.1377783362</v>
          </cell>
        </row>
        <row r="19">
          <cell r="D19">
            <v>31060.331498886484</v>
          </cell>
          <cell r="E19">
            <v>0</v>
          </cell>
        </row>
        <row r="20">
          <cell r="D20">
            <v>-1087774.3612499998</v>
          </cell>
          <cell r="E20">
            <v>0</v>
          </cell>
        </row>
        <row r="21">
          <cell r="D21">
            <v>13548.583466044467</v>
          </cell>
          <cell r="E21">
            <v>283809.31891272456</v>
          </cell>
        </row>
        <row r="22">
          <cell r="D22">
            <v>-4742.0042131155633</v>
          </cell>
        </row>
        <row r="26">
          <cell r="D26">
            <v>363750.12810969783</v>
          </cell>
          <cell r="E26">
            <v>0</v>
          </cell>
        </row>
        <row r="27">
          <cell r="D27">
            <v>52293.815747347493</v>
          </cell>
          <cell r="E27">
            <v>101997.73424324865</v>
          </cell>
        </row>
        <row r="28">
          <cell r="D28">
            <v>-39544.098966941405</v>
          </cell>
          <cell r="E28">
            <v>0</v>
          </cell>
        </row>
        <row r="29">
          <cell r="D29">
            <v>393261.64299999998</v>
          </cell>
          <cell r="E29">
            <v>0</v>
          </cell>
        </row>
      </sheetData>
      <sheetData sheetId="1">
        <row r="16">
          <cell r="D16">
            <v>1253528.7620250001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BGM-6"/>
      <sheetName val="Exh. BGM-6 (2)"/>
      <sheetName val="ICNU DR 102 -&gt;"/>
      <sheetName val="Lead E"/>
      <sheetName val="Summary-1Q 2017"/>
      <sheetName val="Forecasted Plant &amp; Reserve"/>
      <sheetName val="Colstrip 1&amp;2_Mod"/>
      <sheetName val="Balances"/>
    </sheetNames>
    <sheetDataSet>
      <sheetData sheetId="0">
        <row r="8">
          <cell r="P8">
            <v>-18066.901721769274</v>
          </cell>
        </row>
      </sheetData>
      <sheetData sheetId="1"/>
      <sheetData sheetId="2"/>
      <sheetData sheetId="3">
        <row r="29">
          <cell r="C29">
            <v>-28632185.490929328</v>
          </cell>
        </row>
      </sheetData>
      <sheetData sheetId="4">
        <row r="6">
          <cell r="Y6">
            <v>8362380.0660503246</v>
          </cell>
          <cell r="Z6" t="str">
            <v>FERC 311 - STRUCTURES AND IMPROVEMENTS</v>
          </cell>
        </row>
        <row r="7">
          <cell r="Y7">
            <v>82347353.474555537</v>
          </cell>
          <cell r="Z7" t="str">
            <v>FERC 312 - BOILER PLANT EQUIPMENT</v>
          </cell>
        </row>
        <row r="8">
          <cell r="Y8">
            <v>32833775.54150698</v>
          </cell>
          <cell r="Z8" t="str">
            <v>FERC 314 - TURBOGENERATOR UNITS</v>
          </cell>
        </row>
        <row r="9">
          <cell r="Y9">
            <v>5023063.0735145342</v>
          </cell>
          <cell r="Z9" t="str">
            <v>FERC 315 - ACCESSORY ELECTRIC EQUIPMENT</v>
          </cell>
        </row>
        <row r="10">
          <cell r="Y10">
            <v>1339194.3125467661</v>
          </cell>
          <cell r="Z10" t="str">
            <v>FERC 316 - MISCELLANEOUS POWER PLANT EQUIPMENT</v>
          </cell>
        </row>
        <row r="11">
          <cell r="Y11">
            <v>25411.79970783001</v>
          </cell>
          <cell r="Z11" t="str">
            <v xml:space="preserve">FERC 392 - TRANSPORTATION EQUIPMENT       </v>
          </cell>
        </row>
        <row r="12">
          <cell r="Y12">
            <v>187939.16981469342</v>
          </cell>
          <cell r="Z12" t="str">
            <v>FERC 394 - TOOLS, SHOP AND GARAGE EQUIPMENT</v>
          </cell>
        </row>
        <row r="13">
          <cell r="Y13">
            <v>157625.21018298512</v>
          </cell>
          <cell r="Z13" t="str">
            <v xml:space="preserve">FERC 396 - POWER OPERATED EQUIPMENT       </v>
          </cell>
        </row>
        <row r="14">
          <cell r="Y14">
            <v>694.31299216899924</v>
          </cell>
          <cell r="Z14" t="str">
            <v xml:space="preserve">FERC 397 - COMMUNICATION EQUIPMENT </v>
          </cell>
        </row>
        <row r="15">
          <cell r="Y15">
            <v>177.94999106</v>
          </cell>
          <cell r="Z15" t="str">
            <v>FERC 350.99 - EASEMENTS - GIF</v>
          </cell>
        </row>
        <row r="16">
          <cell r="Y16">
            <v>427.4801186896002</v>
          </cell>
          <cell r="Z16" t="str">
            <v xml:space="preserve">FERC 354.9 - TOWERS AND FIXTURES - GIF                 </v>
          </cell>
        </row>
        <row r="17">
          <cell r="Y17">
            <v>-17718.599924450798</v>
          </cell>
          <cell r="Z17" t="str">
            <v xml:space="preserve">FERC 355.9 - POLES AND FIXTURES - GIF                  </v>
          </cell>
        </row>
        <row r="18">
          <cell r="Y18">
            <v>52844.8798096221</v>
          </cell>
          <cell r="Z18" t="str">
            <v xml:space="preserve">FERC 356.9 - OVERHEAD CONDUCTORS AND DEVICES - GIF     </v>
          </cell>
        </row>
      </sheetData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Rate Year Generation"/>
      <sheetName val="SAP Act 12ME Sept 2016"/>
      <sheetName val="Montana Energy Tax"/>
    </sheetNames>
    <sheetDataSet>
      <sheetData sheetId="0">
        <row r="12">
          <cell r="E12">
            <v>4295103591.2787495</v>
          </cell>
        </row>
        <row r="13">
          <cell r="E13">
            <v>0.05</v>
          </cell>
        </row>
        <row r="14">
          <cell r="E14">
            <v>1.4999999999999999E-4</v>
          </cell>
        </row>
        <row r="17">
          <cell r="E17">
            <v>2.0000000000000001E-4</v>
          </cell>
        </row>
        <row r="21">
          <cell r="E21">
            <v>1540793.07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Cost Production Factor"/>
      <sheetName val="Fixed Cost Production Factor"/>
      <sheetName val="Temperature Adj YE 9-2016"/>
      <sheetName val="Delivered Load YE 9-2016"/>
      <sheetName val="Customer Counts YE 9-2016"/>
      <sheetName val="F2016 Delivered Load"/>
      <sheetName val="F2016 Customer Count"/>
    </sheetNames>
    <sheetDataSet>
      <sheetData sheetId="0">
        <row r="26">
          <cell r="F26">
            <v>20723206</v>
          </cell>
        </row>
        <row r="29">
          <cell r="G29">
            <v>3.8393753496129945E-2</v>
          </cell>
        </row>
      </sheetData>
      <sheetData sheetId="1">
        <row r="31">
          <cell r="H31">
            <v>2.5347414647620359E-2</v>
          </cell>
        </row>
      </sheetData>
      <sheetData sheetId="2"/>
      <sheetData sheetId="3"/>
      <sheetData sheetId="4"/>
      <sheetData sheetId="5">
        <row r="54">
          <cell r="O54">
            <v>2347334</v>
          </cell>
        </row>
        <row r="55">
          <cell r="O55">
            <v>2023152</v>
          </cell>
        </row>
        <row r="56">
          <cell r="O56">
            <v>2120831</v>
          </cell>
        </row>
        <row r="57">
          <cell r="O57">
            <v>1849726</v>
          </cell>
        </row>
        <row r="58">
          <cell r="O58">
            <v>1709643</v>
          </cell>
        </row>
        <row r="59">
          <cell r="O59">
            <v>1653015</v>
          </cell>
        </row>
        <row r="60">
          <cell r="O60">
            <v>1717662</v>
          </cell>
        </row>
        <row r="61">
          <cell r="O61">
            <v>1730905</v>
          </cell>
        </row>
        <row r="62">
          <cell r="O62">
            <v>1672253</v>
          </cell>
        </row>
        <row r="63">
          <cell r="O63">
            <v>1858747</v>
          </cell>
        </row>
        <row r="64">
          <cell r="O64">
            <v>2085376</v>
          </cell>
        </row>
        <row r="65">
          <cell r="O65">
            <v>2503903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DFIT "/>
      <sheetName val="Other  Glacier Battery Plant"/>
      <sheetName val="Production Glacier Battery Plt"/>
      <sheetName val="MACRS W 50% BONUS"/>
      <sheetName val="New Recap Prod -Non-Prod"/>
      <sheetName val="Detail Plant Data"/>
      <sheetName val="New Depr Study"/>
      <sheetName val="RB&amp;ISbyFERC"/>
    </sheetNames>
    <sheetDataSet>
      <sheetData sheetId="0">
        <row r="15">
          <cell r="C15">
            <v>2532527.2133333334</v>
          </cell>
          <cell r="D15">
            <v>7815669.9016000014</v>
          </cell>
        </row>
        <row r="16">
          <cell r="C16">
            <v>-23967.255261935759</v>
          </cell>
          <cell r="D16">
            <v>-746090.14322181221</v>
          </cell>
        </row>
        <row r="17">
          <cell r="C17">
            <v>1602.450349846451</v>
          </cell>
          <cell r="D17">
            <v>0</v>
          </cell>
        </row>
        <row r="18">
          <cell r="C18">
            <v>-205321.18453019747</v>
          </cell>
          <cell r="D18">
            <v>-1922512.3307887327</v>
          </cell>
        </row>
        <row r="19">
          <cell r="C19">
            <v>-560.85762244625778</v>
          </cell>
          <cell r="D19">
            <v>0</v>
          </cell>
        </row>
        <row r="23">
          <cell r="C23">
            <v>123836.50843962499</v>
          </cell>
          <cell r="D23">
            <v>340033.97615332442</v>
          </cell>
        </row>
        <row r="24">
          <cell r="C24">
            <v>-7633.7978685983253</v>
          </cell>
          <cell r="D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2864024.6325000003</v>
          </cell>
        </row>
        <row r="15">
          <cell r="E15">
            <v>-495916.20105393277</v>
          </cell>
        </row>
        <row r="20">
          <cell r="E20">
            <v>-1716630.2886360891</v>
          </cell>
        </row>
        <row r="25">
          <cell r="E25">
            <v>148726.01447229058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Addition-Retire Source"/>
      <sheetName val="Retirement Summary"/>
      <sheetName val="Retirement Detail"/>
      <sheetName val="Retirement Depr Exp"/>
      <sheetName val="Retirement ADFIT"/>
      <sheetName val="Addition"/>
      <sheetName val="IRS DFIT"/>
      <sheetName val="MACRS W 50% BONUS"/>
    </sheetNames>
    <sheetDataSet>
      <sheetData sheetId="0" refreshError="1">
        <row r="13">
          <cell r="C13">
            <v>21985164.197500002</v>
          </cell>
          <cell r="D13">
            <v>0</v>
          </cell>
        </row>
        <row r="14">
          <cell r="C14">
            <v>-4782184.9428318273</v>
          </cell>
          <cell r="D14">
            <v>17053554.294432983</v>
          </cell>
        </row>
        <row r="15">
          <cell r="C15">
            <v>-770444.58162956533</v>
          </cell>
          <cell r="D15">
            <v>0</v>
          </cell>
        </row>
        <row r="16">
          <cell r="C16">
            <v>-1771037.4357740821</v>
          </cell>
          <cell r="D16">
            <v>0</v>
          </cell>
        </row>
        <row r="17">
          <cell r="C17">
            <v>269655.60357034783</v>
          </cell>
          <cell r="D17">
            <v>0</v>
          </cell>
        </row>
        <row r="21">
          <cell r="C21">
            <v>3134072.5099999993</v>
          </cell>
          <cell r="D21">
            <v>25072580.079999987</v>
          </cell>
        </row>
        <row r="22">
          <cell r="C22">
            <v>-3364.9770921440963</v>
          </cell>
          <cell r="D22">
            <v>-1607188.8953450497</v>
          </cell>
        </row>
        <row r="23">
          <cell r="C23">
            <v>-109553.08143874648</v>
          </cell>
          <cell r="D23">
            <v>0</v>
          </cell>
        </row>
        <row r="24">
          <cell r="C24">
            <v>-150563.60204358294</v>
          </cell>
          <cell r="D24">
            <v>-4537903.8039487666</v>
          </cell>
        </row>
        <row r="25">
          <cell r="C25">
            <v>38343.578503561264</v>
          </cell>
          <cell r="D25">
            <v>0</v>
          </cell>
        </row>
        <row r="29">
          <cell r="C29">
            <v>340770.04506125004</v>
          </cell>
          <cell r="D29">
            <v>0</v>
          </cell>
        </row>
        <row r="30">
          <cell r="C30">
            <v>1540889.1632591307</v>
          </cell>
          <cell r="D30">
            <v>0</v>
          </cell>
        </row>
        <row r="31">
          <cell r="C31">
            <v>48455.670126874989</v>
          </cell>
          <cell r="D31">
            <v>2145903.9723363491</v>
          </cell>
        </row>
        <row r="32">
          <cell r="C32">
            <v>219106.16287749296</v>
          </cell>
          <cell r="D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RPC 2004 GRC"/>
      <sheetName val="Land Detail"/>
    </sheetNames>
    <sheetDataSet>
      <sheetData sheetId="0">
        <row r="11">
          <cell r="C11">
            <v>59841513.397916675</v>
          </cell>
          <cell r="D11">
            <v>59749659.710000001</v>
          </cell>
        </row>
        <row r="12">
          <cell r="C12">
            <v>0</v>
          </cell>
          <cell r="D12">
            <v>18825.34</v>
          </cell>
        </row>
        <row r="13">
          <cell r="C13">
            <v>0</v>
          </cell>
          <cell r="D13">
            <v>26606.68</v>
          </cell>
        </row>
        <row r="15">
          <cell r="C15">
            <v>-37066402.04703182</v>
          </cell>
          <cell r="D15">
            <v>-43026718.335546739</v>
          </cell>
        </row>
        <row r="16">
          <cell r="C16">
            <v>-7971288.6979166651</v>
          </cell>
          <cell r="D16">
            <v>-5853029.717275939</v>
          </cell>
        </row>
        <row r="20">
          <cell r="C20">
            <v>1494701.7220710218</v>
          </cell>
          <cell r="D20">
            <v>6689176.5497812955</v>
          </cell>
        </row>
      </sheetData>
      <sheetData sheetId="1"/>
      <sheetData sheetId="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Snoq Amort Exp"/>
      <sheetName val="Baker Amort Exp"/>
    </sheetNames>
    <sheetDataSet>
      <sheetData sheetId="0">
        <row r="14">
          <cell r="C14">
            <v>-101559498.97984974</v>
          </cell>
        </row>
        <row r="20">
          <cell r="C20">
            <v>-3279780</v>
          </cell>
        </row>
      </sheetData>
      <sheetData sheetId="1"/>
      <sheetData sheetId="2"/>
      <sheetData sheetId="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Solar Balance SEpt 16"/>
      <sheetName val="WH deferred Tax Sept 2016"/>
      <sheetName val="Sept 16 PP Report"/>
    </sheetNames>
    <sheetDataSet>
      <sheetData sheetId="0">
        <row r="16">
          <cell r="D16">
            <v>4539303</v>
          </cell>
        </row>
        <row r="17">
          <cell r="D17">
            <v>-1578037</v>
          </cell>
        </row>
        <row r="18">
          <cell r="D18">
            <v>-11978.689327298343</v>
          </cell>
        </row>
        <row r="19">
          <cell r="D19">
            <v>-984138.515625</v>
          </cell>
        </row>
        <row r="20">
          <cell r="D20">
            <v>4192.5412645544202</v>
          </cell>
        </row>
        <row r="26">
          <cell r="D26">
            <v>188181.00000000003</v>
          </cell>
        </row>
        <row r="27">
          <cell r="D27">
            <v>23957.378654596687</v>
          </cell>
        </row>
      </sheetData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torm Costs O &amp; M"/>
      <sheetName val="Storm Cost Deferrals"/>
      <sheetName val="Test Year Amort"/>
    </sheetNames>
    <sheetDataSet>
      <sheetData sheetId="0">
        <row r="17">
          <cell r="C17">
            <v>146577.86000000002</v>
          </cell>
          <cell r="D17">
            <v>9324412.6900000013</v>
          </cell>
        </row>
        <row r="18">
          <cell r="C18">
            <v>330553.87999999983</v>
          </cell>
          <cell r="D18">
            <v>11614287.549999999</v>
          </cell>
        </row>
        <row r="19">
          <cell r="C19">
            <v>115489.18000000001</v>
          </cell>
          <cell r="D19">
            <v>5128914.879999999</v>
          </cell>
        </row>
        <row r="20">
          <cell r="C20">
            <v>427808.19999999995</v>
          </cell>
          <cell r="D20">
            <v>12676575.679999998</v>
          </cell>
        </row>
        <row r="21">
          <cell r="C21">
            <v>718705.77</v>
          </cell>
          <cell r="D21">
            <v>12394591.869999999</v>
          </cell>
        </row>
        <row r="22">
          <cell r="C22">
            <v>506068.88000000006</v>
          </cell>
          <cell r="D22">
            <v>10553488.410000002</v>
          </cell>
        </row>
        <row r="35">
          <cell r="C35">
            <v>-12560038.23</v>
          </cell>
        </row>
        <row r="36">
          <cell r="C36">
            <v>50185.88</v>
          </cell>
        </row>
        <row r="37">
          <cell r="C37">
            <v>18185672.66</v>
          </cell>
        </row>
        <row r="38">
          <cell r="C38">
            <v>24157767.119999997</v>
          </cell>
        </row>
        <row r="39">
          <cell r="C39">
            <v>8269006</v>
          </cell>
        </row>
        <row r="46">
          <cell r="C46">
            <v>6632821</v>
          </cell>
        </row>
        <row r="51">
          <cell r="C51">
            <v>60295490.299999997</v>
          </cell>
        </row>
        <row r="55">
          <cell r="D55">
            <v>15477396</v>
          </cell>
        </row>
      </sheetData>
      <sheetData sheetId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IRS DFIT"/>
      <sheetName val="EIM DFIT"/>
      <sheetName val="Work Order"/>
    </sheetNames>
    <sheetDataSet>
      <sheetData sheetId="0">
        <row r="14">
          <cell r="E14">
            <v>16120231.800000003</v>
          </cell>
        </row>
        <row r="15">
          <cell r="E15">
            <v>-9403468.5500000026</v>
          </cell>
        </row>
        <row r="16">
          <cell r="E16">
            <v>-1584894.1527864772</v>
          </cell>
        </row>
        <row r="22">
          <cell r="E22">
            <v>5373410.6000000006</v>
          </cell>
        </row>
      </sheetData>
      <sheetData sheetId="1"/>
      <sheetData sheetId="2"/>
      <sheetData sheetId="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IRS DFIT"/>
      <sheetName val="Mint Farm DFIT"/>
      <sheetName val="MTF MI General spending detail"/>
      <sheetName val="MACRS W 50% BONUS"/>
      <sheetName val="Elec Depr Stdy 2017 GRC"/>
      <sheetName val="Mint Farm Current Depr."/>
    </sheetNames>
    <sheetDataSet>
      <sheetData sheetId="0">
        <row r="14">
          <cell r="C14">
            <v>0</v>
          </cell>
          <cell r="D14">
            <v>24765516.030000001</v>
          </cell>
        </row>
        <row r="15">
          <cell r="C15">
            <v>0</v>
          </cell>
          <cell r="D15">
            <v>-1572187.2608600797</v>
          </cell>
        </row>
        <row r="16">
          <cell r="C16">
            <v>0</v>
          </cell>
          <cell r="D16">
            <v>-4188738.7602319769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 Pwr Cost"/>
      <sheetName val="12ME Sept 16 SAP"/>
      <sheetName val="E Margin Sept16"/>
      <sheetName val="ZRW_Z103 Margin Rpt 12ME 9-2016"/>
      <sheetName val="557"/>
      <sheetName val="Trans Rev 45610005"/>
      <sheetName val="Montana Tax 40810005"/>
      <sheetName val="500KV 12ME 9-2016"/>
      <sheetName val="O&amp;M 9-2016"/>
    </sheetNames>
    <sheetDataSet>
      <sheetData sheetId="0">
        <row r="3">
          <cell r="B3">
            <v>85246014.709999993</v>
          </cell>
        </row>
        <row r="7">
          <cell r="B7">
            <v>375700424.96000004</v>
          </cell>
        </row>
        <row r="9">
          <cell r="C9">
            <v>46286</v>
          </cell>
        </row>
        <row r="10">
          <cell r="C10">
            <v>147291284.84999999</v>
          </cell>
        </row>
        <row r="15">
          <cell r="B15">
            <v>11041130.310000001</v>
          </cell>
        </row>
        <row r="17">
          <cell r="D17">
            <v>-368615.64</v>
          </cell>
        </row>
        <row r="18">
          <cell r="D18">
            <v>-1364051.1099999999</v>
          </cell>
        </row>
        <row r="32">
          <cell r="B32">
            <v>149756871.78999999</v>
          </cell>
        </row>
        <row r="38">
          <cell r="B38">
            <v>113800193.22</v>
          </cell>
        </row>
        <row r="44">
          <cell r="B44">
            <v>-8228548.5899999999</v>
          </cell>
          <cell r="F44">
            <v>-8228548.5899999999</v>
          </cell>
        </row>
        <row r="46">
          <cell r="B46">
            <v>133910147</v>
          </cell>
        </row>
        <row r="48">
          <cell r="D48">
            <v>-1707720.6600000001</v>
          </cell>
        </row>
        <row r="49">
          <cell r="D49">
            <v>-6304989.3199999994</v>
          </cell>
        </row>
        <row r="52">
          <cell r="B52">
            <v>-53788170.890000015</v>
          </cell>
        </row>
        <row r="54">
          <cell r="C54">
            <v>-46286</v>
          </cell>
        </row>
        <row r="55">
          <cell r="C55">
            <v>-147291284.84999999</v>
          </cell>
        </row>
        <row r="58">
          <cell r="B58">
            <v>18023677.969999999</v>
          </cell>
          <cell r="F58">
            <v>18023677.969999999</v>
          </cell>
        </row>
        <row r="60">
          <cell r="B60">
            <v>662134.87</v>
          </cell>
          <cell r="F60">
            <v>662134.87</v>
          </cell>
        </row>
        <row r="64">
          <cell r="B64">
            <v>826123875.35000002</v>
          </cell>
        </row>
        <row r="66">
          <cell r="F66">
            <v>816378498.62</v>
          </cell>
        </row>
        <row r="75">
          <cell r="B75">
            <v>699780142.07000005</v>
          </cell>
        </row>
      </sheetData>
      <sheetData sheetId="1">
        <row r="233">
          <cell r="B233">
            <v>325842.46999999997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"/>
      <sheetName val="3.04 &amp; 4.04 Lead"/>
      <sheetName val="Allocations"/>
      <sheetName val="Meter count"/>
      <sheetName val="E &amp; G RB"/>
      <sheetName val="Summary"/>
      <sheetName val="ERB"/>
      <sheetName val="GRB"/>
      <sheetName val="2016 Sept IS "/>
      <sheetName val="SAP DL Downld"/>
      <sheetName val="12ME Sept 16 ZRW_DLF1"/>
      <sheetName val="Electric"/>
      <sheetName val="Gas"/>
      <sheetName val="Electric Rtrmt"/>
      <sheetName val="Gas Rtrmt"/>
      <sheetName val="Pg 6a CustCount_Electric"/>
      <sheetName val="Pg 6b CustCount_Gas"/>
      <sheetName val="Combined-2016"/>
      <sheetName val="Sheet2"/>
      <sheetName val="July_Dec 2014"/>
    </sheetNames>
    <sheetDataSet>
      <sheetData sheetId="0"/>
      <sheetData sheetId="1">
        <row r="8">
          <cell r="E8">
            <v>1115041</v>
          </cell>
        </row>
        <row r="40">
          <cell r="E40">
            <v>0.6744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H15">
            <v>0.54659120593235488</v>
          </cell>
        </row>
        <row r="35">
          <cell r="H35">
            <v>0.24872690840850872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RB TY Lead"/>
      <sheetName val="Prd Plt Sept 2016"/>
      <sheetName val="NOL September 2016"/>
      <sheetName val="DFITAMA"/>
      <sheetName val="Acct 406"/>
      <sheetName val="Acq Adj"/>
      <sheetName val="Colstrip"/>
    </sheetNames>
    <sheetDataSet>
      <sheetData sheetId="0">
        <row r="6">
          <cell r="B6">
            <v>3770089338.4726501</v>
          </cell>
        </row>
        <row r="7">
          <cell r="B7">
            <v>-1614882573</v>
          </cell>
        </row>
        <row r="8">
          <cell r="B8">
            <v>80139253</v>
          </cell>
        </row>
        <row r="9">
          <cell r="B9">
            <v>-9933315</v>
          </cell>
        </row>
        <row r="10">
          <cell r="B10">
            <v>2908282.4799999148</v>
          </cell>
        </row>
        <row r="11">
          <cell r="B11">
            <v>858922.41599999997</v>
          </cell>
        </row>
        <row r="12">
          <cell r="B12">
            <v>281543145</v>
          </cell>
        </row>
        <row r="13">
          <cell r="B13">
            <v>-113037112</v>
          </cell>
        </row>
        <row r="16">
          <cell r="B16">
            <v>-512526800.34781253</v>
          </cell>
        </row>
        <row r="17">
          <cell r="B17">
            <v>48295905.063545831</v>
          </cell>
        </row>
        <row r="27">
          <cell r="B27">
            <v>107924068.66</v>
          </cell>
        </row>
        <row r="35">
          <cell r="B35">
            <v>1217708.92</v>
          </cell>
        </row>
        <row r="36">
          <cell r="B36">
            <v>354668.75999999978</v>
          </cell>
        </row>
        <row r="37">
          <cell r="B37">
            <v>104311.20599999999</v>
          </cell>
        </row>
        <row r="38">
          <cell r="B38">
            <v>2652900</v>
          </cell>
        </row>
        <row r="39">
          <cell r="B39">
            <v>1727259.93</v>
          </cell>
        </row>
        <row r="40">
          <cell r="B40">
            <v>4616499.3600000013</v>
          </cell>
        </row>
        <row r="41">
          <cell r="B41">
            <v>1144993.8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 Plant"/>
    </sheetNames>
    <sheetDataSet>
      <sheetData sheetId="0">
        <row r="10">
          <cell r="C10">
            <v>10247</v>
          </cell>
          <cell r="D10">
            <v>0</v>
          </cell>
          <cell r="E10">
            <v>10247</v>
          </cell>
          <cell r="F10">
            <v>0</v>
          </cell>
        </row>
        <row r="11">
          <cell r="C11">
            <v>685927</v>
          </cell>
          <cell r="D11">
            <v>485789</v>
          </cell>
          <cell r="E11">
            <v>200138</v>
          </cell>
          <cell r="F11">
            <v>13032.599999999999</v>
          </cell>
          <cell r="H11">
            <v>1.9E-2</v>
          </cell>
          <cell r="I11">
            <v>1.100217969328833E-2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1.7000000000000001E-2</v>
          </cell>
          <cell r="I12">
            <v>1.5237296061526625E-2</v>
          </cell>
        </row>
        <row r="13">
          <cell r="C13">
            <v>1231131</v>
          </cell>
          <cell r="D13">
            <v>1126752</v>
          </cell>
          <cell r="E13">
            <v>104379</v>
          </cell>
          <cell r="F13">
            <v>25976.880000000001</v>
          </cell>
          <cell r="H13">
            <v>2.1100000000000001E-2</v>
          </cell>
          <cell r="I13">
            <v>2.3063769121861685E-2</v>
          </cell>
        </row>
        <row r="14">
          <cell r="C14">
            <v>14574175</v>
          </cell>
          <cell r="D14">
            <v>10479101</v>
          </cell>
          <cell r="E14">
            <v>4095074</v>
          </cell>
          <cell r="F14">
            <v>243388.68</v>
          </cell>
          <cell r="H14">
            <v>1.67E-2</v>
          </cell>
          <cell r="I14">
            <v>1.254568132840889E-2</v>
          </cell>
        </row>
        <row r="15">
          <cell r="C15">
            <v>49007</v>
          </cell>
          <cell r="D15">
            <v>57496</v>
          </cell>
          <cell r="E15">
            <v>-8489</v>
          </cell>
          <cell r="F15">
            <v>1480.08</v>
          </cell>
          <cell r="H15">
            <v>3.0200000000000001E-2</v>
          </cell>
          <cell r="I15">
            <v>3.0389125381143935E-2</v>
          </cell>
        </row>
        <row r="16">
          <cell r="C16">
            <v>13158153</v>
          </cell>
          <cell r="D16">
            <v>10527572</v>
          </cell>
          <cell r="E16">
            <v>2630581</v>
          </cell>
          <cell r="F16">
            <v>277636.92000000004</v>
          </cell>
          <cell r="H16">
            <v>2.1100000000000001E-2</v>
          </cell>
          <cell r="I16">
            <v>1.2887099980659764E-2</v>
          </cell>
        </row>
        <row r="17">
          <cell r="C17">
            <v>113968</v>
          </cell>
          <cell r="D17">
            <v>76959</v>
          </cell>
          <cell r="E17">
            <v>37009</v>
          </cell>
          <cell r="F17">
            <v>1629.72</v>
          </cell>
          <cell r="H17">
            <v>1.43E-2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1071124</v>
          </cell>
          <cell r="D22">
            <v>746914</v>
          </cell>
          <cell r="E22">
            <v>324210</v>
          </cell>
          <cell r="F22">
            <v>20351.400000000001</v>
          </cell>
          <cell r="H22">
            <v>1.9E-2</v>
          </cell>
          <cell r="I22">
            <v>1.100217969328833E-2</v>
          </cell>
        </row>
        <row r="23">
          <cell r="C23">
            <v>488761</v>
          </cell>
          <cell r="D23">
            <v>337569</v>
          </cell>
          <cell r="E23">
            <v>151192</v>
          </cell>
          <cell r="F23">
            <v>8308.92</v>
          </cell>
          <cell r="H23">
            <v>1.7000000000000001E-2</v>
          </cell>
          <cell r="I23">
            <v>1.5237296061526625E-2</v>
          </cell>
        </row>
        <row r="24">
          <cell r="C24">
            <v>22715632</v>
          </cell>
          <cell r="D24">
            <v>13333439</v>
          </cell>
          <cell r="E24">
            <v>9382193</v>
          </cell>
          <cell r="F24">
            <v>479299.87</v>
          </cell>
          <cell r="H24">
            <v>2.1100000000000001E-2</v>
          </cell>
          <cell r="I24">
            <v>2.3063769121861685E-2</v>
          </cell>
        </row>
        <row r="25">
          <cell r="C25">
            <v>20589451</v>
          </cell>
          <cell r="D25">
            <v>14535807</v>
          </cell>
          <cell r="E25">
            <v>6053644</v>
          </cell>
          <cell r="F25">
            <v>343843.8</v>
          </cell>
          <cell r="H25">
            <v>1.67E-2</v>
          </cell>
          <cell r="I25">
            <v>1.254568132840889E-2</v>
          </cell>
        </row>
        <row r="26">
          <cell r="C26">
            <v>88692</v>
          </cell>
          <cell r="D26">
            <v>49679</v>
          </cell>
          <cell r="E26">
            <v>39013</v>
          </cell>
          <cell r="F26">
            <v>2678.52</v>
          </cell>
          <cell r="H26">
            <v>3.0200000000000001E-2</v>
          </cell>
          <cell r="I26">
            <v>3.0389125381143935E-2</v>
          </cell>
        </row>
        <row r="27">
          <cell r="C27">
            <v>20000813</v>
          </cell>
          <cell r="D27">
            <v>15747431</v>
          </cell>
          <cell r="E27">
            <v>4253382</v>
          </cell>
          <cell r="F27">
            <v>422017.19999999995</v>
          </cell>
          <cell r="H27">
            <v>2.1100000000000001E-2</v>
          </cell>
          <cell r="I27">
            <v>1.2887099980659764E-2</v>
          </cell>
        </row>
        <row r="28">
          <cell r="C28">
            <v>331427</v>
          </cell>
          <cell r="D28">
            <v>221395</v>
          </cell>
          <cell r="E28">
            <v>110032</v>
          </cell>
          <cell r="F28">
            <v>4739.3999999999996</v>
          </cell>
          <cell r="H28">
            <v>1.43E-2</v>
          </cell>
          <cell r="I28">
            <v>1.3996513005442461E-2</v>
          </cell>
        </row>
        <row r="32">
          <cell r="C32">
            <v>1769178</v>
          </cell>
          <cell r="D32">
            <v>0</v>
          </cell>
          <cell r="E32">
            <v>1769178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1.9E-2</v>
          </cell>
          <cell r="I33">
            <v>1.100217969328833E-2</v>
          </cell>
        </row>
        <row r="34">
          <cell r="C34">
            <v>1276264</v>
          </cell>
          <cell r="D34">
            <v>517034</v>
          </cell>
          <cell r="E34">
            <v>759230</v>
          </cell>
          <cell r="F34">
            <v>21696.48</v>
          </cell>
          <cell r="H34">
            <v>1.7000000000000001E-2</v>
          </cell>
          <cell r="I34">
            <v>1.5237296061526625E-2</v>
          </cell>
        </row>
        <row r="35">
          <cell r="C35">
            <v>38758572</v>
          </cell>
          <cell r="D35">
            <v>16468450</v>
          </cell>
          <cell r="E35">
            <v>22290122</v>
          </cell>
          <cell r="F35">
            <v>817805.88</v>
          </cell>
          <cell r="H35">
            <v>2.1100000000000001E-2</v>
          </cell>
          <cell r="I35">
            <v>2.3063769121861685E-2</v>
          </cell>
        </row>
        <row r="36">
          <cell r="C36">
            <v>22781417</v>
          </cell>
          <cell r="D36">
            <v>9322700</v>
          </cell>
          <cell r="E36">
            <v>13458717</v>
          </cell>
          <cell r="F36">
            <v>380449.56</v>
          </cell>
          <cell r="H36">
            <v>1.67E-2</v>
          </cell>
          <cell r="I36">
            <v>1.254568132840889E-2</v>
          </cell>
        </row>
        <row r="37">
          <cell r="C37">
            <v>204200</v>
          </cell>
          <cell r="D37">
            <v>105497</v>
          </cell>
          <cell r="E37">
            <v>98703</v>
          </cell>
          <cell r="F37">
            <v>6166.92</v>
          </cell>
          <cell r="H37">
            <v>3.0200000000000001E-2</v>
          </cell>
          <cell r="I37">
            <v>3.0389125381143935E-2</v>
          </cell>
        </row>
        <row r="38">
          <cell r="C38">
            <v>23640685</v>
          </cell>
          <cell r="D38">
            <v>12763954</v>
          </cell>
          <cell r="E38">
            <v>10876731</v>
          </cell>
          <cell r="F38">
            <v>498818.4</v>
          </cell>
          <cell r="H38">
            <v>2.1100000000000001E-2</v>
          </cell>
          <cell r="I38">
            <v>1.2887099980659764E-2</v>
          </cell>
        </row>
        <row r="39">
          <cell r="C39">
            <v>74854</v>
          </cell>
          <cell r="D39">
            <v>15257</v>
          </cell>
          <cell r="E39">
            <v>59597</v>
          </cell>
          <cell r="F39">
            <v>1070.4000000000001</v>
          </cell>
          <cell r="H39">
            <v>1.43E-2</v>
          </cell>
          <cell r="I39">
            <v>1.3996513005442461E-2</v>
          </cell>
        </row>
        <row r="43">
          <cell r="C43">
            <v>30604</v>
          </cell>
          <cell r="D43">
            <v>0</v>
          </cell>
          <cell r="E43">
            <v>30604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1.9E-2</v>
          </cell>
          <cell r="I44">
            <v>1.100217969328833E-2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1.7000000000000001E-2</v>
          </cell>
          <cell r="I45">
            <v>1.5237296061526625E-2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2.1100000000000001E-2</v>
          </cell>
          <cell r="I46">
            <v>2.3063769121861685E-2</v>
          </cell>
        </row>
        <row r="47">
          <cell r="C47">
            <v>5744097</v>
          </cell>
          <cell r="D47">
            <v>1876774</v>
          </cell>
          <cell r="E47">
            <v>3867323</v>
          </cell>
          <cell r="F47">
            <v>95926.44</v>
          </cell>
          <cell r="H47">
            <v>1.67E-2</v>
          </cell>
          <cell r="I47">
            <v>1.254568132840889E-2</v>
          </cell>
        </row>
        <row r="48">
          <cell r="C48">
            <v>3516565</v>
          </cell>
          <cell r="D48">
            <v>1866197</v>
          </cell>
          <cell r="E48">
            <v>1650368</v>
          </cell>
          <cell r="F48">
            <v>106200.24</v>
          </cell>
          <cell r="H48">
            <v>3.0200000000000001E-2</v>
          </cell>
          <cell r="I48">
            <v>3.0389125381143935E-2</v>
          </cell>
        </row>
        <row r="49">
          <cell r="C49">
            <v>12700860</v>
          </cell>
          <cell r="D49">
            <v>5841065</v>
          </cell>
          <cell r="E49">
            <v>6859795</v>
          </cell>
          <cell r="F49">
            <v>267988.2</v>
          </cell>
          <cell r="H49">
            <v>2.1100000000000001E-2</v>
          </cell>
          <cell r="I49">
            <v>1.2887099980659764E-2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1.43E-2</v>
          </cell>
          <cell r="I50">
            <v>1.3996513005442461E-2</v>
          </cell>
        </row>
        <row r="54">
          <cell r="D54">
            <v>-364419.41022785526</v>
          </cell>
          <cell r="F54">
            <v>-728838.82045571052</v>
          </cell>
        </row>
        <row r="58">
          <cell r="C58">
            <v>-5764580.9400000004</v>
          </cell>
        </row>
        <row r="60">
          <cell r="C60">
            <v>1751767.9800000479</v>
          </cell>
          <cell r="F60">
            <v>213630.15</v>
          </cell>
        </row>
        <row r="61">
          <cell r="C61">
            <v>284021.58399999997</v>
          </cell>
          <cell r="F61">
            <v>-34492.794000000002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5"/>
      <sheetName val="Exh. No. JSS-2 -&gt;"/>
      <sheetName val="PROPOSED RATES-2017"/>
      <sheetName val="PROPOSED RATES-2008 6-months"/>
      <sheetName val="RR SUMMARY"/>
      <sheetName val="CF "/>
      <sheetName val="ADJ DETAIL-INPUT"/>
      <sheetName val="LEAD SHEETS-DO NOT ENTER"/>
      <sheetName val="ADJ SUMMARY"/>
      <sheetName val="ROO INPUT"/>
      <sheetName val="DEBT CALC"/>
      <sheetName val="COMPARISON"/>
    </sheetNames>
    <sheetDataSet>
      <sheetData sheetId="0"/>
      <sheetData sheetId="1"/>
      <sheetData sheetId="2"/>
      <sheetData sheetId="3"/>
      <sheetData sheetId="4">
        <row r="14">
          <cell r="P14">
            <v>7.6399999999999996E-2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KJB-3 Def"/>
      <sheetName val="KJB-4 Sum"/>
      <sheetName val="KJB-6 Cmn Adj"/>
      <sheetName val="KJB-7 El Adj"/>
      <sheetName val="Power Cost Bridge to A-1"/>
      <sheetName val="Exh.A-1"/>
      <sheetName val="Work Papers==&gt;"/>
      <sheetName val="JAP-07"/>
      <sheetName val="For Prod Adj Expense"/>
      <sheetName val="For Prod Adj Ratebase"/>
      <sheetName val="Verify Pwr Costs"/>
      <sheetName val="RJR Prod O&amp;M"/>
      <sheetName val="PKW RY PC1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>
        <row r="15">
          <cell r="H15">
            <v>7.7399999999999997E-2</v>
          </cell>
        </row>
        <row r="21">
          <cell r="C21">
            <v>0.61905100000000002</v>
          </cell>
        </row>
        <row r="23">
          <cell r="C23">
            <v>406089.5577419175</v>
          </cell>
        </row>
        <row r="25">
          <cell r="C25">
            <v>148655896.44225809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E"/>
      <sheetName val="Electric"/>
      <sheetName val="Elec Study Rpt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 refreshError="1"/>
      <sheetData sheetId="1" refreshError="1"/>
      <sheetData sheetId="2">
        <row r="12">
          <cell r="C12">
            <v>249419038.22</v>
          </cell>
          <cell r="D12">
            <v>284937649.31774509</v>
          </cell>
          <cell r="N12">
            <v>-21850828.187069781</v>
          </cell>
        </row>
        <row r="13">
          <cell r="C13">
            <v>15207047.519823998</v>
          </cell>
          <cell r="D13">
            <v>13232378.856776908</v>
          </cell>
        </row>
        <row r="14">
          <cell r="C14">
            <v>55937.910695999999</v>
          </cell>
          <cell r="D14">
            <v>55937.910695999999</v>
          </cell>
        </row>
        <row r="15">
          <cell r="C15">
            <v>29770695.186882004</v>
          </cell>
          <cell r="D15">
            <v>29770695.186882004</v>
          </cell>
        </row>
        <row r="18">
          <cell r="C18">
            <v>1352124.73</v>
          </cell>
          <cell r="D18">
            <v>1739313.9972498522</v>
          </cell>
        </row>
        <row r="19">
          <cell r="C19">
            <v>1476016.7034779999</v>
          </cell>
          <cell r="D19">
            <v>0</v>
          </cell>
        </row>
        <row r="25">
          <cell r="C25">
            <v>1424661.0825685868</v>
          </cell>
          <cell r="D25">
            <v>1820785.2132301694</v>
          </cell>
        </row>
        <row r="26">
          <cell r="C26">
            <v>1148003.003511413</v>
          </cell>
          <cell r="D26">
            <v>0</v>
          </cell>
        </row>
        <row r="30">
          <cell r="C30">
            <v>846819.31998199993</v>
          </cell>
          <cell r="D30">
            <v>539848.88443131489</v>
          </cell>
        </row>
        <row r="40">
          <cell r="E40">
            <v>5494346.4957621396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82">
          <cell r="I482">
            <v>-20954003.982056607</v>
          </cell>
          <cell r="J482">
            <v>41908007.964113213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13" Type="http://schemas.openxmlformats.org/officeDocument/2006/relationships/printerSettings" Target="../printerSettings/printerSettings21.bin"/><Relationship Id="rId18" Type="http://schemas.openxmlformats.org/officeDocument/2006/relationships/printerSettings" Target="../printerSettings/printerSettings26.bin"/><Relationship Id="rId26" Type="http://schemas.openxmlformats.org/officeDocument/2006/relationships/printerSettings" Target="../printerSettings/printerSettings34.bin"/><Relationship Id="rId39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11.bin"/><Relationship Id="rId21" Type="http://schemas.openxmlformats.org/officeDocument/2006/relationships/printerSettings" Target="../printerSettings/printerSettings29.bin"/><Relationship Id="rId34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15.bin"/><Relationship Id="rId12" Type="http://schemas.openxmlformats.org/officeDocument/2006/relationships/printerSettings" Target="../printerSettings/printerSettings20.bin"/><Relationship Id="rId17" Type="http://schemas.openxmlformats.org/officeDocument/2006/relationships/printerSettings" Target="../printerSettings/printerSettings25.bin"/><Relationship Id="rId25" Type="http://schemas.openxmlformats.org/officeDocument/2006/relationships/printerSettings" Target="../printerSettings/printerSettings33.bin"/><Relationship Id="rId33" Type="http://schemas.openxmlformats.org/officeDocument/2006/relationships/printerSettings" Target="../printerSettings/printerSettings41.bin"/><Relationship Id="rId38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10.bin"/><Relationship Id="rId16" Type="http://schemas.openxmlformats.org/officeDocument/2006/relationships/printerSettings" Target="../printerSettings/printerSettings24.bin"/><Relationship Id="rId20" Type="http://schemas.openxmlformats.org/officeDocument/2006/relationships/printerSettings" Target="../printerSettings/printerSettings28.bin"/><Relationship Id="rId29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11" Type="http://schemas.openxmlformats.org/officeDocument/2006/relationships/printerSettings" Target="../printerSettings/printerSettings19.bin"/><Relationship Id="rId24" Type="http://schemas.openxmlformats.org/officeDocument/2006/relationships/printerSettings" Target="../printerSettings/printerSettings32.bin"/><Relationship Id="rId32" Type="http://schemas.openxmlformats.org/officeDocument/2006/relationships/printerSettings" Target="../printerSettings/printerSettings40.bin"/><Relationship Id="rId37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13.bin"/><Relationship Id="rId15" Type="http://schemas.openxmlformats.org/officeDocument/2006/relationships/printerSettings" Target="../printerSettings/printerSettings23.bin"/><Relationship Id="rId23" Type="http://schemas.openxmlformats.org/officeDocument/2006/relationships/printerSettings" Target="../printerSettings/printerSettings31.bin"/><Relationship Id="rId28" Type="http://schemas.openxmlformats.org/officeDocument/2006/relationships/printerSettings" Target="../printerSettings/printerSettings36.bin"/><Relationship Id="rId36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18.bin"/><Relationship Id="rId19" Type="http://schemas.openxmlformats.org/officeDocument/2006/relationships/printerSettings" Target="../printerSettings/printerSettings27.bin"/><Relationship Id="rId3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12.bin"/><Relationship Id="rId9" Type="http://schemas.openxmlformats.org/officeDocument/2006/relationships/printerSettings" Target="../printerSettings/printerSettings17.bin"/><Relationship Id="rId14" Type="http://schemas.openxmlformats.org/officeDocument/2006/relationships/printerSettings" Target="../printerSettings/printerSettings22.bin"/><Relationship Id="rId22" Type="http://schemas.openxmlformats.org/officeDocument/2006/relationships/printerSettings" Target="../printerSettings/printerSettings30.bin"/><Relationship Id="rId27" Type="http://schemas.openxmlformats.org/officeDocument/2006/relationships/printerSettings" Target="../printerSettings/printerSettings35.bin"/><Relationship Id="rId30" Type="http://schemas.openxmlformats.org/officeDocument/2006/relationships/printerSettings" Target="../printerSettings/printerSettings38.bin"/><Relationship Id="rId35" Type="http://schemas.openxmlformats.org/officeDocument/2006/relationships/printerSettings" Target="../printerSettings/printerSettings4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abSelected="1" zoomScaleNormal="100" zoomScaleSheetLayoutView="100" workbookViewId="0"/>
  </sheetViews>
  <sheetFormatPr defaultRowHeight="12.75"/>
  <cols>
    <col min="1" max="1" width="1.6640625" style="992" customWidth="1"/>
    <col min="2" max="2" width="6.6640625" style="992" customWidth="1"/>
    <col min="3" max="3" width="1.6640625" style="992" customWidth="1"/>
    <col min="4" max="4" width="6.6640625" style="1006" customWidth="1"/>
    <col min="5" max="5" width="1.6640625" style="992" customWidth="1"/>
    <col min="6" max="6" width="48.33203125" style="992" customWidth="1"/>
    <col min="7" max="7" width="1.6640625" style="992" customWidth="1"/>
    <col min="8" max="8" width="1.6640625" style="998" customWidth="1"/>
    <col min="9" max="9" width="12.1640625" style="992" customWidth="1"/>
    <col min="10" max="10" width="1.6640625" style="992" customWidth="1"/>
    <col min="11" max="11" width="12.1640625" style="992" customWidth="1"/>
    <col min="12" max="12" width="1.6640625" style="992" customWidth="1"/>
    <col min="13" max="13" width="12.1640625" style="992" customWidth="1"/>
    <col min="14" max="14" width="1.6640625" style="992" customWidth="1"/>
    <col min="15" max="15" width="1.6640625" style="998" customWidth="1"/>
    <col min="16" max="16" width="12.1640625" style="992" customWidth="1"/>
    <col min="17" max="17" width="1.6640625" style="992" customWidth="1"/>
    <col min="18" max="18" width="12.1640625" style="992" customWidth="1"/>
    <col min="19" max="19" width="1.6640625" style="992" customWidth="1"/>
    <col min="20" max="20" width="12.1640625" style="992" customWidth="1"/>
    <col min="21" max="21" width="1.6640625" style="992" customWidth="1"/>
    <col min="22" max="22" width="1.6640625" style="998" customWidth="1"/>
    <col min="23" max="23" width="12.1640625" style="999" customWidth="1"/>
    <col min="24" max="24" width="1.6640625" style="999" customWidth="1"/>
    <col min="25" max="25" width="12.1640625" style="999" customWidth="1"/>
    <col min="26" max="26" width="1.6640625" style="999" customWidth="1"/>
    <col min="27" max="27" width="12.1640625" style="999" customWidth="1"/>
    <col min="28" max="28" width="1.6640625" style="999" customWidth="1"/>
    <col min="29" max="29" width="12.1640625" style="999" customWidth="1"/>
    <col min="30" max="30" width="1.6640625" style="999" customWidth="1"/>
    <col min="31" max="31" width="27.33203125" style="992" customWidth="1"/>
    <col min="32" max="32" width="3" style="992" customWidth="1"/>
    <col min="33" max="33" width="24.6640625" style="992" customWidth="1"/>
    <col min="34" max="36" width="13.83203125" style="992" customWidth="1"/>
    <col min="37" max="38" width="9.33203125" style="992"/>
    <col min="39" max="39" width="14.83203125" style="992" bestFit="1" customWidth="1"/>
    <col min="40" max="41" width="9.33203125" style="992"/>
    <col min="42" max="42" width="13.6640625" style="992" bestFit="1" customWidth="1"/>
    <col min="43" max="16384" width="9.33203125" style="992"/>
  </cols>
  <sheetData>
    <row r="1" spans="1:42">
      <c r="A1" s="990" t="s">
        <v>1190</v>
      </c>
      <c r="B1" s="991"/>
      <c r="C1" s="991"/>
      <c r="D1" s="1008"/>
      <c r="E1" s="991"/>
      <c r="G1" s="993"/>
      <c r="H1" s="993"/>
      <c r="I1" s="994"/>
      <c r="J1" s="995"/>
      <c r="K1" s="995"/>
      <c r="L1" s="995"/>
      <c r="M1" s="995"/>
      <c r="N1" s="993"/>
      <c r="O1" s="993"/>
      <c r="P1" s="991"/>
      <c r="Q1" s="991"/>
      <c r="R1" s="991"/>
      <c r="S1" s="991"/>
      <c r="T1" s="991"/>
      <c r="U1" s="996"/>
      <c r="V1" s="996"/>
      <c r="W1" s="997"/>
      <c r="X1" s="997"/>
      <c r="Y1" s="997"/>
      <c r="Z1" s="997"/>
      <c r="AA1" s="997"/>
      <c r="AB1" s="997"/>
      <c r="AC1" s="997"/>
      <c r="AD1" s="997"/>
      <c r="AE1" s="998"/>
      <c r="AF1" s="991"/>
      <c r="AG1" s="997"/>
      <c r="AH1" s="997"/>
      <c r="AI1" s="997"/>
      <c r="AJ1" s="997"/>
      <c r="AK1" s="999"/>
      <c r="AL1" s="999"/>
    </row>
    <row r="2" spans="1:42">
      <c r="B2" s="991"/>
      <c r="C2" s="991"/>
      <c r="D2" s="1008"/>
      <c r="E2" s="991"/>
      <c r="G2" s="993"/>
      <c r="H2" s="993"/>
      <c r="I2" s="1000" t="s">
        <v>1270</v>
      </c>
      <c r="J2" s="1001"/>
      <c r="K2" s="1001"/>
      <c r="L2" s="1001"/>
      <c r="M2" s="1001"/>
      <c r="N2" s="1002"/>
      <c r="O2" s="995"/>
      <c r="P2" s="1000" t="s">
        <v>1184</v>
      </c>
      <c r="Q2" s="1003"/>
      <c r="R2" s="1003"/>
      <c r="S2" s="1003"/>
      <c r="T2" s="1003"/>
      <c r="U2" s="996"/>
      <c r="V2" s="996"/>
      <c r="W2" s="1004" t="s">
        <v>1185</v>
      </c>
      <c r="X2" s="1005"/>
      <c r="Y2" s="1005"/>
      <c r="Z2" s="1005"/>
      <c r="AA2" s="1005"/>
      <c r="AB2" s="1005"/>
      <c r="AC2" s="1005"/>
      <c r="AD2" s="997"/>
      <c r="AE2" s="998"/>
      <c r="AF2" s="991"/>
      <c r="AG2" s="1005" t="s">
        <v>1162</v>
      </c>
      <c r="AH2" s="1005"/>
      <c r="AI2" s="1005"/>
      <c r="AJ2" s="1005"/>
      <c r="AK2" s="999"/>
      <c r="AL2" s="999"/>
    </row>
    <row r="3" spans="1:42">
      <c r="B3" s="991"/>
      <c r="C3" s="991"/>
      <c r="D3" s="1008"/>
      <c r="E3" s="991"/>
      <c r="F3" s="991"/>
      <c r="G3" s="993"/>
      <c r="H3" s="993"/>
      <c r="I3" s="1006"/>
      <c r="J3" s="1006"/>
      <c r="K3" s="1006"/>
      <c r="L3" s="1006"/>
      <c r="M3" s="1006" t="s">
        <v>1163</v>
      </c>
      <c r="N3" s="996"/>
      <c r="O3" s="996"/>
      <c r="P3" s="1006"/>
      <c r="Q3" s="1006"/>
      <c r="R3" s="1006"/>
      <c r="S3" s="1006"/>
      <c r="T3" s="1006" t="s">
        <v>1163</v>
      </c>
      <c r="U3" s="996"/>
      <c r="V3" s="996"/>
      <c r="W3" s="1006" t="s">
        <v>1164</v>
      </c>
      <c r="X3" s="1006"/>
      <c r="Y3" s="1006"/>
      <c r="Z3" s="1006"/>
      <c r="AA3" s="1006"/>
      <c r="AB3" s="1007"/>
      <c r="AC3" s="1006" t="s">
        <v>1163</v>
      </c>
      <c r="AD3" s="1007"/>
      <c r="AE3" s="1007"/>
      <c r="AF3" s="991"/>
    </row>
    <row r="4" spans="1:42">
      <c r="B4" s="991"/>
      <c r="C4" s="991"/>
      <c r="D4" s="1008" t="s">
        <v>1165</v>
      </c>
      <c r="E4" s="991"/>
      <c r="F4" s="991"/>
      <c r="G4" s="993"/>
      <c r="H4" s="993"/>
      <c r="I4" s="1006" t="s">
        <v>1166</v>
      </c>
      <c r="J4" s="1006"/>
      <c r="K4" s="1006"/>
      <c r="L4" s="1006"/>
      <c r="M4" s="1009" t="s">
        <v>1167</v>
      </c>
      <c r="N4" s="996"/>
      <c r="O4" s="996"/>
      <c r="P4" s="1006" t="s">
        <v>1166</v>
      </c>
      <c r="Q4" s="1006"/>
      <c r="R4" s="1006"/>
      <c r="S4" s="1006"/>
      <c r="T4" s="1009" t="s">
        <v>1167</v>
      </c>
      <c r="U4" s="996"/>
      <c r="V4" s="996"/>
      <c r="W4" s="1006" t="s">
        <v>1166</v>
      </c>
      <c r="X4" s="1006"/>
      <c r="Y4" s="1006" t="s">
        <v>1166</v>
      </c>
      <c r="Z4" s="1006"/>
      <c r="AA4" s="1006"/>
      <c r="AB4" s="1006"/>
      <c r="AC4" s="1009" t="s">
        <v>1167</v>
      </c>
      <c r="AD4" s="1009"/>
      <c r="AE4" s="1009"/>
      <c r="AF4" s="991"/>
      <c r="AG4" s="992" t="s">
        <v>1168</v>
      </c>
      <c r="AH4" s="1010">
        <f>+'BGM-3 (3) Param'!C21</f>
        <v>0.61905100000000002</v>
      </c>
    </row>
    <row r="5" spans="1:42">
      <c r="B5" s="1011" t="s">
        <v>247</v>
      </c>
      <c r="C5" s="991"/>
      <c r="D5" s="1012" t="s">
        <v>1169</v>
      </c>
      <c r="E5" s="991"/>
      <c r="F5" s="1011" t="s">
        <v>375</v>
      </c>
      <c r="G5" s="993"/>
      <c r="H5" s="993"/>
      <c r="I5" s="1013" t="s">
        <v>1170</v>
      </c>
      <c r="J5" s="1006"/>
      <c r="K5" s="1013" t="s">
        <v>265</v>
      </c>
      <c r="L5" s="1006"/>
      <c r="M5" s="1013" t="s">
        <v>1171</v>
      </c>
      <c r="N5" s="996"/>
      <c r="O5" s="996"/>
      <c r="P5" s="1013" t="s">
        <v>1170</v>
      </c>
      <c r="Q5" s="1006"/>
      <c r="R5" s="1013" t="s">
        <v>265</v>
      </c>
      <c r="S5" s="1006"/>
      <c r="T5" s="1013" t="s">
        <v>1171</v>
      </c>
      <c r="U5" s="996"/>
      <c r="V5" s="996"/>
      <c r="W5" s="1013" t="s">
        <v>1170</v>
      </c>
      <c r="X5" s="1006"/>
      <c r="Y5" s="1013" t="s">
        <v>1170</v>
      </c>
      <c r="Z5" s="1006"/>
      <c r="AA5" s="1013" t="s">
        <v>265</v>
      </c>
      <c r="AB5" s="1007"/>
      <c r="AC5" s="1013" t="s">
        <v>1171</v>
      </c>
      <c r="AD5" s="1007"/>
      <c r="AE5" s="1012" t="s">
        <v>1186</v>
      </c>
      <c r="AF5" s="991"/>
      <c r="AG5" s="992" t="s">
        <v>1172</v>
      </c>
      <c r="AH5" s="1014">
        <v>0.35</v>
      </c>
    </row>
    <row r="6" spans="1:42">
      <c r="G6" s="998"/>
    </row>
    <row r="7" spans="1:42">
      <c r="B7" s="992">
        <v>1</v>
      </c>
      <c r="D7" s="1032">
        <v>1</v>
      </c>
      <c r="E7" s="991"/>
      <c r="F7" s="990" t="s">
        <v>1188</v>
      </c>
      <c r="G7" s="1015"/>
      <c r="H7" s="1015"/>
      <c r="I7" s="1016">
        <f>+INDEX('BGM-3 (2) Detail '!$49:$49,1,MATCH($D7,'BGM-3 (2) Detail '!$14:$14,0))/1000</f>
        <v>401002.97169877886</v>
      </c>
      <c r="J7" s="1016"/>
      <c r="K7" s="1016">
        <f>+INDEX('BGM-3 (2) Detail '!$62:$62,1,MATCH($D7,'BGM-3 (2) Detail '!$14:$14,0))/1000</f>
        <v>5153204.461585884</v>
      </c>
      <c r="L7" s="1016"/>
      <c r="M7" s="1016">
        <f>+($K7*$AJ$12-$I7)/$AH$4</f>
        <v>-31767.724373958627</v>
      </c>
      <c r="N7" s="991"/>
      <c r="O7" s="1015"/>
      <c r="P7" s="1016">
        <f>+I7</f>
        <v>401002.97169877886</v>
      </c>
      <c r="Q7" s="1016"/>
      <c r="R7" s="1016">
        <f>+K7</f>
        <v>5153204.461585884</v>
      </c>
      <c r="S7" s="1016"/>
      <c r="T7" s="1016">
        <f>+($R7*$AJ$12-$P7)/$AH$4</f>
        <v>-31767.724373958627</v>
      </c>
      <c r="AF7" s="991"/>
    </row>
    <row r="8" spans="1:42">
      <c r="D8" s="1033"/>
      <c r="G8" s="998"/>
      <c r="I8" s="1017"/>
      <c r="J8" s="1017"/>
      <c r="K8" s="1017"/>
      <c r="L8" s="1017"/>
      <c r="M8" s="1017"/>
      <c r="P8" s="1017"/>
      <c r="Q8" s="1017"/>
      <c r="R8" s="1017"/>
      <c r="S8" s="1017"/>
      <c r="T8" s="1017"/>
      <c r="AG8" s="992" t="s">
        <v>1173</v>
      </c>
      <c r="AH8" s="992" t="s">
        <v>1174</v>
      </c>
      <c r="AJ8" s="992" t="s">
        <v>1175</v>
      </c>
      <c r="AN8" s="992" t="s">
        <v>1272</v>
      </c>
      <c r="AO8" s="992" t="s">
        <v>1273</v>
      </c>
      <c r="AP8" s="992" t="s">
        <v>1274</v>
      </c>
    </row>
    <row r="9" spans="1:42">
      <c r="B9" s="1018" t="s">
        <v>1176</v>
      </c>
      <c r="D9" s="1033"/>
      <c r="G9" s="998"/>
      <c r="I9" s="1017"/>
      <c r="J9" s="1017"/>
      <c r="K9" s="1017"/>
      <c r="L9" s="1017"/>
      <c r="M9" s="1017"/>
      <c r="P9" s="1017"/>
      <c r="Q9" s="1017"/>
      <c r="R9" s="1017"/>
      <c r="S9" s="1017"/>
      <c r="T9" s="1017"/>
      <c r="AG9" s="1004" t="s">
        <v>1177</v>
      </c>
      <c r="AH9" s="1004" t="s">
        <v>1178</v>
      </c>
      <c r="AI9" s="1004" t="s">
        <v>1179</v>
      </c>
      <c r="AJ9" s="1004" t="s">
        <v>1179</v>
      </c>
      <c r="AM9" s="992" t="s">
        <v>937</v>
      </c>
    </row>
    <row r="10" spans="1:42">
      <c r="B10" s="992">
        <f ca="1">+MAX(OFFSET($B$7,0,0,ROW($B10)-ROW($B$7),1))+1</f>
        <v>2</v>
      </c>
      <c r="D10" s="1033">
        <v>6.01</v>
      </c>
      <c r="F10" s="992" t="s">
        <v>1225</v>
      </c>
      <c r="G10" s="998"/>
      <c r="I10" s="1017">
        <v>-29139.113529240974</v>
      </c>
      <c r="J10" s="1017"/>
      <c r="K10" s="1017">
        <v>0</v>
      </c>
      <c r="L10" s="1017"/>
      <c r="M10" s="1017">
        <f t="shared" ref="M10:M35" si="0">+($K10*$AJ$12-$I10)/$AH$4</f>
        <v>47070.618623087554</v>
      </c>
      <c r="P10" s="1017">
        <f t="shared" ref="P10" si="1">+I10+Y10</f>
        <v>-29139.113529240974</v>
      </c>
      <c r="Q10" s="1017"/>
      <c r="R10" s="1017">
        <f t="shared" ref="R10" si="2">+K10+AA10</f>
        <v>0</v>
      </c>
      <c r="S10" s="1017"/>
      <c r="T10" s="1017">
        <f t="shared" ref="T10:T35" si="3">+($R10*$AJ$12-$P10)/$AH$4</f>
        <v>47070.618623087554</v>
      </c>
      <c r="W10" s="1017">
        <v>0</v>
      </c>
      <c r="X10" s="1017"/>
      <c r="Y10" s="1017">
        <f t="shared" ref="Y10" si="4">+W10*(1-$AH$5)</f>
        <v>0</v>
      </c>
      <c r="Z10" s="1017"/>
      <c r="AA10" s="1017">
        <v>0</v>
      </c>
      <c r="AB10" s="1019"/>
      <c r="AC10" s="1017">
        <f t="shared" ref="AC10:AC35" si="5">+($AA10*$AJ$12-$Y10)/$AH$4</f>
        <v>0</v>
      </c>
      <c r="AE10" s="992" t="s">
        <v>1189</v>
      </c>
      <c r="AG10" s="992" t="s">
        <v>1180</v>
      </c>
      <c r="AH10" s="992">
        <f>+'BGM-3 (3) Param'!F17</f>
        <v>0.51500000000000001</v>
      </c>
      <c r="AI10" s="1020">
        <f>+'BGM-3 (3) Param'!G13</f>
        <v>5.8058252427184473E-2</v>
      </c>
      <c r="AJ10" s="1021">
        <f>ROUND(AH10*AI10,4)</f>
        <v>2.9899999999999999E-2</v>
      </c>
      <c r="AM10" s="1017">
        <f>+INDEX('BGM-3 (2) Detail '!$49:$49,1,MATCH($D10,'BGM-3 (2) Detail '!$14:$14,0))-P10*1000</f>
        <v>0</v>
      </c>
      <c r="AN10" s="1046">
        <f>+$AC$14*AA10/($AA$56-$AA$52)</f>
        <v>0</v>
      </c>
      <c r="AO10" s="1074">
        <f>+$AC$52*(AC10/($AC$56-$AC$52-$AC$14))</f>
        <v>0</v>
      </c>
      <c r="AP10" s="1046">
        <f>+AC10+SUM(AN10:AO10)</f>
        <v>0</v>
      </c>
    </row>
    <row r="11" spans="1:42">
      <c r="B11" s="992">
        <f t="shared" ref="B11:B56" ca="1" si="6">+MAX(OFFSET($B$7,0,0,ROW($B11)-ROW($B$7),1))+1</f>
        <v>3</v>
      </c>
      <c r="D11" s="1033">
        <v>6.02</v>
      </c>
      <c r="F11" s="992" t="s">
        <v>1226</v>
      </c>
      <c r="G11" s="998"/>
      <c r="I11" s="1017">
        <v>17527.344000000001</v>
      </c>
      <c r="J11" s="1017"/>
      <c r="K11" s="1017">
        <v>0</v>
      </c>
      <c r="L11" s="1017"/>
      <c r="M11" s="1017">
        <f t="shared" si="0"/>
        <v>-28313.247212265225</v>
      </c>
      <c r="P11" s="1017">
        <f t="shared" ref="P11:P31" si="7">+I11+Y11</f>
        <v>17527.344000000001</v>
      </c>
      <c r="Q11" s="1017"/>
      <c r="R11" s="1017">
        <f t="shared" ref="R11:R31" si="8">+K11+AA11</f>
        <v>0</v>
      </c>
      <c r="S11" s="1017"/>
      <c r="T11" s="1017">
        <f t="shared" si="3"/>
        <v>-28313.247212265225</v>
      </c>
      <c r="W11" s="1017">
        <v>0</v>
      </c>
      <c r="X11" s="1017"/>
      <c r="Y11" s="1017">
        <f t="shared" ref="Y11:Y31" si="9">+W11*(1-$AH$5)</f>
        <v>0</v>
      </c>
      <c r="Z11" s="1017"/>
      <c r="AA11" s="1017">
        <v>0</v>
      </c>
      <c r="AB11" s="1019"/>
      <c r="AC11" s="1017">
        <f t="shared" si="5"/>
        <v>0</v>
      </c>
      <c r="AE11" s="992" t="s">
        <v>1189</v>
      </c>
      <c r="AG11" s="992" t="s">
        <v>1181</v>
      </c>
      <c r="AH11" s="992">
        <f>1-AH10</f>
        <v>0.48499999999999999</v>
      </c>
      <c r="AI11" s="1020">
        <v>9.0999999999999998E-2</v>
      </c>
      <c r="AJ11" s="1022">
        <f>ROUND(AH11*AI11,4)</f>
        <v>4.41E-2</v>
      </c>
      <c r="AM11" s="1017">
        <f>+INDEX('BGM-3 (2) Detail '!$49:$49,1,MATCH($D11,'BGM-3 (2) Detail '!$14:$14,0))-P11*1000</f>
        <v>0</v>
      </c>
      <c r="AN11" s="1046">
        <f>+$AC$14*AA11/($AA$56-$AA$52)</f>
        <v>0</v>
      </c>
      <c r="AO11" s="1074">
        <f>+$AC$52*(AC11/($AC$56-$AC$52-$AC$14))</f>
        <v>0</v>
      </c>
      <c r="AP11" s="1046">
        <f t="shared" ref="AP11:AP34" si="10">+AC11+SUM(AN11:AO11)</f>
        <v>0</v>
      </c>
    </row>
    <row r="12" spans="1:42">
      <c r="B12" s="992">
        <f t="shared" ca="1" si="6"/>
        <v>4</v>
      </c>
      <c r="D12" s="1033">
        <v>6.0299999999999994</v>
      </c>
      <c r="F12" s="992" t="s">
        <v>1227</v>
      </c>
      <c r="G12" s="998"/>
      <c r="I12" s="1017">
        <v>-1000.5403107059002</v>
      </c>
      <c r="J12" s="1017"/>
      <c r="K12" s="1017">
        <v>0</v>
      </c>
      <c r="L12" s="1017"/>
      <c r="M12" s="1017">
        <f t="shared" si="0"/>
        <v>1616.2485977825738</v>
      </c>
      <c r="P12" s="1017">
        <f t="shared" si="7"/>
        <v>-1000.5403107059002</v>
      </c>
      <c r="Q12" s="1017"/>
      <c r="R12" s="1017">
        <f t="shared" si="8"/>
        <v>0</v>
      </c>
      <c r="S12" s="1017"/>
      <c r="T12" s="1017">
        <f t="shared" si="3"/>
        <v>1616.2485977825738</v>
      </c>
      <c r="W12" s="1017">
        <v>0</v>
      </c>
      <c r="X12" s="1017"/>
      <c r="Y12" s="1017">
        <f t="shared" si="9"/>
        <v>0</v>
      </c>
      <c r="Z12" s="1017"/>
      <c r="AA12" s="1017">
        <v>0</v>
      </c>
      <c r="AB12" s="1019"/>
      <c r="AC12" s="1017">
        <f t="shared" si="5"/>
        <v>0</v>
      </c>
      <c r="AE12" s="992" t="s">
        <v>1189</v>
      </c>
      <c r="AG12" s="992" t="s">
        <v>178</v>
      </c>
      <c r="AH12" s="1023">
        <f>SUM(AH10:AH11)</f>
        <v>1</v>
      </c>
      <c r="AJ12" s="1021">
        <f>SUM(AJ10:AJ11)</f>
        <v>7.3999999999999996E-2</v>
      </c>
      <c r="AM12" s="1017">
        <f>+INDEX('BGM-3 (2) Detail '!$49:$49,1,MATCH($D12,'BGM-3 (2) Detail '!$14:$14,0))-P12*1000</f>
        <v>0</v>
      </c>
      <c r="AN12" s="1046">
        <f>+$AC$14*AA12/($AA$56-$AA$52)</f>
        <v>0</v>
      </c>
      <c r="AO12" s="1074">
        <f>+$AC$52*(AC12/($AC$56-$AC$52-$AC$14))</f>
        <v>0</v>
      </c>
      <c r="AP12" s="1046">
        <f t="shared" si="10"/>
        <v>0</v>
      </c>
    </row>
    <row r="13" spans="1:42">
      <c r="B13" s="992">
        <f t="shared" ca="1" si="6"/>
        <v>5</v>
      </c>
      <c r="D13" s="1033">
        <v>6.0399999999999991</v>
      </c>
      <c r="F13" s="992" t="s">
        <v>1228</v>
      </c>
      <c r="G13" s="998"/>
      <c r="I13" s="1017">
        <v>-27023.238806572677</v>
      </c>
      <c r="J13" s="1017"/>
      <c r="K13" s="1017">
        <v>0</v>
      </c>
      <c r="L13" s="1017"/>
      <c r="M13" s="1017">
        <f t="shared" si="0"/>
        <v>43652.685815179488</v>
      </c>
      <c r="P13" s="1017">
        <f t="shared" si="7"/>
        <v>-27023.238806572677</v>
      </c>
      <c r="Q13" s="1017"/>
      <c r="R13" s="1017">
        <f t="shared" si="8"/>
        <v>0</v>
      </c>
      <c r="S13" s="1017"/>
      <c r="T13" s="1017">
        <f t="shared" si="3"/>
        <v>43652.685815179488</v>
      </c>
      <c r="W13" s="1017">
        <v>0</v>
      </c>
      <c r="X13" s="1017"/>
      <c r="Y13" s="1017">
        <f t="shared" si="9"/>
        <v>0</v>
      </c>
      <c r="Z13" s="1017"/>
      <c r="AA13" s="1017">
        <v>0</v>
      </c>
      <c r="AB13" s="1019"/>
      <c r="AC13" s="1017">
        <f t="shared" si="5"/>
        <v>0</v>
      </c>
      <c r="AE13" s="992" t="s">
        <v>1189</v>
      </c>
      <c r="AJ13" s="1020"/>
      <c r="AM13" s="1017">
        <f>+INDEX('BGM-3 (2) Detail '!$49:$49,1,MATCH($D13,'BGM-3 (2) Detail '!$14:$14,0))-P13*1000</f>
        <v>0</v>
      </c>
      <c r="AN13" s="1046">
        <f>+$AC$14*AA13/($AA$56-$AA$52)</f>
        <v>0</v>
      </c>
      <c r="AO13" s="1074">
        <f>+$AC$52*(AC13/($AC$56-$AC$52-$AC$14))</f>
        <v>0</v>
      </c>
      <c r="AP13" s="1046">
        <f t="shared" si="10"/>
        <v>0</v>
      </c>
    </row>
    <row r="14" spans="1:42">
      <c r="B14" s="1062">
        <f t="shared" ca="1" si="6"/>
        <v>6</v>
      </c>
      <c r="C14" s="1062"/>
      <c r="D14" s="1063">
        <v>6.0499999999999989</v>
      </c>
      <c r="E14" s="1062"/>
      <c r="F14" s="1062" t="s">
        <v>1229</v>
      </c>
      <c r="G14" s="1064"/>
      <c r="H14" s="1064"/>
      <c r="I14" s="1065">
        <v>53350.176863264889</v>
      </c>
      <c r="J14" s="1065"/>
      <c r="K14" s="1065">
        <v>0</v>
      </c>
      <c r="L14" s="1065"/>
      <c r="M14" s="1065">
        <f t="shared" si="0"/>
        <v>-86180.584254390807</v>
      </c>
      <c r="N14" s="1066"/>
      <c r="O14" s="1064"/>
      <c r="P14" s="1067">
        <f t="shared" si="7"/>
        <v>50867.498851264623</v>
      </c>
      <c r="Q14" s="1067"/>
      <c r="R14" s="1067">
        <f t="shared" si="8"/>
        <v>0</v>
      </c>
      <c r="S14" s="1067"/>
      <c r="T14" s="1067">
        <f t="shared" si="3"/>
        <v>-82170.126292122339</v>
      </c>
      <c r="U14" s="1062"/>
      <c r="V14" s="1068"/>
      <c r="W14" s="1065">
        <v>0</v>
      </c>
      <c r="X14" s="1065"/>
      <c r="Y14" s="1065">
        <f>+'BGM-3 (4) Rstng Adj'!Y23/1000-'BGM-3 (1) Lead'!I14</f>
        <v>-2482.6780120002659</v>
      </c>
      <c r="Z14" s="1065"/>
      <c r="AA14" s="1065">
        <v>0</v>
      </c>
      <c r="AB14" s="1069"/>
      <c r="AC14" s="1065">
        <f t="shared" si="5"/>
        <v>4010.4579622684814</v>
      </c>
      <c r="AD14" s="1070"/>
      <c r="AE14" s="1062" t="s">
        <v>1256</v>
      </c>
      <c r="AI14" s="1024" t="s">
        <v>1269</v>
      </c>
      <c r="AJ14" s="1020">
        <f>+'[8]KJB-3 Def'!$H$15</f>
        <v>7.7399999999999997E-2</v>
      </c>
      <c r="AM14" s="1017">
        <f>+INDEX('BGM-3 (2) Detail '!$49:$49,1,MATCH($D14,'BGM-3 (2) Detail '!$14:$14,0))-P14*1000</f>
        <v>0</v>
      </c>
      <c r="AN14" s="1046"/>
      <c r="AO14" s="1074"/>
      <c r="AP14" s="1046"/>
    </row>
    <row r="15" spans="1:42">
      <c r="B15" s="1062">
        <f t="shared" ca="1" si="6"/>
        <v>7</v>
      </c>
      <c r="C15" s="1062"/>
      <c r="D15" s="1063">
        <v>6.0599999999999987</v>
      </c>
      <c r="E15" s="1062"/>
      <c r="F15" s="1062" t="s">
        <v>1230</v>
      </c>
      <c r="G15" s="1064"/>
      <c r="H15" s="1064"/>
      <c r="I15" s="1065">
        <v>-34610.611020140423</v>
      </c>
      <c r="J15" s="1065"/>
      <c r="K15" s="1065">
        <v>-17305.305510070204</v>
      </c>
      <c r="L15" s="1065"/>
      <c r="M15" s="1065">
        <f t="shared" si="0"/>
        <v>53840.504921880791</v>
      </c>
      <c r="N15" s="1066"/>
      <c r="O15" s="1064"/>
      <c r="P15" s="1067">
        <f t="shared" si="7"/>
        <v>-20407.572698545064</v>
      </c>
      <c r="Q15" s="1067"/>
      <c r="R15" s="1067">
        <f t="shared" si="8"/>
        <v>-10203.786349272528</v>
      </c>
      <c r="S15" s="1067"/>
      <c r="T15" s="1067">
        <f t="shared" si="3"/>
        <v>31746.160669636094</v>
      </c>
      <c r="U15" s="1062"/>
      <c r="V15" s="1068"/>
      <c r="W15" s="1065">
        <f>-'[9]Lead E'!$N$12/1000</f>
        <v>21850.828187069783</v>
      </c>
      <c r="X15" s="1065"/>
      <c r="Y15" s="1065">
        <f t="shared" si="9"/>
        <v>14203.038321595359</v>
      </c>
      <c r="Z15" s="1065"/>
      <c r="AA15" s="1065">
        <f>+'BGM-3 (4) Rstng Adj'!AD42/1000-'BGM-3 (1) Lead'!K15</f>
        <v>7101.5191607976758</v>
      </c>
      <c r="AB15" s="1069"/>
      <c r="AC15" s="1065">
        <f t="shared" si="5"/>
        <v>-22094.344252244693</v>
      </c>
      <c r="AD15" s="1070"/>
      <c r="AE15" s="1062" t="s">
        <v>1193</v>
      </c>
      <c r="AI15" s="1024"/>
      <c r="AJ15" s="1020"/>
      <c r="AM15" s="1017">
        <f>+INDEX('BGM-3 (2) Detail '!$49:$49,1,MATCH($D15,'BGM-3 (2) Detail '!$14:$14,0))-P15*1000</f>
        <v>0</v>
      </c>
      <c r="AN15" s="1046">
        <f t="shared" ref="AN15:AN35" si="11">+$AC$14*AA15/($AA$56-$AA$52)</f>
        <v>-119.94529165198119</v>
      </c>
      <c r="AO15" s="1074">
        <f t="shared" ref="AO15:AO35" si="12">+$AC$52*(AC15/($AC$56-$AC$52-$AC$14))</f>
        <v>-1.8545278092967381</v>
      </c>
      <c r="AP15" s="1046">
        <f t="shared" si="10"/>
        <v>-22216.14407170597</v>
      </c>
    </row>
    <row r="16" spans="1:42">
      <c r="B16" s="992">
        <f t="shared" ca="1" si="6"/>
        <v>8</v>
      </c>
      <c r="D16" s="1033">
        <v>6.0699999999999985</v>
      </c>
      <c r="F16" s="992" t="s">
        <v>1231</v>
      </c>
      <c r="G16" s="998"/>
      <c r="I16" s="1017">
        <v>69.387278670666689</v>
      </c>
      <c r="J16" s="1017"/>
      <c r="K16" s="1017">
        <v>0</v>
      </c>
      <c r="L16" s="1017"/>
      <c r="M16" s="1017">
        <f t="shared" si="0"/>
        <v>-112.08653030310376</v>
      </c>
      <c r="P16" s="1017">
        <f t="shared" si="7"/>
        <v>69.387278670666689</v>
      </c>
      <c r="Q16" s="1017"/>
      <c r="R16" s="1017">
        <f t="shared" si="8"/>
        <v>0</v>
      </c>
      <c r="S16" s="1017"/>
      <c r="T16" s="1017">
        <f t="shared" si="3"/>
        <v>-112.08653030310376</v>
      </c>
      <c r="W16" s="1017">
        <v>0</v>
      </c>
      <c r="X16" s="1017"/>
      <c r="Y16" s="1017">
        <f t="shared" si="9"/>
        <v>0</v>
      </c>
      <c r="Z16" s="1017"/>
      <c r="AA16" s="1017">
        <v>0</v>
      </c>
      <c r="AB16" s="1019"/>
      <c r="AC16" s="1017">
        <f t="shared" si="5"/>
        <v>0</v>
      </c>
      <c r="AE16" s="992" t="s">
        <v>1189</v>
      </c>
      <c r="AI16" s="1024" t="s">
        <v>1267</v>
      </c>
      <c r="AJ16" s="1017">
        <f>+K56</f>
        <v>5097962.4331834577</v>
      </c>
      <c r="AM16" s="1017">
        <f>+INDEX('BGM-3 (2) Detail '!$49:$49,1,MATCH($D16,'BGM-3 (2) Detail '!$14:$14,0))-P16*1000</f>
        <v>0</v>
      </c>
      <c r="AN16" s="1046">
        <f t="shared" si="11"/>
        <v>0</v>
      </c>
      <c r="AO16" s="1074">
        <f t="shared" si="12"/>
        <v>0</v>
      </c>
      <c r="AP16" s="1046">
        <f t="shared" si="10"/>
        <v>0</v>
      </c>
    </row>
    <row r="17" spans="2:42">
      <c r="B17" s="992">
        <f t="shared" ca="1" si="6"/>
        <v>9</v>
      </c>
      <c r="D17" s="1033">
        <v>6.0799999999999983</v>
      </c>
      <c r="F17" s="992" t="s">
        <v>1232</v>
      </c>
      <c r="G17" s="998"/>
      <c r="I17" s="1017">
        <v>549.35</v>
      </c>
      <c r="J17" s="1017"/>
      <c r="K17" s="1017">
        <v>0</v>
      </c>
      <c r="L17" s="1017"/>
      <c r="M17" s="1017">
        <f t="shared" si="0"/>
        <v>-887.40669185575985</v>
      </c>
      <c r="P17" s="1017">
        <f t="shared" si="7"/>
        <v>549.35</v>
      </c>
      <c r="Q17" s="1017"/>
      <c r="R17" s="1017">
        <f t="shared" si="8"/>
        <v>0</v>
      </c>
      <c r="S17" s="1017"/>
      <c r="T17" s="1017">
        <f t="shared" si="3"/>
        <v>-887.40669185575985</v>
      </c>
      <c r="W17" s="1017">
        <v>0</v>
      </c>
      <c r="X17" s="1017"/>
      <c r="Y17" s="1017">
        <f t="shared" si="9"/>
        <v>0</v>
      </c>
      <c r="Z17" s="1017"/>
      <c r="AA17" s="1017">
        <v>0</v>
      </c>
      <c r="AB17" s="1019"/>
      <c r="AC17" s="1017">
        <f t="shared" si="5"/>
        <v>0</v>
      </c>
      <c r="AE17" s="992" t="s">
        <v>1189</v>
      </c>
      <c r="AI17" s="1024"/>
      <c r="AM17" s="1017">
        <f>+INDEX('BGM-3 (2) Detail '!$49:$49,1,MATCH($D17,'BGM-3 (2) Detail '!$14:$14,0))-P17*1000</f>
        <v>0</v>
      </c>
      <c r="AN17" s="1046">
        <f t="shared" si="11"/>
        <v>0</v>
      </c>
      <c r="AO17" s="1074">
        <f t="shared" si="12"/>
        <v>0</v>
      </c>
      <c r="AP17" s="1046">
        <f t="shared" si="10"/>
        <v>0</v>
      </c>
    </row>
    <row r="18" spans="2:42">
      <c r="B18" s="992">
        <f t="shared" ca="1" si="6"/>
        <v>10</v>
      </c>
      <c r="D18" s="1033">
        <v>6.0899999999999981</v>
      </c>
      <c r="F18" s="992" t="s">
        <v>1233</v>
      </c>
      <c r="G18" s="998"/>
      <c r="I18" s="1017">
        <v>157.55087683768579</v>
      </c>
      <c r="J18" s="1017"/>
      <c r="K18" s="1017">
        <v>0</v>
      </c>
      <c r="L18" s="1017"/>
      <c r="M18" s="1017">
        <f t="shared" si="0"/>
        <v>-254.50387260126513</v>
      </c>
      <c r="P18" s="1017">
        <f t="shared" si="7"/>
        <v>157.55087683768579</v>
      </c>
      <c r="Q18" s="1017"/>
      <c r="R18" s="1017">
        <f t="shared" si="8"/>
        <v>0</v>
      </c>
      <c r="S18" s="1017"/>
      <c r="T18" s="1017">
        <f t="shared" si="3"/>
        <v>-254.50387260126513</v>
      </c>
      <c r="W18" s="1017">
        <v>0</v>
      </c>
      <c r="X18" s="1017"/>
      <c r="Y18" s="1017">
        <f t="shared" si="9"/>
        <v>0</v>
      </c>
      <c r="Z18" s="1017"/>
      <c r="AA18" s="1017">
        <v>0</v>
      </c>
      <c r="AB18" s="1019"/>
      <c r="AC18" s="1017">
        <f t="shared" si="5"/>
        <v>0</v>
      </c>
      <c r="AE18" s="992" t="s">
        <v>1189</v>
      </c>
      <c r="AI18" s="1024" t="s">
        <v>1268</v>
      </c>
      <c r="AJ18" s="1025">
        <f>+(AJ12-AJ14)*AJ16/AH4</f>
        <v>-27999.425366930602</v>
      </c>
      <c r="AM18" s="1017">
        <f>+INDEX('BGM-3 (2) Detail '!$49:$49,1,MATCH($D18,'BGM-3 (2) Detail '!$14:$14,0))-P18*1000</f>
        <v>0</v>
      </c>
      <c r="AN18" s="1046">
        <f t="shared" si="11"/>
        <v>0</v>
      </c>
      <c r="AO18" s="1074">
        <f t="shared" si="12"/>
        <v>0</v>
      </c>
      <c r="AP18" s="1046">
        <f t="shared" si="10"/>
        <v>0</v>
      </c>
    </row>
    <row r="19" spans="2:42">
      <c r="B19" s="992">
        <f t="shared" ca="1" si="6"/>
        <v>11</v>
      </c>
      <c r="D19" s="1033">
        <v>6.0999999999999979</v>
      </c>
      <c r="F19" s="992" t="s">
        <v>1234</v>
      </c>
      <c r="G19" s="998"/>
      <c r="I19" s="1017">
        <v>16.141122864383682</v>
      </c>
      <c r="J19" s="1017"/>
      <c r="K19" s="1017">
        <v>0</v>
      </c>
      <c r="L19" s="1017"/>
      <c r="M19" s="1017">
        <f t="shared" si="0"/>
        <v>-26.073979146118305</v>
      </c>
      <c r="P19" s="1017">
        <f t="shared" si="7"/>
        <v>16.141122864383682</v>
      </c>
      <c r="Q19" s="1017"/>
      <c r="R19" s="1017">
        <f t="shared" si="8"/>
        <v>0</v>
      </c>
      <c r="S19" s="1017"/>
      <c r="T19" s="1017">
        <f t="shared" si="3"/>
        <v>-26.073979146118305</v>
      </c>
      <c r="W19" s="1017">
        <v>0</v>
      </c>
      <c r="X19" s="1017"/>
      <c r="Y19" s="1017">
        <f t="shared" si="9"/>
        <v>0</v>
      </c>
      <c r="Z19" s="1017"/>
      <c r="AA19" s="1017">
        <v>0</v>
      </c>
      <c r="AB19" s="1019"/>
      <c r="AC19" s="1017">
        <f t="shared" si="5"/>
        <v>0</v>
      </c>
      <c r="AE19" s="992" t="s">
        <v>1189</v>
      </c>
      <c r="AM19" s="1017">
        <f>+INDEX('BGM-3 (2) Detail '!$49:$49,1,MATCH($D19,'BGM-3 (2) Detail '!$14:$14,0))-P19*1000</f>
        <v>0</v>
      </c>
      <c r="AN19" s="1046">
        <f t="shared" si="11"/>
        <v>0</v>
      </c>
      <c r="AO19" s="1074">
        <f t="shared" si="12"/>
        <v>0</v>
      </c>
      <c r="AP19" s="1046">
        <f t="shared" si="10"/>
        <v>0</v>
      </c>
    </row>
    <row r="20" spans="2:42">
      <c r="B20" s="992">
        <f t="shared" ca="1" si="6"/>
        <v>12</v>
      </c>
      <c r="D20" s="1033">
        <v>6.1099999999999977</v>
      </c>
      <c r="F20" s="992" t="s">
        <v>1235</v>
      </c>
      <c r="G20" s="998"/>
      <c r="I20" s="1017">
        <v>-108.17094876945517</v>
      </c>
      <c r="J20" s="1017"/>
      <c r="K20" s="1017">
        <v>0</v>
      </c>
      <c r="L20" s="1017"/>
      <c r="M20" s="1017">
        <f t="shared" si="0"/>
        <v>174.73673214235203</v>
      </c>
      <c r="P20" s="1017">
        <f t="shared" si="7"/>
        <v>-108.17094876945517</v>
      </c>
      <c r="Q20" s="1017"/>
      <c r="R20" s="1017">
        <f t="shared" si="8"/>
        <v>0</v>
      </c>
      <c r="S20" s="1017"/>
      <c r="T20" s="1017">
        <f t="shared" si="3"/>
        <v>174.73673214235203</v>
      </c>
      <c r="W20" s="1017">
        <v>0</v>
      </c>
      <c r="X20" s="1017"/>
      <c r="Y20" s="1017">
        <f t="shared" si="9"/>
        <v>0</v>
      </c>
      <c r="Z20" s="1017"/>
      <c r="AA20" s="1017">
        <v>0</v>
      </c>
      <c r="AB20" s="1019"/>
      <c r="AC20" s="1017">
        <f t="shared" si="5"/>
        <v>0</v>
      </c>
      <c r="AE20" s="992" t="s">
        <v>1189</v>
      </c>
      <c r="AI20" s="1024" t="s">
        <v>937</v>
      </c>
      <c r="AJ20" s="1025">
        <f>+M56-AJ18-'[8]KJB-3 Def'!$C$25/1000</f>
        <v>-1.2858867994509637E-3</v>
      </c>
      <c r="AM20" s="1017">
        <f>+INDEX('BGM-3 (2) Detail '!$49:$49,1,MATCH($D20,'BGM-3 (2) Detail '!$14:$14,0))-P20*1000</f>
        <v>0</v>
      </c>
      <c r="AN20" s="1046">
        <f t="shared" si="11"/>
        <v>0</v>
      </c>
      <c r="AO20" s="1074">
        <f t="shared" si="12"/>
        <v>0</v>
      </c>
      <c r="AP20" s="1046">
        <f t="shared" si="10"/>
        <v>0</v>
      </c>
    </row>
    <row r="21" spans="2:42">
      <c r="B21" s="992">
        <f t="shared" ca="1" si="6"/>
        <v>13</v>
      </c>
      <c r="D21" s="1033">
        <v>6.1199999999999974</v>
      </c>
      <c r="F21" s="992" t="s">
        <v>1236</v>
      </c>
      <c r="G21" s="998"/>
      <c r="I21" s="1017">
        <v>-264.90456678139998</v>
      </c>
      <c r="J21" s="1017"/>
      <c r="K21" s="1017">
        <v>0</v>
      </c>
      <c r="L21" s="1017"/>
      <c r="M21" s="1017">
        <f t="shared" si="0"/>
        <v>427.92042461994242</v>
      </c>
      <c r="P21" s="1017">
        <f t="shared" si="7"/>
        <v>-264.90456678139998</v>
      </c>
      <c r="Q21" s="1017"/>
      <c r="R21" s="1017">
        <f t="shared" si="8"/>
        <v>0</v>
      </c>
      <c r="S21" s="1017"/>
      <c r="T21" s="1017">
        <f t="shared" si="3"/>
        <v>427.92042461994242</v>
      </c>
      <c r="W21" s="1017">
        <v>0</v>
      </c>
      <c r="X21" s="1017"/>
      <c r="Y21" s="1017">
        <f t="shared" si="9"/>
        <v>0</v>
      </c>
      <c r="Z21" s="1017"/>
      <c r="AA21" s="1017">
        <v>0</v>
      </c>
      <c r="AB21" s="1019"/>
      <c r="AC21" s="1017">
        <f t="shared" si="5"/>
        <v>0</v>
      </c>
      <c r="AE21" s="992" t="s">
        <v>1189</v>
      </c>
      <c r="AM21" s="1017">
        <f>+INDEX('BGM-3 (2) Detail '!$49:$49,1,MATCH($D21,'BGM-3 (2) Detail '!$14:$14,0))-P21*1000</f>
        <v>0</v>
      </c>
      <c r="AN21" s="1046">
        <f t="shared" si="11"/>
        <v>0</v>
      </c>
      <c r="AO21" s="1074">
        <f t="shared" si="12"/>
        <v>0</v>
      </c>
      <c r="AP21" s="1046">
        <f t="shared" si="10"/>
        <v>0</v>
      </c>
    </row>
    <row r="22" spans="2:42">
      <c r="B22" s="992">
        <f t="shared" ca="1" si="6"/>
        <v>14</v>
      </c>
      <c r="D22" s="1033">
        <v>6.1299999999999972</v>
      </c>
      <c r="F22" s="992" t="s">
        <v>1237</v>
      </c>
      <c r="G22" s="998"/>
      <c r="I22" s="1017">
        <v>171.19977983333382</v>
      </c>
      <c r="J22" s="1017"/>
      <c r="K22" s="1017">
        <v>0</v>
      </c>
      <c r="L22" s="1017"/>
      <c r="M22" s="1017">
        <f t="shared" si="0"/>
        <v>-276.55198010072485</v>
      </c>
      <c r="P22" s="1017">
        <f t="shared" si="7"/>
        <v>171.19977983333382</v>
      </c>
      <c r="Q22" s="1017"/>
      <c r="R22" s="1017">
        <f t="shared" si="8"/>
        <v>0</v>
      </c>
      <c r="S22" s="1017"/>
      <c r="T22" s="1017">
        <f t="shared" si="3"/>
        <v>-276.55198010072485</v>
      </c>
      <c r="W22" s="1017">
        <v>0</v>
      </c>
      <c r="X22" s="1017"/>
      <c r="Y22" s="1017">
        <f t="shared" si="9"/>
        <v>0</v>
      </c>
      <c r="Z22" s="1017"/>
      <c r="AA22" s="1017">
        <v>0</v>
      </c>
      <c r="AB22" s="1019"/>
      <c r="AC22" s="1017">
        <f t="shared" si="5"/>
        <v>0</v>
      </c>
      <c r="AE22" s="992" t="s">
        <v>1189</v>
      </c>
      <c r="AM22" s="1017">
        <f>+INDEX('BGM-3 (2) Detail '!$49:$49,1,MATCH($D22,'BGM-3 (2) Detail '!$14:$14,0))-P22*1000</f>
        <v>0</v>
      </c>
      <c r="AN22" s="1046">
        <f t="shared" si="11"/>
        <v>0</v>
      </c>
      <c r="AO22" s="1074">
        <f t="shared" si="12"/>
        <v>0</v>
      </c>
      <c r="AP22" s="1046">
        <f t="shared" si="10"/>
        <v>0</v>
      </c>
    </row>
    <row r="23" spans="2:42">
      <c r="B23" s="992">
        <f t="shared" ca="1" si="6"/>
        <v>15</v>
      </c>
      <c r="D23" s="1033">
        <v>6.139999999999997</v>
      </c>
      <c r="F23" s="992" t="s">
        <v>1238</v>
      </c>
      <c r="G23" s="998"/>
      <c r="I23" s="1017">
        <v>66.147120545911264</v>
      </c>
      <c r="J23" s="1017"/>
      <c r="K23" s="1017">
        <v>0</v>
      </c>
      <c r="L23" s="1017"/>
      <c r="M23" s="1017">
        <f t="shared" si="0"/>
        <v>-106.85245730305138</v>
      </c>
      <c r="P23" s="1017">
        <f t="shared" si="7"/>
        <v>66.147120545911264</v>
      </c>
      <c r="Q23" s="1017"/>
      <c r="R23" s="1017">
        <f t="shared" si="8"/>
        <v>0</v>
      </c>
      <c r="S23" s="1017"/>
      <c r="T23" s="1017">
        <f t="shared" si="3"/>
        <v>-106.85245730305138</v>
      </c>
      <c r="W23" s="1017">
        <v>0</v>
      </c>
      <c r="X23" s="1017"/>
      <c r="Y23" s="1017">
        <f t="shared" si="9"/>
        <v>0</v>
      </c>
      <c r="Z23" s="1017"/>
      <c r="AA23" s="1017">
        <v>0</v>
      </c>
      <c r="AB23" s="1019"/>
      <c r="AC23" s="1017">
        <f t="shared" si="5"/>
        <v>0</v>
      </c>
      <c r="AE23" s="992" t="s">
        <v>1189</v>
      </c>
      <c r="AM23" s="1017">
        <f>+INDEX('BGM-3 (2) Detail '!$49:$49,1,MATCH($D23,'BGM-3 (2) Detail '!$14:$14,0))-P23*1000</f>
        <v>0</v>
      </c>
      <c r="AN23" s="1046">
        <f t="shared" si="11"/>
        <v>0</v>
      </c>
      <c r="AO23" s="1074">
        <f t="shared" si="12"/>
        <v>0</v>
      </c>
      <c r="AP23" s="1046">
        <f t="shared" si="10"/>
        <v>0</v>
      </c>
    </row>
    <row r="24" spans="2:42">
      <c r="B24" s="1062">
        <f t="shared" ca="1" si="6"/>
        <v>16</v>
      </c>
      <c r="C24" s="1062"/>
      <c r="D24" s="1063">
        <v>6.1499999999999968</v>
      </c>
      <c r="E24" s="1062"/>
      <c r="F24" s="1062" t="s">
        <v>1239</v>
      </c>
      <c r="G24" s="1064"/>
      <c r="H24" s="1064"/>
      <c r="I24" s="1065">
        <v>-1184.9454451730855</v>
      </c>
      <c r="J24" s="1065"/>
      <c r="K24" s="1065">
        <v>0</v>
      </c>
      <c r="L24" s="1065"/>
      <c r="M24" s="1065">
        <f t="shared" si="0"/>
        <v>1914.1321880961109</v>
      </c>
      <c r="N24" s="1066"/>
      <c r="O24" s="1064"/>
      <c r="P24" s="1067">
        <f t="shared" si="7"/>
        <v>929.55739293878946</v>
      </c>
      <c r="Q24" s="1067"/>
      <c r="R24" s="1067">
        <f t="shared" si="8"/>
        <v>0</v>
      </c>
      <c r="S24" s="1067"/>
      <c r="T24" s="1067">
        <f t="shared" si="3"/>
        <v>-1501.5845107087937</v>
      </c>
      <c r="U24" s="1062"/>
      <c r="V24" s="1068"/>
      <c r="W24" s="1065">
        <f>+('[10]Lead E'!$F$17-'[11]Lead E'!$F$17)/1000</f>
        <v>3253.0812894028845</v>
      </c>
      <c r="X24" s="1065"/>
      <c r="Y24" s="1065">
        <f t="shared" si="9"/>
        <v>2114.502838111875</v>
      </c>
      <c r="Z24" s="1065"/>
      <c r="AA24" s="1065">
        <v>0</v>
      </c>
      <c r="AB24" s="1069"/>
      <c r="AC24" s="1065">
        <f t="shared" si="5"/>
        <v>-3415.7166988049044</v>
      </c>
      <c r="AD24" s="1070"/>
      <c r="AE24" s="1062" t="s">
        <v>1193</v>
      </c>
      <c r="AM24" s="1017">
        <f>+INDEX('BGM-3 (2) Detail '!$49:$49,1,MATCH($D24,'BGM-3 (2) Detail '!$14:$14,0))-P24*1000</f>
        <v>0</v>
      </c>
      <c r="AN24" s="1046">
        <f t="shared" si="11"/>
        <v>0</v>
      </c>
      <c r="AO24" s="1074">
        <f t="shared" si="12"/>
        <v>-0.28670421417777003</v>
      </c>
      <c r="AP24" s="1046">
        <f t="shared" si="10"/>
        <v>-3416.0034030190823</v>
      </c>
    </row>
    <row r="25" spans="2:42">
      <c r="B25" s="992">
        <f t="shared" ca="1" si="6"/>
        <v>17</v>
      </c>
      <c r="D25" s="1033">
        <v>6.1599999999999966</v>
      </c>
      <c r="F25" s="992" t="s">
        <v>1240</v>
      </c>
      <c r="G25" s="998"/>
      <c r="I25" s="1017">
        <v>-1497.0383162743492</v>
      </c>
      <c r="J25" s="1017"/>
      <c r="K25" s="1017">
        <v>0</v>
      </c>
      <c r="L25" s="1017"/>
      <c r="M25" s="1017">
        <f t="shared" si="0"/>
        <v>2418.2794572246053</v>
      </c>
      <c r="P25" s="1017">
        <f t="shared" si="7"/>
        <v>-1497.0383162743492</v>
      </c>
      <c r="Q25" s="1017"/>
      <c r="R25" s="1017">
        <f t="shared" si="8"/>
        <v>0</v>
      </c>
      <c r="S25" s="1017"/>
      <c r="T25" s="1017">
        <f t="shared" si="3"/>
        <v>2418.2794572246053</v>
      </c>
      <c r="W25" s="1017">
        <v>0</v>
      </c>
      <c r="X25" s="1017"/>
      <c r="Y25" s="1017">
        <f t="shared" si="9"/>
        <v>0</v>
      </c>
      <c r="Z25" s="1017"/>
      <c r="AA25" s="1017">
        <v>0</v>
      </c>
      <c r="AB25" s="1019"/>
      <c r="AC25" s="1017">
        <f t="shared" si="5"/>
        <v>0</v>
      </c>
      <c r="AE25" s="992" t="s">
        <v>1189</v>
      </c>
      <c r="AM25" s="1017">
        <f>+INDEX('BGM-3 (2) Detail '!$49:$49,1,MATCH($D25,'BGM-3 (2) Detail '!$14:$14,0))-P25*1000</f>
        <v>0</v>
      </c>
      <c r="AN25" s="1046">
        <f t="shared" si="11"/>
        <v>0</v>
      </c>
      <c r="AO25" s="1074">
        <f t="shared" si="12"/>
        <v>0</v>
      </c>
      <c r="AP25" s="1046">
        <f t="shared" si="10"/>
        <v>0</v>
      </c>
    </row>
    <row r="26" spans="2:42">
      <c r="B26" s="992">
        <f t="shared" ca="1" si="6"/>
        <v>18</v>
      </c>
      <c r="D26" s="1033">
        <v>6.1699999999999964</v>
      </c>
      <c r="F26" s="992" t="s">
        <v>1241</v>
      </c>
      <c r="G26" s="998"/>
      <c r="I26" s="1017">
        <v>-106.541622307254</v>
      </c>
      <c r="J26" s="1017"/>
      <c r="K26" s="1017">
        <v>0</v>
      </c>
      <c r="L26" s="1017"/>
      <c r="M26" s="1017">
        <f t="shared" si="0"/>
        <v>172.10475761650332</v>
      </c>
      <c r="P26" s="1017">
        <f t="shared" si="7"/>
        <v>-106.541622307254</v>
      </c>
      <c r="Q26" s="1017"/>
      <c r="R26" s="1017">
        <f t="shared" si="8"/>
        <v>0</v>
      </c>
      <c r="S26" s="1017"/>
      <c r="T26" s="1017">
        <f t="shared" si="3"/>
        <v>172.10475761650332</v>
      </c>
      <c r="W26" s="1017">
        <v>0</v>
      </c>
      <c r="X26" s="1017"/>
      <c r="Y26" s="1017">
        <f t="shared" si="9"/>
        <v>0</v>
      </c>
      <c r="Z26" s="1017"/>
      <c r="AA26" s="1017">
        <v>0</v>
      </c>
      <c r="AB26" s="1019"/>
      <c r="AC26" s="1017">
        <f t="shared" si="5"/>
        <v>0</v>
      </c>
      <c r="AE26" s="992" t="s">
        <v>1189</v>
      </c>
      <c r="AM26" s="1017">
        <f>+INDEX('BGM-3 (2) Detail '!$49:$49,1,MATCH($D26,'BGM-3 (2) Detail '!$14:$14,0))-P26*1000</f>
        <v>0</v>
      </c>
      <c r="AN26" s="1046">
        <f t="shared" si="11"/>
        <v>0</v>
      </c>
      <c r="AO26" s="1074">
        <f t="shared" si="12"/>
        <v>0</v>
      </c>
      <c r="AP26" s="1046">
        <f t="shared" si="10"/>
        <v>0</v>
      </c>
    </row>
    <row r="27" spans="2:42">
      <c r="B27" s="992">
        <f t="shared" ca="1" si="6"/>
        <v>19</v>
      </c>
      <c r="D27" s="1033">
        <v>6.1799999999999962</v>
      </c>
      <c r="F27" s="992" t="s">
        <v>1242</v>
      </c>
      <c r="G27" s="998"/>
      <c r="I27" s="1017">
        <v>-121.750929233931</v>
      </c>
      <c r="J27" s="1017"/>
      <c r="K27" s="1017">
        <v>0</v>
      </c>
      <c r="L27" s="1017"/>
      <c r="M27" s="1017">
        <f t="shared" si="0"/>
        <v>196.67350385336749</v>
      </c>
      <c r="P27" s="1017">
        <f t="shared" si="7"/>
        <v>-121.750929233931</v>
      </c>
      <c r="Q27" s="1017"/>
      <c r="R27" s="1017">
        <f t="shared" si="8"/>
        <v>0</v>
      </c>
      <c r="S27" s="1017"/>
      <c r="T27" s="1017">
        <f t="shared" si="3"/>
        <v>196.67350385336749</v>
      </c>
      <c r="W27" s="1017">
        <v>0</v>
      </c>
      <c r="X27" s="1017"/>
      <c r="Y27" s="1017">
        <f t="shared" si="9"/>
        <v>0</v>
      </c>
      <c r="Z27" s="1017"/>
      <c r="AA27" s="1017">
        <v>0</v>
      </c>
      <c r="AB27" s="1019"/>
      <c r="AC27" s="1017">
        <f t="shared" si="5"/>
        <v>0</v>
      </c>
      <c r="AE27" s="992" t="s">
        <v>1189</v>
      </c>
      <c r="AM27" s="1017">
        <f>+INDEX('BGM-3 (2) Detail '!$49:$49,1,MATCH($D27,'BGM-3 (2) Detail '!$14:$14,0))-P27*1000</f>
        <v>0</v>
      </c>
      <c r="AN27" s="1046">
        <f t="shared" si="11"/>
        <v>0</v>
      </c>
      <c r="AO27" s="1074">
        <f t="shared" si="12"/>
        <v>0</v>
      </c>
      <c r="AP27" s="1046">
        <f t="shared" si="10"/>
        <v>0</v>
      </c>
    </row>
    <row r="28" spans="2:42">
      <c r="B28" s="1062">
        <f t="shared" ca="1" si="6"/>
        <v>20</v>
      </c>
      <c r="C28" s="1062"/>
      <c r="D28" s="1063">
        <v>6.1899999999999959</v>
      </c>
      <c r="E28" s="1062"/>
      <c r="F28" s="1062" t="s">
        <v>1243</v>
      </c>
      <c r="G28" s="1064"/>
      <c r="H28" s="1064"/>
      <c r="I28" s="1065">
        <v>-924.67504937016224</v>
      </c>
      <c r="J28" s="1065"/>
      <c r="K28" s="1065">
        <v>0</v>
      </c>
      <c r="L28" s="1065"/>
      <c r="M28" s="1065">
        <f t="shared" si="0"/>
        <v>1493.6976910951798</v>
      </c>
      <c r="N28" s="1066"/>
      <c r="O28" s="1064"/>
      <c r="P28" s="1067">
        <f t="shared" si="7"/>
        <v>-552.78634557955695</v>
      </c>
      <c r="Q28" s="1067"/>
      <c r="R28" s="1067">
        <f t="shared" si="8"/>
        <v>0</v>
      </c>
      <c r="S28" s="1067"/>
      <c r="T28" s="1067">
        <f t="shared" si="3"/>
        <v>892.9576813211786</v>
      </c>
      <c r="U28" s="1062"/>
      <c r="V28" s="1068"/>
      <c r="W28" s="1065">
        <f>-'[12]Lead E'!$J$27/1000</f>
        <v>572.13646737016199</v>
      </c>
      <c r="X28" s="1065"/>
      <c r="Y28" s="1065">
        <f t="shared" si="9"/>
        <v>371.88870379060529</v>
      </c>
      <c r="Z28" s="1065"/>
      <c r="AA28" s="1065">
        <v>0</v>
      </c>
      <c r="AB28" s="1069"/>
      <c r="AC28" s="1065">
        <f t="shared" si="5"/>
        <v>-600.74000977400135</v>
      </c>
      <c r="AD28" s="1070"/>
      <c r="AE28" s="1062" t="s">
        <v>1193</v>
      </c>
      <c r="AF28" s="991"/>
      <c r="AM28" s="1017">
        <f>+INDEX('BGM-3 (2) Detail '!$49:$49,1,MATCH($D28,'BGM-3 (2) Detail '!$14:$14,0))-P28*1000</f>
        <v>-0.23642044316511601</v>
      </c>
      <c r="AN28" s="1046">
        <f t="shared" si="11"/>
        <v>0</v>
      </c>
      <c r="AO28" s="1074">
        <f t="shared" si="12"/>
        <v>-5.0424173786913495E-2</v>
      </c>
      <c r="AP28" s="1046">
        <f t="shared" si="10"/>
        <v>-600.7904339477883</v>
      </c>
    </row>
    <row r="29" spans="2:42">
      <c r="B29" s="992">
        <f t="shared" ca="1" si="6"/>
        <v>21</v>
      </c>
      <c r="C29" s="991"/>
      <c r="D29" s="1033">
        <v>6.1999999999999957</v>
      </c>
      <c r="E29" s="991"/>
      <c r="F29" s="992" t="s">
        <v>1244</v>
      </c>
      <c r="I29" s="1017">
        <v>-3087.5012730555004</v>
      </c>
      <c r="J29" s="1017"/>
      <c r="K29" s="1017">
        <v>0</v>
      </c>
      <c r="L29" s="1017"/>
      <c r="M29" s="1017">
        <f t="shared" si="0"/>
        <v>4987.4748171887295</v>
      </c>
      <c r="P29" s="1017">
        <f t="shared" si="7"/>
        <v>-3087.5012730555004</v>
      </c>
      <c r="Q29" s="1017"/>
      <c r="R29" s="1017">
        <f t="shared" si="8"/>
        <v>0</v>
      </c>
      <c r="S29" s="1017"/>
      <c r="T29" s="1017">
        <f t="shared" si="3"/>
        <v>4987.4748171887295</v>
      </c>
      <c r="W29" s="1017">
        <v>0</v>
      </c>
      <c r="X29" s="1017"/>
      <c r="Y29" s="1017">
        <f t="shared" si="9"/>
        <v>0</v>
      </c>
      <c r="Z29" s="1017"/>
      <c r="AA29" s="1017">
        <v>0</v>
      </c>
      <c r="AC29" s="1017">
        <f t="shared" si="5"/>
        <v>0</v>
      </c>
      <c r="AE29" s="992" t="s">
        <v>1189</v>
      </c>
      <c r="AF29" s="991"/>
      <c r="AM29" s="1017">
        <f>+INDEX('BGM-3 (2) Detail '!$49:$49,1,MATCH($D29,'BGM-3 (2) Detail '!$14:$14,0))-P29*1000</f>
        <v>0</v>
      </c>
      <c r="AN29" s="1046">
        <f t="shared" si="11"/>
        <v>0</v>
      </c>
      <c r="AO29" s="1074">
        <f t="shared" si="12"/>
        <v>0</v>
      </c>
      <c r="AP29" s="1046">
        <f t="shared" si="10"/>
        <v>0</v>
      </c>
    </row>
    <row r="30" spans="2:42">
      <c r="B30" s="992">
        <f t="shared" ca="1" si="6"/>
        <v>22</v>
      </c>
      <c r="D30" s="1033">
        <v>6.2099999999999955</v>
      </c>
      <c r="F30" s="992" t="s">
        <v>1245</v>
      </c>
      <c r="G30" s="998"/>
      <c r="I30" s="1017">
        <v>434.04643987045586</v>
      </c>
      <c r="J30" s="1017"/>
      <c r="K30" s="1017">
        <v>15915.060097866783</v>
      </c>
      <c r="L30" s="1017"/>
      <c r="M30" s="1017">
        <f t="shared" si="0"/>
        <v>1201.3032970977933</v>
      </c>
      <c r="P30" s="1017">
        <f t="shared" si="7"/>
        <v>434.04643987045586</v>
      </c>
      <c r="Q30" s="1017"/>
      <c r="R30" s="1017">
        <f t="shared" si="8"/>
        <v>15915.060097866783</v>
      </c>
      <c r="S30" s="1017"/>
      <c r="T30" s="1017">
        <f t="shared" si="3"/>
        <v>1201.3032970977933</v>
      </c>
      <c r="W30" s="1017">
        <v>0</v>
      </c>
      <c r="X30" s="1017"/>
      <c r="Y30" s="1017">
        <f t="shared" si="9"/>
        <v>0</v>
      </c>
      <c r="Z30" s="1017"/>
      <c r="AA30" s="1017">
        <v>0</v>
      </c>
      <c r="AC30" s="1017">
        <f t="shared" si="5"/>
        <v>0</v>
      </c>
      <c r="AE30" s="992" t="s">
        <v>1189</v>
      </c>
      <c r="AM30" s="1017">
        <f>+INDEX('BGM-3 (2) Detail '!$49:$49,1,MATCH($D30,'BGM-3 (2) Detail '!$14:$14,0))-P30*1000</f>
        <v>0</v>
      </c>
      <c r="AN30" s="1046">
        <f t="shared" si="11"/>
        <v>0</v>
      </c>
      <c r="AO30" s="1074">
        <f t="shared" si="12"/>
        <v>0</v>
      </c>
      <c r="AP30" s="1046">
        <f t="shared" si="10"/>
        <v>0</v>
      </c>
    </row>
    <row r="31" spans="2:42">
      <c r="B31" s="992">
        <f t="shared" ca="1" si="6"/>
        <v>23</v>
      </c>
      <c r="D31" s="1033">
        <v>6.2199999999999953</v>
      </c>
      <c r="F31" s="992" t="s">
        <v>1246</v>
      </c>
      <c r="G31" s="1015"/>
      <c r="H31" s="1015"/>
      <c r="I31" s="1017">
        <v>10.26231709798798</v>
      </c>
      <c r="J31" s="1017"/>
      <c r="K31" s="1017">
        <v>0</v>
      </c>
      <c r="L31" s="1017"/>
      <c r="M31" s="1017">
        <f t="shared" si="0"/>
        <v>-16.577498619641968</v>
      </c>
      <c r="N31" s="991"/>
      <c r="O31" s="1015"/>
      <c r="P31" s="1029">
        <f t="shared" si="7"/>
        <v>10.26231709798798</v>
      </c>
      <c r="Q31" s="1029"/>
      <c r="R31" s="1029">
        <f t="shared" si="8"/>
        <v>0</v>
      </c>
      <c r="S31" s="1029"/>
      <c r="T31" s="1029">
        <f t="shared" si="3"/>
        <v>-16.577498619641968</v>
      </c>
      <c r="W31" s="1017">
        <v>0</v>
      </c>
      <c r="X31" s="1017"/>
      <c r="Y31" s="1017">
        <f t="shared" si="9"/>
        <v>0</v>
      </c>
      <c r="Z31" s="1017"/>
      <c r="AA31" s="1017">
        <v>0</v>
      </c>
      <c r="AB31" s="1016"/>
      <c r="AC31" s="1017">
        <f t="shared" si="5"/>
        <v>0</v>
      </c>
      <c r="AE31" s="992" t="s">
        <v>1189</v>
      </c>
      <c r="AM31" s="1017">
        <f>+INDEX('BGM-3 (2) Detail '!$49:$49,1,MATCH($D31,'BGM-3 (2) Detail '!$14:$14,0))-P31*1000</f>
        <v>0</v>
      </c>
      <c r="AN31" s="1046">
        <f t="shared" si="11"/>
        <v>0</v>
      </c>
      <c r="AO31" s="1074">
        <f t="shared" si="12"/>
        <v>0</v>
      </c>
      <c r="AP31" s="1046">
        <f t="shared" si="10"/>
        <v>0</v>
      </c>
    </row>
    <row r="32" spans="2:42">
      <c r="B32" s="1062">
        <f t="shared" ca="1" si="6"/>
        <v>24</v>
      </c>
      <c r="C32" s="1062"/>
      <c r="D32" s="1063" t="s">
        <v>1191</v>
      </c>
      <c r="E32" s="1062"/>
      <c r="F32" s="1062" t="s">
        <v>1192</v>
      </c>
      <c r="G32" s="1064"/>
      <c r="H32" s="1064"/>
      <c r="I32" s="1065">
        <v>0</v>
      </c>
      <c r="J32" s="1065"/>
      <c r="K32" s="1065">
        <v>0</v>
      </c>
      <c r="L32" s="1065"/>
      <c r="M32" s="1065">
        <f t="shared" si="0"/>
        <v>0</v>
      </c>
      <c r="N32" s="1066"/>
      <c r="O32" s="1064"/>
      <c r="P32" s="1067">
        <f t="shared" ref="P32" si="13">+I32+Y32</f>
        <v>-18066.901721769274</v>
      </c>
      <c r="Q32" s="1067"/>
      <c r="R32" s="1067">
        <f t="shared" ref="R32" si="14">+K32+AA32</f>
        <v>-101680.98317993739</v>
      </c>
      <c r="S32" s="1067"/>
      <c r="T32" s="1067">
        <f t="shared" si="3"/>
        <v>17030.113781342585</v>
      </c>
      <c r="U32" s="1062"/>
      <c r="V32" s="1068"/>
      <c r="W32" s="1065">
        <f>-'BGM-3 (4) Rstng Adj'!DL38/1000</f>
        <v>-27795.233418106574</v>
      </c>
      <c r="X32" s="1065"/>
      <c r="Y32" s="1065">
        <f t="shared" ref="Y32:Y34" si="15">+W32*(1-$AH$5)</f>
        <v>-18066.901721769274</v>
      </c>
      <c r="Z32" s="1065"/>
      <c r="AA32" s="1065">
        <f>+'BGM-3 (4) Rstng Adj'!DL30/1000</f>
        <v>-101680.98317993739</v>
      </c>
      <c r="AB32" s="1069"/>
      <c r="AC32" s="1065">
        <f t="shared" si="5"/>
        <v>17030.113781342585</v>
      </c>
      <c r="AD32" s="1070"/>
      <c r="AE32" s="1062" t="s">
        <v>1184</v>
      </c>
      <c r="AM32" s="1017">
        <f>+INDEX('BGM-3 (2) Detail '!$49:$49,1,MATCH($D32,'BGM-3 (2) Detail '!$14:$14,0))-P32*1000</f>
        <v>0</v>
      </c>
      <c r="AN32" s="1046">
        <f t="shared" si="11"/>
        <v>1717.4008697045967</v>
      </c>
      <c r="AO32" s="1074">
        <f t="shared" si="12"/>
        <v>1.429452679944496</v>
      </c>
      <c r="AP32" s="1046">
        <f t="shared" si="10"/>
        <v>18748.944103727124</v>
      </c>
    </row>
    <row r="33" spans="2:42">
      <c r="B33" s="1062">
        <f t="shared" ca="1" si="6"/>
        <v>25</v>
      </c>
      <c r="C33" s="1062"/>
      <c r="D33" s="1063" t="s">
        <v>1196</v>
      </c>
      <c r="E33" s="1062"/>
      <c r="F33" s="1062" t="s">
        <v>1197</v>
      </c>
      <c r="G33" s="1064"/>
      <c r="H33" s="1064"/>
      <c r="I33" s="1065">
        <v>0</v>
      </c>
      <c r="J33" s="1065"/>
      <c r="K33" s="1065">
        <v>0</v>
      </c>
      <c r="L33" s="1065"/>
      <c r="M33" s="1065">
        <f t="shared" si="0"/>
        <v>0</v>
      </c>
      <c r="N33" s="1066"/>
      <c r="O33" s="1064"/>
      <c r="P33" s="1067">
        <f t="shared" ref="P33:P34" si="16">+I33+Y33</f>
        <v>28484.037544444447</v>
      </c>
      <c r="Q33" s="1067"/>
      <c r="R33" s="1067">
        <f t="shared" ref="R33:R34" si="17">+K33+AA33</f>
        <v>0</v>
      </c>
      <c r="S33" s="1067"/>
      <c r="T33" s="1067">
        <f t="shared" si="3"/>
        <v>-46012.424734705943</v>
      </c>
      <c r="U33" s="1062"/>
      <c r="V33" s="1068"/>
      <c r="W33" s="1065">
        <f>+'BGM-3 (4) Rstng Adj'!DQ18/1000</f>
        <v>43821.596222222222</v>
      </c>
      <c r="X33" s="1065"/>
      <c r="Y33" s="1065">
        <f t="shared" si="15"/>
        <v>28484.037544444447</v>
      </c>
      <c r="Z33" s="1065"/>
      <c r="AA33" s="1065">
        <v>0</v>
      </c>
      <c r="AB33" s="1069"/>
      <c r="AC33" s="1065">
        <f t="shared" si="5"/>
        <v>-46012.424734705943</v>
      </c>
      <c r="AD33" s="1070"/>
      <c r="AE33" s="1062" t="s">
        <v>1184</v>
      </c>
      <c r="AM33" s="1017">
        <f>+INDEX('BGM-3 (2) Detail '!$49:$49,1,MATCH($D33,'BGM-3 (2) Detail '!$14:$14,0))-P33*1000</f>
        <v>0</v>
      </c>
      <c r="AN33" s="1046">
        <f t="shared" si="11"/>
        <v>0</v>
      </c>
      <c r="AO33" s="1074">
        <f t="shared" si="12"/>
        <v>-3.8621341402796303</v>
      </c>
      <c r="AP33" s="1046">
        <f t="shared" si="10"/>
        <v>-46016.286868846226</v>
      </c>
    </row>
    <row r="34" spans="2:42">
      <c r="B34" s="1062">
        <f t="shared" ca="1" si="6"/>
        <v>26</v>
      </c>
      <c r="C34" s="1062"/>
      <c r="D34" s="1063" t="s">
        <v>1217</v>
      </c>
      <c r="E34" s="1062"/>
      <c r="F34" s="1062" t="s">
        <v>1218</v>
      </c>
      <c r="G34" s="1064"/>
      <c r="H34" s="1064"/>
      <c r="I34" s="1065">
        <v>0</v>
      </c>
      <c r="J34" s="1065"/>
      <c r="K34" s="1065">
        <v>0</v>
      </c>
      <c r="L34" s="1065"/>
      <c r="M34" s="1065">
        <f t="shared" si="0"/>
        <v>0</v>
      </c>
      <c r="N34" s="1066"/>
      <c r="O34" s="1064"/>
      <c r="P34" s="1067">
        <f t="shared" si="16"/>
        <v>0</v>
      </c>
      <c r="Q34" s="1067"/>
      <c r="R34" s="1067">
        <f t="shared" si="17"/>
        <v>-49313.213286249993</v>
      </c>
      <c r="S34" s="1067"/>
      <c r="T34" s="1067">
        <f t="shared" si="3"/>
        <v>-5894.7934551151666</v>
      </c>
      <c r="U34" s="1062"/>
      <c r="V34" s="1068"/>
      <c r="W34" s="1065">
        <v>0</v>
      </c>
      <c r="X34" s="1065"/>
      <c r="Y34" s="1065">
        <f t="shared" si="15"/>
        <v>0</v>
      </c>
      <c r="Z34" s="1065"/>
      <c r="AA34" s="1065">
        <f>+'BGM-3 (4) Rstng Adj'!DV14/1000</f>
        <v>-49313.213286249993</v>
      </c>
      <c r="AB34" s="1069"/>
      <c r="AC34" s="1065">
        <f t="shared" si="5"/>
        <v>-5894.7934551151666</v>
      </c>
      <c r="AD34" s="1070"/>
      <c r="AE34" s="1062" t="s">
        <v>1184</v>
      </c>
      <c r="AM34" s="1017">
        <f>+INDEX('BGM-3 (2) Detail '!$49:$49,1,MATCH($D34,'BGM-3 (2) Detail '!$14:$14,0))-P34*1000</f>
        <v>0</v>
      </c>
      <c r="AN34" s="1046">
        <f t="shared" si="11"/>
        <v>832.90456816161316</v>
      </c>
      <c r="AO34" s="1074">
        <f t="shared" si="12"/>
        <v>-0.49478990042715698</v>
      </c>
      <c r="AP34" s="1046">
        <f t="shared" si="10"/>
        <v>-5062.3836768539804</v>
      </c>
    </row>
    <row r="35" spans="2:42">
      <c r="B35" s="1062">
        <f t="shared" ca="1" si="6"/>
        <v>27</v>
      </c>
      <c r="C35" s="1062"/>
      <c r="D35" s="1063" t="s">
        <v>1281</v>
      </c>
      <c r="E35" s="1062"/>
      <c r="F35" s="1062" t="s">
        <v>1280</v>
      </c>
      <c r="G35" s="1064"/>
      <c r="H35" s="1064"/>
      <c r="I35" s="1065">
        <v>0</v>
      </c>
      <c r="J35" s="1065"/>
      <c r="K35" s="1065">
        <v>0</v>
      </c>
      <c r="L35" s="1065"/>
      <c r="M35" s="1065">
        <f t="shared" si="0"/>
        <v>0</v>
      </c>
      <c r="N35" s="1066"/>
      <c r="O35" s="1064"/>
      <c r="P35" s="1067">
        <f t="shared" ref="P35" si="18">+I35+Y35</f>
        <v>224.94380336187754</v>
      </c>
      <c r="Q35" s="1067"/>
      <c r="R35" s="1067">
        <f t="shared" ref="R35" si="19">+K35+AA35</f>
        <v>-13842.695591500156</v>
      </c>
      <c r="S35" s="1067"/>
      <c r="T35" s="1067">
        <f t="shared" si="3"/>
        <v>-2018.0942719305665</v>
      </c>
      <c r="U35" s="1062"/>
      <c r="V35" s="1068"/>
      <c r="W35" s="1065">
        <v>346.06738978750388</v>
      </c>
      <c r="X35" s="1065"/>
      <c r="Y35" s="1065">
        <f t="shared" ref="Y35" si="20">+W35*(1-$AH$5)</f>
        <v>224.94380336187754</v>
      </c>
      <c r="Z35" s="1065"/>
      <c r="AA35" s="1065">
        <f>-(AG35+W35/2+AG36)</f>
        <v>-13842.695591500156</v>
      </c>
      <c r="AB35" s="1069"/>
      <c r="AC35" s="1065">
        <f t="shared" si="5"/>
        <v>-2018.0942719305665</v>
      </c>
      <c r="AD35" s="1070"/>
      <c r="AE35" s="1062" t="s">
        <v>1184</v>
      </c>
      <c r="AG35" s="992">
        <v>13639.380999999999</v>
      </c>
      <c r="AM35" s="1017">
        <f>+INDEX('BGM-3 (2) Detail '!$49:$49,1,MATCH($D35,'BGM-3 (2) Detail '!$14:$14,0))-P35*1000</f>
        <v>-224943.80336187754</v>
      </c>
      <c r="AN35" s="1046">
        <f t="shared" si="11"/>
        <v>233.80436247187154</v>
      </c>
      <c r="AO35" s="1074">
        <f t="shared" si="12"/>
        <v>-0.16939230720538154</v>
      </c>
      <c r="AP35" s="1046">
        <f t="shared" ref="AP35" si="21">+AC35+SUM(AN35:AO35)</f>
        <v>-1784.4593017659004</v>
      </c>
    </row>
    <row r="36" spans="2:42">
      <c r="B36" s="1018"/>
      <c r="D36" s="1033"/>
      <c r="F36" s="991"/>
      <c r="G36" s="1015"/>
      <c r="H36" s="1015"/>
      <c r="I36" s="1028"/>
      <c r="J36" s="1016"/>
      <c r="K36" s="1028"/>
      <c r="L36" s="1016"/>
      <c r="M36" s="1026"/>
      <c r="N36" s="991"/>
      <c r="O36" s="1015"/>
      <c r="P36" s="1028"/>
      <c r="Q36" s="1016"/>
      <c r="R36" s="1028"/>
      <c r="S36" s="1016"/>
      <c r="T36" s="1026"/>
      <c r="W36" s="1028"/>
      <c r="X36" s="992"/>
      <c r="Y36" s="1028"/>
      <c r="Z36" s="1016"/>
      <c r="AA36" s="1028"/>
      <c r="AB36" s="1016"/>
      <c r="AC36" s="1026"/>
      <c r="AG36" s="992">
        <f>+W35/4*0.35</f>
        <v>30.280896606406589</v>
      </c>
      <c r="AM36" s="1017"/>
      <c r="AN36" s="1046"/>
      <c r="AO36" s="1074"/>
    </row>
    <row r="37" spans="2:42">
      <c r="B37" s="992">
        <f t="shared" ca="1" si="6"/>
        <v>28</v>
      </c>
      <c r="D37" s="1033"/>
      <c r="F37" s="991" t="s">
        <v>1182</v>
      </c>
      <c r="G37" s="1015"/>
      <c r="H37" s="1015"/>
      <c r="I37" s="1016">
        <f>+SUM(I$7:I$36)</f>
        <v>374285.54568013898</v>
      </c>
      <c r="J37" s="1016"/>
      <c r="K37" s="1016">
        <f>+SUM(K$7:K$36)</f>
        <v>5151814.2161736805</v>
      </c>
      <c r="L37" s="1016"/>
      <c r="M37" s="1016">
        <f>+SUM(M$7:M$36)</f>
        <v>11224.771976320671</v>
      </c>
      <c r="N37" s="991"/>
      <c r="O37" s="1015"/>
      <c r="P37" s="1016">
        <f>+SUM(P$7:P$36)</f>
        <v>399134.37715767347</v>
      </c>
      <c r="Q37" s="1016"/>
      <c r="R37" s="1016">
        <f>+SUM(R$7:R$36)</f>
        <v>4994078.8432767913</v>
      </c>
      <c r="S37" s="1016"/>
      <c r="T37" s="1016">
        <f>+SUM(T$7:T$36)</f>
        <v>-47770.769702643556</v>
      </c>
      <c r="W37" s="1016">
        <f>+SUM(W$7:W$36)</f>
        <v>42048.47613774598</v>
      </c>
      <c r="X37" s="1016"/>
      <c r="Y37" s="1016">
        <f>+SUM(Y$7:Y$36)</f>
        <v>24848.831477534626</v>
      </c>
      <c r="Z37" s="1016"/>
      <c r="AA37" s="1016">
        <f>+SUM(AA$7:AA$36)</f>
        <v>-157735.37289688986</v>
      </c>
      <c r="AB37" s="1016"/>
      <c r="AC37" s="1016">
        <f>+SUM(AC$7:AC$36)</f>
        <v>-58995.541678964211</v>
      </c>
      <c r="AM37" s="1017"/>
      <c r="AN37" s="1046"/>
      <c r="AO37" s="1074"/>
    </row>
    <row r="38" spans="2:42">
      <c r="B38" s="1018"/>
      <c r="D38" s="1033"/>
      <c r="G38" s="998"/>
      <c r="W38" s="1017"/>
      <c r="X38" s="1017"/>
      <c r="Y38" s="1017"/>
      <c r="Z38" s="1017"/>
      <c r="AA38" s="1017"/>
      <c r="AB38" s="1019"/>
      <c r="AC38" s="1019"/>
      <c r="AM38" s="1017"/>
      <c r="AN38" s="1046"/>
    </row>
    <row r="39" spans="2:42">
      <c r="B39" s="1018" t="s">
        <v>1183</v>
      </c>
      <c r="D39" s="1033"/>
      <c r="G39" s="998"/>
      <c r="W39" s="1017"/>
      <c r="X39" s="1017"/>
      <c r="Y39" s="1017"/>
      <c r="Z39" s="1017"/>
      <c r="AA39" s="1017"/>
      <c r="AB39" s="1019"/>
      <c r="AC39" s="1019"/>
      <c r="AM39" s="1017"/>
      <c r="AN39" s="1046"/>
      <c r="AO39" s="1074"/>
    </row>
    <row r="40" spans="2:42" s="999" customFormat="1">
      <c r="B40" s="992">
        <f t="shared" ca="1" si="6"/>
        <v>29</v>
      </c>
      <c r="C40" s="992"/>
      <c r="D40" s="1033">
        <v>7.01</v>
      </c>
      <c r="E40" s="992"/>
      <c r="F40" s="992" t="s">
        <v>1247</v>
      </c>
      <c r="G40" s="998"/>
      <c r="H40" s="998"/>
      <c r="I40" s="1017">
        <v>-19501.104647951499</v>
      </c>
      <c r="J40" s="1017"/>
      <c r="K40" s="1017">
        <v>0</v>
      </c>
      <c r="L40" s="1017"/>
      <c r="M40" s="1017">
        <f t="shared" ref="M40:M54" si="22">+($K40*$AJ$12-$I40)/$AH$4</f>
        <v>31501.612384038632</v>
      </c>
      <c r="N40" s="992"/>
      <c r="O40" s="998"/>
      <c r="P40" s="1017">
        <f t="shared" ref="P40:P52" si="23">+I40+Y40</f>
        <v>-6973.6546479514982</v>
      </c>
      <c r="Q40" s="1017"/>
      <c r="R40" s="1017">
        <f t="shared" ref="R40:R52" si="24">+K40+AA40</f>
        <v>0</v>
      </c>
      <c r="S40" s="1017"/>
      <c r="T40" s="1017">
        <f t="shared" ref="T40:T54" si="25">+($R40*$AJ$12-$P40)/$AH$4</f>
        <v>11265.072906677315</v>
      </c>
      <c r="U40" s="992"/>
      <c r="V40" s="998"/>
      <c r="W40" s="1050">
        <v>19273</v>
      </c>
      <c r="X40" s="1017"/>
      <c r="Y40" s="1017">
        <f t="shared" ref="Y40:Y52" si="26">+W40*(1-$AH$5)</f>
        <v>12527.45</v>
      </c>
      <c r="Z40" s="1017"/>
      <c r="AA40" s="1017">
        <v>0</v>
      </c>
      <c r="AC40" s="1017">
        <f t="shared" ref="AC40:AC54" si="27">+($AA40*$AJ$12-$Y40)/$AH$4</f>
        <v>-20236.539477361315</v>
      </c>
      <c r="AE40" s="992" t="s">
        <v>1193</v>
      </c>
      <c r="AF40" s="992"/>
      <c r="AH40" s="992"/>
      <c r="AI40" s="992"/>
      <c r="AJ40" s="992"/>
      <c r="AK40" s="992"/>
      <c r="AL40" s="992"/>
      <c r="AM40" s="1017">
        <f>+INDEX('BGM-3 (2) Detail '!$49:$49,1,MATCH($D40,'BGM-3 (2) Detail '!$14:$14,0))-P40*1000</f>
        <v>1.4901161193847656E-8</v>
      </c>
      <c r="AN40" s="1046">
        <f t="shared" ref="AN40:AN51" si="28">+$AC$14*AA40/($AA$56-$AA$52)</f>
        <v>0</v>
      </c>
      <c r="AO40" s="1074">
        <f t="shared" ref="AO40:AO51" si="29">+$AC$52*(AC40/($AC$56-$AC$52-$AC$14))</f>
        <v>-1.6985896841398687</v>
      </c>
      <c r="AP40" s="1046">
        <f t="shared" ref="AP40:AP53" si="30">+AC40+SUM(AN40:AO40)</f>
        <v>-20238.238067045455</v>
      </c>
    </row>
    <row r="41" spans="2:42" s="999" customFormat="1">
      <c r="B41" s="992">
        <f t="shared" ca="1" si="6"/>
        <v>30</v>
      </c>
      <c r="C41" s="992"/>
      <c r="D41" s="1033">
        <v>7.02</v>
      </c>
      <c r="E41" s="992"/>
      <c r="F41" s="992" t="s">
        <v>1257</v>
      </c>
      <c r="G41" s="998"/>
      <c r="H41" s="998"/>
      <c r="I41" s="1017">
        <v>45.318089987028387</v>
      </c>
      <c r="J41" s="1017"/>
      <c r="K41" s="1017">
        <v>0</v>
      </c>
      <c r="L41" s="1017"/>
      <c r="M41" s="1017">
        <f t="shared" si="22"/>
        <v>-73.205745547666325</v>
      </c>
      <c r="N41" s="992"/>
      <c r="O41" s="998"/>
      <c r="P41" s="1017">
        <f t="shared" si="23"/>
        <v>45.318089987028387</v>
      </c>
      <c r="Q41" s="1017"/>
      <c r="R41" s="1017">
        <f t="shared" si="24"/>
        <v>0</v>
      </c>
      <c r="S41" s="1017"/>
      <c r="T41" s="1017">
        <f t="shared" si="25"/>
        <v>-73.205745547666325</v>
      </c>
      <c r="U41" s="992"/>
      <c r="V41" s="998"/>
      <c r="W41" s="1017">
        <v>0</v>
      </c>
      <c r="X41" s="1017"/>
      <c r="Y41" s="1017">
        <f t="shared" si="26"/>
        <v>0</v>
      </c>
      <c r="Z41" s="1017"/>
      <c r="AA41" s="1017">
        <v>0</v>
      </c>
      <c r="AC41" s="1017">
        <f t="shared" si="27"/>
        <v>0</v>
      </c>
      <c r="AE41" s="992" t="s">
        <v>1189</v>
      </c>
      <c r="AF41" s="992"/>
      <c r="AH41" s="992"/>
      <c r="AI41" s="992"/>
      <c r="AJ41" s="992"/>
      <c r="AK41" s="992"/>
      <c r="AL41" s="992"/>
      <c r="AM41" s="1017">
        <f>+INDEX('BGM-3 (2) Detail '!$49:$49,1,MATCH($D41,'BGM-3 (2) Detail '!$14:$14,0))-P41*1000</f>
        <v>0</v>
      </c>
      <c r="AN41" s="1046">
        <f t="shared" si="28"/>
        <v>0</v>
      </c>
      <c r="AO41" s="1074">
        <f t="shared" si="29"/>
        <v>0</v>
      </c>
      <c r="AP41" s="1046">
        <f t="shared" si="30"/>
        <v>0</v>
      </c>
    </row>
    <row r="42" spans="2:42" s="999" customFormat="1">
      <c r="B42" s="992">
        <f t="shared" ca="1" si="6"/>
        <v>31</v>
      </c>
      <c r="C42" s="992"/>
      <c r="D42" s="1033">
        <v>7.0299999999999994</v>
      </c>
      <c r="E42" s="992"/>
      <c r="F42" s="992" t="s">
        <v>1248</v>
      </c>
      <c r="G42" s="998"/>
      <c r="H42" s="998"/>
      <c r="I42" s="1017">
        <v>137.8903786545967</v>
      </c>
      <c r="J42" s="1017"/>
      <c r="K42" s="1017">
        <v>-1969.3413363122559</v>
      </c>
      <c r="L42" s="1017"/>
      <c r="M42" s="1017">
        <f t="shared" si="22"/>
        <v>-458.15552764102415</v>
      </c>
      <c r="N42" s="992"/>
      <c r="O42" s="998"/>
      <c r="P42" s="1017">
        <f t="shared" si="23"/>
        <v>137.8903786545967</v>
      </c>
      <c r="Q42" s="1017"/>
      <c r="R42" s="1017">
        <f t="shared" si="24"/>
        <v>-1969.3413363122559</v>
      </c>
      <c r="S42" s="1017"/>
      <c r="T42" s="1017">
        <f t="shared" si="25"/>
        <v>-458.15552764102415</v>
      </c>
      <c r="U42" s="992"/>
      <c r="V42" s="998"/>
      <c r="W42" s="1017">
        <v>0</v>
      </c>
      <c r="X42" s="1017"/>
      <c r="Y42" s="1017">
        <f t="shared" si="26"/>
        <v>0</v>
      </c>
      <c r="Z42" s="1017"/>
      <c r="AA42" s="1017">
        <v>0</v>
      </c>
      <c r="AC42" s="1017">
        <f t="shared" si="27"/>
        <v>0</v>
      </c>
      <c r="AE42" s="992" t="s">
        <v>1189</v>
      </c>
      <c r="AF42" s="992"/>
      <c r="AH42" s="992"/>
      <c r="AI42" s="992"/>
      <c r="AJ42" s="992"/>
      <c r="AK42" s="992"/>
      <c r="AL42" s="992"/>
      <c r="AM42" s="1017">
        <f>+INDEX('BGM-3 (2) Detail '!$49:$49,1,MATCH($D42,'BGM-3 (2) Detail '!$14:$14,0))-P42*1000</f>
        <v>0</v>
      </c>
      <c r="AN42" s="1046">
        <f t="shared" si="28"/>
        <v>0</v>
      </c>
      <c r="AO42" s="1074">
        <f t="shared" si="29"/>
        <v>0</v>
      </c>
      <c r="AP42" s="1046">
        <f t="shared" si="30"/>
        <v>0</v>
      </c>
    </row>
    <row r="43" spans="2:42" s="999" customFormat="1">
      <c r="B43" s="992">
        <f t="shared" ca="1" si="6"/>
        <v>32</v>
      </c>
      <c r="C43" s="992"/>
      <c r="D43" s="1033">
        <v>7.0399999999999991</v>
      </c>
      <c r="E43" s="992"/>
      <c r="F43" s="992" t="s">
        <v>1258</v>
      </c>
      <c r="G43" s="998"/>
      <c r="H43" s="998"/>
      <c r="I43" s="1017">
        <v>-41672.583959499942</v>
      </c>
      <c r="J43" s="1017"/>
      <c r="K43" s="1017">
        <v>0</v>
      </c>
      <c r="L43" s="1017"/>
      <c r="M43" s="1017">
        <f t="shared" si="22"/>
        <v>67316.883357752333</v>
      </c>
      <c r="N43" s="992"/>
      <c r="O43" s="998"/>
      <c r="P43" s="1017">
        <f t="shared" si="23"/>
        <v>-41672.583959499942</v>
      </c>
      <c r="Q43" s="1017"/>
      <c r="R43" s="1017">
        <f t="shared" si="24"/>
        <v>0</v>
      </c>
      <c r="S43" s="1017"/>
      <c r="T43" s="1017">
        <f t="shared" si="25"/>
        <v>67316.883357752333</v>
      </c>
      <c r="U43" s="992"/>
      <c r="V43" s="998"/>
      <c r="W43" s="1017">
        <v>0</v>
      </c>
      <c r="X43" s="1017"/>
      <c r="Y43" s="1017">
        <f t="shared" si="26"/>
        <v>0</v>
      </c>
      <c r="Z43" s="1017"/>
      <c r="AA43" s="1017">
        <v>0</v>
      </c>
      <c r="AC43" s="1017">
        <f t="shared" si="27"/>
        <v>0</v>
      </c>
      <c r="AE43" s="992" t="s">
        <v>1189</v>
      </c>
      <c r="AF43" s="992"/>
      <c r="AH43" s="992"/>
      <c r="AI43" s="992"/>
      <c r="AJ43" s="992"/>
      <c r="AK43" s="992"/>
      <c r="AL43" s="992"/>
      <c r="AM43" s="1017">
        <f>+INDEX('BGM-3 (2) Detail '!$49:$49,1,MATCH($D43,'BGM-3 (2) Detail '!$14:$14,0))-P43*1000</f>
        <v>0</v>
      </c>
      <c r="AN43" s="1046">
        <f t="shared" si="28"/>
        <v>0</v>
      </c>
      <c r="AO43" s="1074">
        <f t="shared" si="29"/>
        <v>0</v>
      </c>
      <c r="AP43" s="1046">
        <f t="shared" si="30"/>
        <v>0</v>
      </c>
    </row>
    <row r="44" spans="2:42" s="999" customFormat="1">
      <c r="B44" s="992">
        <f t="shared" ca="1" si="6"/>
        <v>33</v>
      </c>
      <c r="C44" s="992"/>
      <c r="D44" s="1033">
        <v>7.0499999999999989</v>
      </c>
      <c r="E44" s="992"/>
      <c r="F44" s="992" t="s">
        <v>1249</v>
      </c>
      <c r="G44" s="998"/>
      <c r="H44" s="998"/>
      <c r="I44" s="1017">
        <v>-6712.5566684583337</v>
      </c>
      <c r="J44" s="1017"/>
      <c r="K44" s="1017">
        <v>0</v>
      </c>
      <c r="L44" s="1017"/>
      <c r="M44" s="1017">
        <f t="shared" si="22"/>
        <v>10843.30155101653</v>
      </c>
      <c r="N44" s="992"/>
      <c r="O44" s="998"/>
      <c r="P44" s="1017">
        <f t="shared" si="23"/>
        <v>-6712.5566684583337</v>
      </c>
      <c r="Q44" s="1017"/>
      <c r="R44" s="1017">
        <f t="shared" si="24"/>
        <v>0</v>
      </c>
      <c r="S44" s="1017"/>
      <c r="T44" s="1017">
        <f t="shared" si="25"/>
        <v>10843.30155101653</v>
      </c>
      <c r="U44" s="992"/>
      <c r="V44" s="998"/>
      <c r="W44" s="1017">
        <v>0</v>
      </c>
      <c r="X44" s="1017"/>
      <c r="Y44" s="1017">
        <f t="shared" si="26"/>
        <v>0</v>
      </c>
      <c r="Z44" s="1017"/>
      <c r="AA44" s="1017">
        <v>0</v>
      </c>
      <c r="AC44" s="1017">
        <f t="shared" si="27"/>
        <v>0</v>
      </c>
      <c r="AE44" s="992" t="s">
        <v>1189</v>
      </c>
      <c r="AF44" s="992"/>
      <c r="AH44" s="992"/>
      <c r="AI44" s="992"/>
      <c r="AJ44" s="992"/>
      <c r="AK44" s="992"/>
      <c r="AL44" s="992"/>
      <c r="AM44" s="1017">
        <f>+INDEX('BGM-3 (2) Detail '!$49:$49,1,MATCH($D44,'BGM-3 (2) Detail '!$14:$14,0))-P44*1000</f>
        <v>0</v>
      </c>
      <c r="AN44" s="1046">
        <f t="shared" si="28"/>
        <v>0</v>
      </c>
      <c r="AO44" s="1074">
        <f t="shared" si="29"/>
        <v>0</v>
      </c>
      <c r="AP44" s="1046">
        <f t="shared" si="30"/>
        <v>0</v>
      </c>
    </row>
    <row r="45" spans="2:42" s="999" customFormat="1">
      <c r="B45" s="992">
        <f t="shared" ca="1" si="6"/>
        <v>34</v>
      </c>
      <c r="C45" s="992"/>
      <c r="D45" s="1033">
        <v>7.0599999999999987</v>
      </c>
      <c r="E45" s="992"/>
      <c r="F45" s="992" t="s">
        <v>1250</v>
      </c>
      <c r="G45" s="998"/>
      <c r="H45" s="998"/>
      <c r="I45" s="1017">
        <v>1736.2119514499884</v>
      </c>
      <c r="J45" s="1017"/>
      <c r="K45" s="1017">
        <v>-44085.326485419188</v>
      </c>
      <c r="L45" s="1017"/>
      <c r="M45" s="1017">
        <f t="shared" si="22"/>
        <v>-8074.4980807251877</v>
      </c>
      <c r="N45" s="992"/>
      <c r="O45" s="998"/>
      <c r="P45" s="1017">
        <f t="shared" si="23"/>
        <v>1736.2119514499884</v>
      </c>
      <c r="Q45" s="1017"/>
      <c r="R45" s="1017">
        <f t="shared" si="24"/>
        <v>-44085.326485419188</v>
      </c>
      <c r="S45" s="1017"/>
      <c r="T45" s="1017">
        <f t="shared" si="25"/>
        <v>-8074.4980807251877</v>
      </c>
      <c r="U45" s="992"/>
      <c r="V45" s="998"/>
      <c r="W45" s="1017">
        <v>0</v>
      </c>
      <c r="X45" s="1017"/>
      <c r="Y45" s="1017">
        <f t="shared" si="26"/>
        <v>0</v>
      </c>
      <c r="Z45" s="1017"/>
      <c r="AA45" s="1017">
        <v>0</v>
      </c>
      <c r="AC45" s="1017">
        <f t="shared" si="27"/>
        <v>0</v>
      </c>
      <c r="AE45" s="992" t="s">
        <v>1189</v>
      </c>
      <c r="AF45" s="992"/>
      <c r="AH45" s="992"/>
      <c r="AI45" s="992"/>
      <c r="AJ45" s="992"/>
      <c r="AK45" s="992"/>
      <c r="AL45" s="992"/>
      <c r="AM45" s="1017">
        <f>+INDEX('BGM-3 (2) Detail '!$49:$49,1,MATCH($D45,'BGM-3 (2) Detail '!$14:$14,0))-P45*1000</f>
        <v>0</v>
      </c>
      <c r="AN45" s="1046">
        <f t="shared" si="28"/>
        <v>0</v>
      </c>
      <c r="AO45" s="1074">
        <f t="shared" si="29"/>
        <v>0</v>
      </c>
      <c r="AP45" s="1046">
        <f t="shared" si="30"/>
        <v>0</v>
      </c>
    </row>
    <row r="46" spans="2:42" s="999" customFormat="1">
      <c r="B46" s="992">
        <f t="shared" ca="1" si="6"/>
        <v>35</v>
      </c>
      <c r="C46" s="992"/>
      <c r="D46" s="1033">
        <v>7.0699999999999985</v>
      </c>
      <c r="E46" s="992"/>
      <c r="F46" s="992" t="s">
        <v>1251</v>
      </c>
      <c r="G46" s="998"/>
      <c r="H46" s="998"/>
      <c r="I46" s="1017">
        <v>-145.49032262849354</v>
      </c>
      <c r="J46" s="1017"/>
      <c r="K46" s="1017">
        <v>2842.7870613208561</v>
      </c>
      <c r="L46" s="1017"/>
      <c r="M46" s="1017">
        <f t="shared" si="22"/>
        <v>574.84208113101647</v>
      </c>
      <c r="N46" s="992"/>
      <c r="O46" s="998"/>
      <c r="P46" s="1017">
        <f t="shared" si="23"/>
        <v>-145.49032262849354</v>
      </c>
      <c r="Q46" s="1017"/>
      <c r="R46" s="1017">
        <f t="shared" si="24"/>
        <v>2842.7870613208561</v>
      </c>
      <c r="S46" s="1017"/>
      <c r="T46" s="1017">
        <f t="shared" si="25"/>
        <v>574.84208113101647</v>
      </c>
      <c r="U46" s="992"/>
      <c r="V46" s="998"/>
      <c r="W46" s="1017">
        <v>0</v>
      </c>
      <c r="X46" s="1017"/>
      <c r="Y46" s="1017">
        <f t="shared" si="26"/>
        <v>0</v>
      </c>
      <c r="Z46" s="1017"/>
      <c r="AA46" s="1017">
        <v>0</v>
      </c>
      <c r="AC46" s="1017">
        <f t="shared" si="27"/>
        <v>0</v>
      </c>
      <c r="AE46" s="992" t="s">
        <v>1189</v>
      </c>
      <c r="AF46" s="992"/>
      <c r="AH46" s="992"/>
      <c r="AI46" s="992"/>
      <c r="AJ46" s="992"/>
      <c r="AK46" s="992"/>
      <c r="AL46" s="992"/>
      <c r="AM46" s="1017">
        <f>+INDEX('BGM-3 (2) Detail '!$49:$49,1,MATCH($D46,'BGM-3 (2) Detail '!$14:$14,0))-P46*1000</f>
        <v>0</v>
      </c>
      <c r="AN46" s="1046">
        <f t="shared" si="28"/>
        <v>0</v>
      </c>
      <c r="AO46" s="1074">
        <f t="shared" si="29"/>
        <v>0</v>
      </c>
      <c r="AP46" s="1046">
        <f t="shared" si="30"/>
        <v>0</v>
      </c>
    </row>
    <row r="47" spans="2:42" s="999" customFormat="1">
      <c r="B47" s="992">
        <f t="shared" ca="1" si="6"/>
        <v>36</v>
      </c>
      <c r="C47" s="992"/>
      <c r="D47" s="1033">
        <v>7.0799999999999983</v>
      </c>
      <c r="E47" s="992"/>
      <c r="F47" s="992" t="s">
        <v>1252</v>
      </c>
      <c r="G47" s="998"/>
      <c r="H47" s="998"/>
      <c r="I47" s="1017">
        <v>-3492.7168900000006</v>
      </c>
      <c r="J47" s="1017"/>
      <c r="K47" s="1017">
        <v>5131.8690972135228</v>
      </c>
      <c r="L47" s="1017"/>
      <c r="M47" s="1017">
        <f t="shared" si="22"/>
        <v>6255.5027020290754</v>
      </c>
      <c r="N47" s="992"/>
      <c r="O47" s="998"/>
      <c r="P47" s="1017">
        <f t="shared" si="23"/>
        <v>-3492.7168900000006</v>
      </c>
      <c r="Q47" s="1017"/>
      <c r="R47" s="1017">
        <f t="shared" si="24"/>
        <v>5131.8690972135228</v>
      </c>
      <c r="S47" s="1017"/>
      <c r="T47" s="1017">
        <f t="shared" si="25"/>
        <v>6255.5027020290754</v>
      </c>
      <c r="U47" s="992"/>
      <c r="V47" s="998"/>
      <c r="W47" s="1017">
        <v>0</v>
      </c>
      <c r="X47" s="1017"/>
      <c r="Y47" s="1017">
        <f t="shared" si="26"/>
        <v>0</v>
      </c>
      <c r="Z47" s="1017"/>
      <c r="AA47" s="1017">
        <v>0</v>
      </c>
      <c r="AC47" s="1017">
        <f t="shared" si="27"/>
        <v>0</v>
      </c>
      <c r="AE47" s="992" t="s">
        <v>1189</v>
      </c>
      <c r="AF47" s="992"/>
      <c r="AH47" s="992"/>
      <c r="AI47" s="992"/>
      <c r="AJ47" s="992"/>
      <c r="AK47" s="992"/>
      <c r="AL47" s="992"/>
      <c r="AM47" s="1017">
        <f>+INDEX('BGM-3 (2) Detail '!$49:$49,1,MATCH($D47,'BGM-3 (2) Detail '!$14:$14,0))-P47*1000</f>
        <v>0</v>
      </c>
      <c r="AN47" s="1046">
        <f t="shared" si="28"/>
        <v>0</v>
      </c>
      <c r="AO47" s="1074">
        <f t="shared" si="29"/>
        <v>0</v>
      </c>
      <c r="AP47" s="1046">
        <f t="shared" si="30"/>
        <v>0</v>
      </c>
    </row>
    <row r="48" spans="2:42" s="999" customFormat="1">
      <c r="B48" s="992">
        <f t="shared" ca="1" si="6"/>
        <v>37</v>
      </c>
      <c r="C48" s="992"/>
      <c r="D48" s="1033">
        <v>7.0899999999999981</v>
      </c>
      <c r="E48" s="992"/>
      <c r="F48" s="992" t="s">
        <v>799</v>
      </c>
      <c r="G48" s="998"/>
      <c r="H48" s="998"/>
      <c r="I48" s="1017">
        <v>2.1560948424596518</v>
      </c>
      <c r="J48" s="1017"/>
      <c r="K48" s="1017">
        <v>18140.9544063752</v>
      </c>
      <c r="L48" s="1017"/>
      <c r="M48" s="1017">
        <f t="shared" si="22"/>
        <v>2165.0470336520011</v>
      </c>
      <c r="N48" s="992"/>
      <c r="O48" s="998"/>
      <c r="P48" s="1017">
        <f t="shared" si="23"/>
        <v>2.1560948424596518</v>
      </c>
      <c r="Q48" s="1017"/>
      <c r="R48" s="1017">
        <f t="shared" si="24"/>
        <v>18140.9544063752</v>
      </c>
      <c r="S48" s="1017"/>
      <c r="T48" s="1017">
        <f t="shared" si="25"/>
        <v>2165.0470336520011</v>
      </c>
      <c r="U48" s="992"/>
      <c r="V48" s="998"/>
      <c r="W48" s="1017">
        <v>0</v>
      </c>
      <c r="X48" s="1017"/>
      <c r="Y48" s="1017">
        <f t="shared" si="26"/>
        <v>0</v>
      </c>
      <c r="Z48" s="1017"/>
      <c r="AA48" s="1017">
        <v>0</v>
      </c>
      <c r="AC48" s="1017">
        <f t="shared" si="27"/>
        <v>0</v>
      </c>
      <c r="AE48" s="992" t="s">
        <v>1189</v>
      </c>
      <c r="AF48" s="992"/>
      <c r="AH48" s="992"/>
      <c r="AI48" s="992"/>
      <c r="AJ48" s="992"/>
      <c r="AK48" s="992"/>
      <c r="AL48" s="992"/>
      <c r="AM48" s="1017">
        <f>+INDEX('BGM-3 (2) Detail '!$49:$49,1,MATCH($D48,'BGM-3 (2) Detail '!$14:$14,0))-P48*1000</f>
        <v>0</v>
      </c>
      <c r="AN48" s="1046">
        <f t="shared" si="28"/>
        <v>0</v>
      </c>
      <c r="AO48" s="1074">
        <f t="shared" si="29"/>
        <v>0</v>
      </c>
      <c r="AP48" s="1046">
        <f t="shared" si="30"/>
        <v>0</v>
      </c>
    </row>
    <row r="49" spans="2:42" s="999" customFormat="1">
      <c r="B49" s="992">
        <f t="shared" ca="1" si="6"/>
        <v>38</v>
      </c>
      <c r="C49" s="992"/>
      <c r="D49" s="1033">
        <v>7.0999999999999979</v>
      </c>
      <c r="E49" s="992"/>
      <c r="F49" s="992" t="s">
        <v>802</v>
      </c>
      <c r="G49" s="998"/>
      <c r="H49" s="998"/>
      <c r="I49" s="1017">
        <v>0</v>
      </c>
      <c r="J49" s="1017"/>
      <c r="K49" s="1017">
        <v>19004.590008907948</v>
      </c>
      <c r="L49" s="1017"/>
      <c r="M49" s="1017">
        <f t="shared" si="22"/>
        <v>2271.7670444909836</v>
      </c>
      <c r="N49" s="992"/>
      <c r="O49" s="998"/>
      <c r="P49" s="1017">
        <f t="shared" si="23"/>
        <v>0</v>
      </c>
      <c r="Q49" s="1017"/>
      <c r="R49" s="1017">
        <f t="shared" si="24"/>
        <v>19004.590008907948</v>
      </c>
      <c r="S49" s="1017"/>
      <c r="T49" s="1017">
        <f t="shared" si="25"/>
        <v>2271.7670444909836</v>
      </c>
      <c r="U49" s="992"/>
      <c r="V49" s="998"/>
      <c r="W49" s="1017">
        <v>0</v>
      </c>
      <c r="X49" s="1017"/>
      <c r="Y49" s="1017">
        <f t="shared" si="26"/>
        <v>0</v>
      </c>
      <c r="Z49" s="1017"/>
      <c r="AA49" s="1017">
        <v>0</v>
      </c>
      <c r="AC49" s="1017">
        <f t="shared" si="27"/>
        <v>0</v>
      </c>
      <c r="AE49" s="992" t="s">
        <v>1189</v>
      </c>
      <c r="AF49" s="992"/>
      <c r="AH49" s="992"/>
      <c r="AI49" s="992"/>
      <c r="AJ49" s="992"/>
      <c r="AK49" s="992"/>
      <c r="AL49" s="992"/>
      <c r="AM49" s="1017">
        <f>+INDEX('BGM-3 (2) Detail '!$49:$49,1,MATCH($D49,'BGM-3 (2) Detail '!$14:$14,0))-P49*1000</f>
        <v>0</v>
      </c>
      <c r="AN49" s="1046">
        <f t="shared" si="28"/>
        <v>0</v>
      </c>
      <c r="AO49" s="1074">
        <f t="shared" si="29"/>
        <v>0</v>
      </c>
      <c r="AP49" s="1046">
        <f t="shared" si="30"/>
        <v>0</v>
      </c>
    </row>
    <row r="50" spans="2:42" s="999" customFormat="1">
      <c r="B50" s="992">
        <f t="shared" ca="1" si="6"/>
        <v>39</v>
      </c>
      <c r="C50" s="992"/>
      <c r="D50" s="1033">
        <v>7.1099999999999977</v>
      </c>
      <c r="E50" s="992"/>
      <c r="F50" s="992" t="s">
        <v>1253</v>
      </c>
      <c r="G50" s="998"/>
      <c r="H50" s="998"/>
      <c r="I50" s="1017">
        <v>-3376.4086380116782</v>
      </c>
      <c r="J50" s="1017"/>
      <c r="K50" s="1017">
        <v>-3888.4789757908675</v>
      </c>
      <c r="L50" s="1017"/>
      <c r="M50" s="1017">
        <f t="shared" si="22"/>
        <v>4989.3485250862277</v>
      </c>
      <c r="N50" s="992"/>
      <c r="O50" s="998"/>
      <c r="P50" s="1017">
        <f t="shared" si="23"/>
        <v>-3376.4086380116782</v>
      </c>
      <c r="Q50" s="1017"/>
      <c r="R50" s="1017">
        <f t="shared" si="24"/>
        <v>-3888.4789757908675</v>
      </c>
      <c r="S50" s="1017"/>
      <c r="T50" s="1017">
        <f t="shared" si="25"/>
        <v>4989.3485250862277</v>
      </c>
      <c r="U50" s="992"/>
      <c r="V50" s="998"/>
      <c r="W50" s="1017">
        <v>0</v>
      </c>
      <c r="X50" s="1017"/>
      <c r="Y50" s="1017">
        <f t="shared" si="26"/>
        <v>0</v>
      </c>
      <c r="Z50" s="1017"/>
      <c r="AA50" s="1017">
        <v>0</v>
      </c>
      <c r="AC50" s="1017">
        <f t="shared" si="27"/>
        <v>0</v>
      </c>
      <c r="AE50" s="992" t="s">
        <v>1189</v>
      </c>
      <c r="AF50" s="992"/>
      <c r="AH50" s="992"/>
      <c r="AI50" s="992"/>
      <c r="AJ50" s="992"/>
      <c r="AK50" s="992"/>
      <c r="AL50" s="992"/>
      <c r="AM50" s="1017">
        <f>+INDEX('BGM-3 (2) Detail '!$49:$49,1,MATCH($D50,'BGM-3 (2) Detail '!$14:$14,0))-P50*1000</f>
        <v>0</v>
      </c>
      <c r="AN50" s="1046">
        <f t="shared" si="28"/>
        <v>0</v>
      </c>
      <c r="AO50" s="1074">
        <f t="shared" si="29"/>
        <v>0</v>
      </c>
      <c r="AP50" s="1046">
        <f t="shared" si="30"/>
        <v>0</v>
      </c>
    </row>
    <row r="51" spans="2:42" s="999" customFormat="1">
      <c r="B51" s="1062">
        <f t="shared" ca="1" si="6"/>
        <v>40</v>
      </c>
      <c r="C51" s="1062"/>
      <c r="D51" s="1063">
        <v>7.1199999999999974</v>
      </c>
      <c r="E51" s="1062"/>
      <c r="F51" s="1062" t="s">
        <v>1254</v>
      </c>
      <c r="G51" s="1064"/>
      <c r="H51" s="1064"/>
      <c r="I51" s="1065">
        <v>-2131.857</v>
      </c>
      <c r="J51" s="1065"/>
      <c r="K51" s="1065">
        <v>5739.6149999999852</v>
      </c>
      <c r="L51" s="1065"/>
      <c r="M51" s="1065">
        <f t="shared" si="22"/>
        <v>4129.8511915819518</v>
      </c>
      <c r="N51" s="1066"/>
      <c r="O51" s="1064"/>
      <c r="P51" s="1067">
        <f t="shared" si="23"/>
        <v>0</v>
      </c>
      <c r="Q51" s="1067"/>
      <c r="R51" s="1067">
        <f t="shared" si="24"/>
        <v>0</v>
      </c>
      <c r="S51" s="1067"/>
      <c r="T51" s="1067">
        <f t="shared" si="25"/>
        <v>0</v>
      </c>
      <c r="U51" s="1062"/>
      <c r="V51" s="1068"/>
      <c r="W51" s="1065">
        <f>-I51/(1-AH5)</f>
        <v>3279.7799999999997</v>
      </c>
      <c r="X51" s="1065"/>
      <c r="Y51" s="1065">
        <f t="shared" si="26"/>
        <v>2131.857</v>
      </c>
      <c r="Z51" s="1065"/>
      <c r="AA51" s="1065">
        <f>-K51</f>
        <v>-5739.6149999999852</v>
      </c>
      <c r="AB51" s="1069"/>
      <c r="AC51" s="1065">
        <f t="shared" si="27"/>
        <v>-4129.8511915819518</v>
      </c>
      <c r="AD51" s="1070"/>
      <c r="AE51" s="1062" t="s">
        <v>1193</v>
      </c>
      <c r="AF51" s="992"/>
      <c r="AH51" s="992"/>
      <c r="AI51" s="992"/>
      <c r="AJ51" s="992"/>
      <c r="AK51" s="992"/>
      <c r="AL51" s="992"/>
      <c r="AM51" s="1017">
        <f>+INDEX('BGM-3 (2) Detail '!$49:$49,1,MATCH($D51,'BGM-3 (2) Detail '!$14:$14,0))-P51*1000</f>
        <v>0</v>
      </c>
      <c r="AN51" s="1046">
        <f t="shared" si="28"/>
        <v>96.942608976605996</v>
      </c>
      <c r="AO51" s="1074">
        <f t="shared" si="29"/>
        <v>-0.34664635418034123</v>
      </c>
      <c r="AP51" s="1046">
        <f t="shared" si="30"/>
        <v>-4033.255228959526</v>
      </c>
    </row>
    <row r="52" spans="2:42" s="999" customFormat="1">
      <c r="B52" s="1062">
        <f t="shared" ca="1" si="6"/>
        <v>41</v>
      </c>
      <c r="C52" s="1062"/>
      <c r="D52" s="1063">
        <v>7.1299999999999972</v>
      </c>
      <c r="E52" s="1062"/>
      <c r="F52" s="1062" t="s">
        <v>1255</v>
      </c>
      <c r="G52" s="1064"/>
      <c r="H52" s="1064"/>
      <c r="I52" s="1065">
        <v>3130.9175606199606</v>
      </c>
      <c r="J52" s="1065"/>
      <c r="K52" s="1065">
        <v>-54768.451766517224</v>
      </c>
      <c r="L52" s="1065"/>
      <c r="M52" s="1065">
        <f t="shared" si="22"/>
        <v>-11604.509146002891</v>
      </c>
      <c r="N52" s="1066"/>
      <c r="O52" s="1064"/>
      <c r="P52" s="1067">
        <f t="shared" si="23"/>
        <v>3146.6825716104777</v>
      </c>
      <c r="Q52" s="1067"/>
      <c r="R52" s="1067">
        <f t="shared" si="24"/>
        <v>-54622.970766517225</v>
      </c>
      <c r="S52" s="1067"/>
      <c r="T52" s="1067">
        <f t="shared" si="25"/>
        <v>-11612.585083188222</v>
      </c>
      <c r="U52" s="1062"/>
      <c r="V52" s="1068"/>
      <c r="W52" s="1065">
        <f>+('BGM-3 (2) Detail '!AP49/1000-I52)/0.65</f>
        <v>24.253863062334016</v>
      </c>
      <c r="X52" s="1065"/>
      <c r="Y52" s="1065">
        <f t="shared" si="26"/>
        <v>15.76501099051711</v>
      </c>
      <c r="Z52" s="1065"/>
      <c r="AA52" s="1065">
        <f>+'BGM-3 (2) Detail '!AP62/1000-K52</f>
        <v>145.48099999999977</v>
      </c>
      <c r="AB52" s="1069"/>
      <c r="AC52" s="1065">
        <f t="shared" si="27"/>
        <v>-8.0759371853322719</v>
      </c>
      <c r="AD52" s="1070"/>
      <c r="AE52" s="1062" t="s">
        <v>1256</v>
      </c>
      <c r="AF52" s="992"/>
      <c r="AH52" s="992"/>
      <c r="AI52" s="992"/>
      <c r="AJ52" s="992"/>
      <c r="AK52" s="992"/>
      <c r="AL52" s="992"/>
      <c r="AM52" s="1017">
        <f>+INDEX('BGM-3 (2) Detail '!$49:$49,1,MATCH($D52,'BGM-3 (2) Detail '!$14:$14,0))-P52*1000</f>
        <v>0</v>
      </c>
      <c r="AN52" s="1046"/>
      <c r="AO52" s="1074"/>
      <c r="AP52" s="1046"/>
    </row>
    <row r="53" spans="2:42" s="999" customFormat="1">
      <c r="B53" s="1062">
        <f t="shared" ca="1" si="6"/>
        <v>42</v>
      </c>
      <c r="C53" s="1062"/>
      <c r="D53" s="1063" t="s">
        <v>1194</v>
      </c>
      <c r="E53" s="1062"/>
      <c r="F53" s="1062" t="s">
        <v>1195</v>
      </c>
      <c r="G53" s="1064"/>
      <c r="H53" s="1064"/>
      <c r="I53" s="1065">
        <v>0</v>
      </c>
      <c r="J53" s="1065"/>
      <c r="K53" s="1065">
        <v>0</v>
      </c>
      <c r="L53" s="1065"/>
      <c r="M53" s="1065">
        <f t="shared" si="22"/>
        <v>0</v>
      </c>
      <c r="N53" s="1066"/>
      <c r="O53" s="1064"/>
      <c r="P53" s="1067">
        <f t="shared" ref="P53" si="31">+I53+Y53</f>
        <v>0</v>
      </c>
      <c r="Q53" s="1067"/>
      <c r="R53" s="1067">
        <f t="shared" ref="R53" si="32">+K53+AA53</f>
        <v>-73969.464239325331</v>
      </c>
      <c r="S53" s="1067"/>
      <c r="T53" s="1067">
        <f t="shared" si="25"/>
        <v>-8842.1476642636462</v>
      </c>
      <c r="U53" s="1062"/>
      <c r="V53" s="1068"/>
      <c r="W53" s="1065">
        <v>0</v>
      </c>
      <c r="X53" s="1065"/>
      <c r="Y53" s="1065">
        <f t="shared" ref="Y53" si="33">+W53*(1-$AH$5)</f>
        <v>0</v>
      </c>
      <c r="Z53" s="1065"/>
      <c r="AA53" s="1065">
        <f>+'BGM-3 (5) PF Adj.'!BR14/1000</f>
        <v>-73969.464239325331</v>
      </c>
      <c r="AB53" s="1069"/>
      <c r="AC53" s="1065">
        <f t="shared" si="27"/>
        <v>-8842.1476642636462</v>
      </c>
      <c r="AD53" s="1070"/>
      <c r="AE53" s="1062" t="s">
        <v>1184</v>
      </c>
      <c r="AF53" s="992"/>
      <c r="AH53" s="992"/>
      <c r="AI53" s="992"/>
      <c r="AJ53" s="992"/>
      <c r="AK53" s="992"/>
      <c r="AL53" s="992"/>
      <c r="AM53" s="1017">
        <f>+INDEX('BGM-3 (2) Detail '!$49:$49,1,MATCH($D53,'BGM-3 (2) Detail '!$14:$14,0))-P53*1000</f>
        <v>0</v>
      </c>
      <c r="AN53" s="1046">
        <f>+$AC$14*AA53/($AA$56-$AA$52)</f>
        <v>1249.3508446057749</v>
      </c>
      <c r="AO53" s="1074">
        <f>+$AC$52*(AC53/($AC$56-$AC$52-$AC$14))</f>
        <v>-0.74218128178296849</v>
      </c>
      <c r="AP53" s="1046">
        <f t="shared" si="30"/>
        <v>-7593.5390009396542</v>
      </c>
    </row>
    <row r="54" spans="2:42" s="999" customFormat="1">
      <c r="B54" s="992">
        <f t="shared" ca="1" si="6"/>
        <v>43</v>
      </c>
      <c r="C54" s="992"/>
      <c r="D54" s="1033"/>
      <c r="E54" s="992"/>
      <c r="F54" s="992" t="s">
        <v>1271</v>
      </c>
      <c r="I54" s="1017">
        <f>+'[8]KJB-3 Def'!$C$23*'[8]KJB-3 Def'!$C$21/1000</f>
        <v>251.39014680969177</v>
      </c>
      <c r="J54" s="1017"/>
      <c r="K54" s="1017">
        <v>0</v>
      </c>
      <c r="L54" s="1017"/>
      <c r="M54" s="1017">
        <f t="shared" si="22"/>
        <v>-406.08955774191747</v>
      </c>
      <c r="N54" s="992"/>
      <c r="O54" s="998"/>
      <c r="P54" s="1017">
        <f t="shared" ref="P54" si="34">+I54+Y54</f>
        <v>251.39014680969177</v>
      </c>
      <c r="Q54" s="1017"/>
      <c r="R54" s="1017">
        <f t="shared" ref="R54" si="35">+K54+AA54</f>
        <v>0</v>
      </c>
      <c r="S54" s="1017"/>
      <c r="T54" s="1017">
        <f t="shared" si="25"/>
        <v>-406.08955774191747</v>
      </c>
      <c r="U54" s="992"/>
      <c r="V54" s="998"/>
      <c r="W54" s="1017">
        <v>0</v>
      </c>
      <c r="X54" s="1017"/>
      <c r="Y54" s="1017">
        <f t="shared" ref="Y54" si="36">+W54*(1-$AH$5)</f>
        <v>0</v>
      </c>
      <c r="Z54" s="1017"/>
      <c r="AA54" s="1017">
        <v>0</v>
      </c>
      <c r="AC54" s="1017">
        <f t="shared" si="27"/>
        <v>0</v>
      </c>
      <c r="AE54" s="992"/>
      <c r="AF54" s="992"/>
      <c r="AH54" s="992"/>
      <c r="AI54" s="992"/>
      <c r="AJ54" s="992"/>
      <c r="AK54" s="992"/>
      <c r="AL54" s="992"/>
      <c r="AM54" s="1017"/>
      <c r="AN54" s="992"/>
    </row>
    <row r="55" spans="2:42" s="999" customFormat="1">
      <c r="B55" s="992"/>
      <c r="C55" s="992"/>
      <c r="D55" s="1006"/>
      <c r="E55" s="992"/>
      <c r="F55" s="992"/>
      <c r="G55" s="998"/>
      <c r="H55" s="998"/>
      <c r="I55" s="1026"/>
      <c r="J55" s="1017"/>
      <c r="K55" s="1026"/>
      <c r="L55" s="1017"/>
      <c r="M55" s="1026"/>
      <c r="N55" s="992"/>
      <c r="O55" s="998"/>
      <c r="P55" s="1026"/>
      <c r="Q55" s="1017"/>
      <c r="R55" s="1026"/>
      <c r="S55" s="1017"/>
      <c r="T55" s="1026"/>
      <c r="U55" s="992"/>
      <c r="V55" s="998"/>
      <c r="W55" s="1026"/>
      <c r="X55" s="1017"/>
      <c r="Y55" s="1026"/>
      <c r="Z55" s="1017"/>
      <c r="AA55" s="1026"/>
      <c r="AB55" s="1019"/>
      <c r="AC55" s="1030"/>
      <c r="AE55" s="992"/>
      <c r="AF55" s="992"/>
      <c r="AH55" s="992"/>
      <c r="AI55" s="992"/>
      <c r="AJ55" s="992"/>
      <c r="AK55" s="992"/>
      <c r="AL55" s="992"/>
      <c r="AM55" s="1017"/>
      <c r="AN55" s="992"/>
      <c r="AP55" s="1074">
        <f>+SUM(AP10:AP53)-AC56</f>
        <v>0</v>
      </c>
    </row>
    <row r="56" spans="2:42" ht="13.5" thickBot="1">
      <c r="B56" s="992">
        <f t="shared" ca="1" si="6"/>
        <v>44</v>
      </c>
      <c r="F56" s="991" t="s">
        <v>1187</v>
      </c>
      <c r="G56" s="998"/>
      <c r="I56" s="1027">
        <f>+SUM(I$37:I$55)</f>
        <v>302556.71177595278</v>
      </c>
      <c r="J56" s="1017"/>
      <c r="K56" s="1027">
        <f>+SUM(K$37:K$55)</f>
        <v>5097962.4331834577</v>
      </c>
      <c r="L56" s="1017"/>
      <c r="M56" s="1027">
        <f>+($K56*$AJ$12-$I56)/$AH$4</f>
        <v>120656.4697894407</v>
      </c>
      <c r="P56" s="1027">
        <f>+SUM(P$37:P$55)</f>
        <v>342080.61526447785</v>
      </c>
      <c r="Q56" s="1017"/>
      <c r="R56" s="1027">
        <f>+SUM(R$37:R$55)</f>
        <v>4860663.4620472426</v>
      </c>
      <c r="S56" s="1017"/>
      <c r="T56" s="1027">
        <f>+($R56*$AJ$12-$P56)/$AH$4</f>
        <v>28444.313840084418</v>
      </c>
      <c r="V56" s="997"/>
      <c r="W56" s="1027">
        <f>+SUM(W$37:W$55)</f>
        <v>64625.51000080831</v>
      </c>
      <c r="X56" s="1019"/>
      <c r="Y56" s="1027">
        <f>+SUM(Y$37:Y$55)</f>
        <v>39523.903488525139</v>
      </c>
      <c r="Z56" s="1017"/>
      <c r="AA56" s="1027">
        <f>+SUM(AA$37:AA$55)</f>
        <v>-237298.9711362152</v>
      </c>
      <c r="AB56" s="1017"/>
      <c r="AC56" s="1027">
        <f>+($AA56*$AJ$12-$Y56)/$AH$4</f>
        <v>-92212.155949356442</v>
      </c>
      <c r="AM56" s="1017"/>
    </row>
    <row r="57" spans="2:42" ht="13.5" thickTop="1">
      <c r="AM57" s="1017"/>
    </row>
    <row r="58" spans="2:42">
      <c r="M58" s="1073">
        <f>+M56-'[8]KJB-3 Def'!$C$25/1000-AJ18</f>
        <v>-1.2858867885370273E-3</v>
      </c>
      <c r="T58" s="1031">
        <f>+'BGM-3 (3) Param'!C25/1000-T56</f>
        <v>12.828602173663967</v>
      </c>
      <c r="W58" s="999" t="s">
        <v>1284</v>
      </c>
      <c r="AM58" s="1017"/>
    </row>
    <row r="60" spans="2:42">
      <c r="T60" s="1017">
        <v>28444.313840084418</v>
      </c>
    </row>
  </sheetData>
  <printOptions verticalCentered="1"/>
  <pageMargins left="0.25" right="0.25" top="0.75" bottom="0.75" header="0.3" footer="0.3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O145"/>
  <sheetViews>
    <sheetView topLeftCell="A3" zoomScale="85" zoomScaleNormal="85" workbookViewId="0">
      <pane xSplit="2" ySplit="6" topLeftCell="C9" activePane="bottomRight" state="frozen"/>
      <selection activeCell="E41" sqref="E41"/>
      <selection pane="topRight" activeCell="E41" sqref="E41"/>
      <selection pane="bottomLeft" activeCell="E41" sqref="E41"/>
      <selection pane="bottomRight" activeCell="C9" sqref="C9"/>
    </sheetView>
  </sheetViews>
  <sheetFormatPr defaultColWidth="10.6640625" defaultRowHeight="12.75"/>
  <cols>
    <col min="1" max="1" width="7.83203125" style="488" customWidth="1"/>
    <col min="2" max="2" width="44.5" style="488" customWidth="1"/>
    <col min="3" max="3" width="15.5" style="488" customWidth="1"/>
    <col min="4" max="4" width="20.5" style="488" customWidth="1"/>
    <col min="5" max="5" width="34.5" style="488" bestFit="1" customWidth="1"/>
    <col min="6" max="6" width="18" style="488" customWidth="1"/>
    <col min="7" max="7" width="16.1640625" style="488" customWidth="1"/>
    <col min="8" max="8" width="22" style="488" bestFit="1" customWidth="1"/>
    <col min="9" max="9" width="1.33203125" style="488" customWidth="1"/>
    <col min="10" max="10" width="20.1640625" style="488" bestFit="1" customWidth="1"/>
    <col min="11" max="11" width="20.83203125" style="488" customWidth="1"/>
    <col min="12" max="12" width="15.6640625" style="488" bestFit="1" customWidth="1"/>
    <col min="13" max="13" width="15" style="488" bestFit="1" customWidth="1"/>
    <col min="14" max="14" width="17.6640625" style="488" customWidth="1"/>
    <col min="15" max="15" width="16.5" style="488" bestFit="1" customWidth="1"/>
    <col min="16" max="16384" width="10.6640625" style="488"/>
  </cols>
  <sheetData>
    <row r="2" spans="1:15">
      <c r="A2" s="371"/>
    </row>
    <row r="3" spans="1:15">
      <c r="A3" s="170"/>
    </row>
    <row r="4" spans="1:15">
      <c r="A4" s="937" t="s">
        <v>242</v>
      </c>
      <c r="B4" s="937"/>
      <c r="C4" s="937"/>
      <c r="D4" s="937"/>
      <c r="E4" s="937"/>
      <c r="F4" s="937"/>
      <c r="G4" s="937"/>
      <c r="H4" s="937"/>
    </row>
    <row r="5" spans="1:15">
      <c r="A5" s="937" t="s">
        <v>1000</v>
      </c>
      <c r="B5" s="937"/>
      <c r="C5" s="937"/>
      <c r="D5" s="937"/>
      <c r="E5" s="937"/>
      <c r="F5" s="937"/>
      <c r="G5" s="937"/>
      <c r="H5" s="937"/>
    </row>
    <row r="6" spans="1:15">
      <c r="A6" s="937" t="s">
        <v>863</v>
      </c>
      <c r="B6" s="937"/>
      <c r="C6" s="937"/>
      <c r="D6" s="937"/>
      <c r="E6" s="937"/>
      <c r="F6" s="937"/>
      <c r="G6" s="937"/>
      <c r="H6" s="937"/>
    </row>
    <row r="7" spans="1:15">
      <c r="A7" s="937" t="s">
        <v>864</v>
      </c>
      <c r="B7" s="937"/>
      <c r="C7" s="937"/>
      <c r="D7" s="937"/>
      <c r="E7" s="937"/>
      <c r="F7" s="937"/>
      <c r="G7" s="937"/>
      <c r="H7" s="937"/>
    </row>
    <row r="8" spans="1:15">
      <c r="A8" s="938" t="s">
        <v>247</v>
      </c>
    </row>
    <row r="9" spans="1:15">
      <c r="A9" s="347"/>
    </row>
    <row r="10" spans="1:15">
      <c r="A10" s="347">
        <v>1</v>
      </c>
      <c r="B10" s="346" t="s">
        <v>754</v>
      </c>
      <c r="E10" s="400"/>
      <c r="F10" s="400"/>
      <c r="G10" s="400"/>
      <c r="O10" s="500"/>
    </row>
    <row r="11" spans="1:15">
      <c r="A11" s="347">
        <f>+A10+1</f>
        <v>2</v>
      </c>
      <c r="E11" s="400"/>
      <c r="F11" s="400"/>
      <c r="G11" s="400"/>
      <c r="O11" s="500"/>
    </row>
    <row r="12" spans="1:15" ht="36.75" customHeight="1">
      <c r="A12" s="347">
        <f t="shared" ref="A12:A81" si="0">+A11+1</f>
        <v>3</v>
      </c>
      <c r="B12" s="901" t="s">
        <v>738</v>
      </c>
      <c r="C12" s="901" t="s">
        <v>745</v>
      </c>
      <c r="D12" s="901" t="s">
        <v>739</v>
      </c>
      <c r="E12" s="901" t="s">
        <v>758</v>
      </c>
      <c r="F12" s="901" t="s">
        <v>331</v>
      </c>
      <c r="G12" s="901" t="s">
        <v>757</v>
      </c>
      <c r="H12" s="901" t="s">
        <v>752</v>
      </c>
      <c r="O12" s="500"/>
    </row>
    <row r="13" spans="1:15">
      <c r="A13" s="347">
        <f t="shared" si="0"/>
        <v>4</v>
      </c>
      <c r="B13" s="939" t="s">
        <v>740</v>
      </c>
      <c r="C13" s="939"/>
      <c r="D13" s="940" t="s">
        <v>692</v>
      </c>
      <c r="E13" s="941" t="s">
        <v>769</v>
      </c>
      <c r="F13" s="6" t="s">
        <v>382</v>
      </c>
      <c r="G13" s="902">
        <f>+'BGM-3 (4) Rstng Adj'!CC14</f>
        <v>146755.4545638822</v>
      </c>
      <c r="H13" s="571"/>
      <c r="O13" s="500"/>
    </row>
    <row r="14" spans="1:15">
      <c r="A14" s="347">
        <f t="shared" si="0"/>
        <v>5</v>
      </c>
      <c r="B14" s="942"/>
      <c r="C14" s="942"/>
      <c r="D14" s="943" t="s">
        <v>692</v>
      </c>
      <c r="E14" s="944" t="s">
        <v>766</v>
      </c>
      <c r="F14" s="4" t="s">
        <v>382</v>
      </c>
      <c r="G14" s="3">
        <f>+'BGM-3 (4) Rstng Adj'!CC15</f>
        <v>339480.84844003245</v>
      </c>
      <c r="H14" s="572">
        <f>SUM(F13:G14)</f>
        <v>486236.30300391465</v>
      </c>
      <c r="O14" s="500"/>
    </row>
    <row r="15" spans="1:15">
      <c r="A15" s="347">
        <f t="shared" si="0"/>
        <v>6</v>
      </c>
      <c r="B15" s="939" t="s">
        <v>741</v>
      </c>
      <c r="C15" s="939"/>
      <c r="D15" s="940" t="s">
        <v>692</v>
      </c>
      <c r="E15" s="941" t="s">
        <v>770</v>
      </c>
      <c r="F15" s="6" t="s">
        <v>382</v>
      </c>
      <c r="G15" s="902">
        <f>+'BGM-3 (4) Rstng Adj'!AW14</f>
        <v>-6666.8782031258452</v>
      </c>
      <c r="H15" s="571"/>
      <c r="O15" s="500"/>
    </row>
    <row r="16" spans="1:15">
      <c r="A16" s="347">
        <f t="shared" si="0"/>
        <v>7</v>
      </c>
      <c r="B16" s="942"/>
      <c r="C16" s="942"/>
      <c r="D16" s="943" t="s">
        <v>692</v>
      </c>
      <c r="E16" s="944" t="s">
        <v>767</v>
      </c>
      <c r="F16" s="4" t="s">
        <v>382</v>
      </c>
      <c r="G16" s="3">
        <f>+'BGM-3 (4) Rstng Adj'!AW15</f>
        <v>-55745.235281144734</v>
      </c>
      <c r="H16" s="572">
        <f>SUM(F15:G16)</f>
        <v>-62412.11348427058</v>
      </c>
      <c r="O16" s="500"/>
    </row>
    <row r="17" spans="1:15">
      <c r="A17" s="347">
        <f t="shared" si="0"/>
        <v>8</v>
      </c>
      <c r="B17" s="939" t="s">
        <v>742</v>
      </c>
      <c r="C17" s="939"/>
      <c r="D17" s="940" t="s">
        <v>693</v>
      </c>
      <c r="E17" s="941" t="s">
        <v>978</v>
      </c>
      <c r="F17" s="7">
        <f>-'Power Cost Bridge to A-1'!G18</f>
        <v>1364051.1099999999</v>
      </c>
      <c r="G17" s="2" t="s">
        <v>382</v>
      </c>
      <c r="H17" s="571"/>
      <c r="O17" s="500"/>
    </row>
    <row r="18" spans="1:15">
      <c r="A18" s="347">
        <f t="shared" si="0"/>
        <v>9</v>
      </c>
      <c r="B18" s="945"/>
      <c r="C18" s="945"/>
      <c r="D18" s="946" t="s">
        <v>693</v>
      </c>
      <c r="E18" s="947" t="s">
        <v>979</v>
      </c>
      <c r="F18" s="573">
        <f>-'Power Cost Bridge to A-1'!G25</f>
        <v>6304989.3199999994</v>
      </c>
      <c r="G18" s="1" t="s">
        <v>382</v>
      </c>
      <c r="H18" s="573"/>
      <c r="O18" s="500"/>
    </row>
    <row r="19" spans="1:15">
      <c r="A19" s="347">
        <f t="shared" si="0"/>
        <v>10</v>
      </c>
      <c r="B19" s="945"/>
      <c r="C19" s="948">
        <f>+'[49]SAP DL Downld'!$H$35</f>
        <v>0.24872690840850872</v>
      </c>
      <c r="D19" s="946" t="s">
        <v>693</v>
      </c>
      <c r="E19" s="945" t="s">
        <v>746</v>
      </c>
      <c r="F19" s="5" t="s">
        <v>382</v>
      </c>
      <c r="G19" s="435">
        <f>+'BGM-3 (4) Rstng Adj'!BX13*C19</f>
        <v>-355701.4408214438</v>
      </c>
      <c r="H19" s="573"/>
      <c r="O19" s="500"/>
    </row>
    <row r="20" spans="1:15">
      <c r="A20" s="347">
        <f t="shared" si="0"/>
        <v>11</v>
      </c>
      <c r="B20" s="945"/>
      <c r="C20" s="948">
        <f>+'[49]SAP DL Downld'!$H$35</f>
        <v>0.24872690840850872</v>
      </c>
      <c r="D20" s="946" t="s">
        <v>693</v>
      </c>
      <c r="E20" s="945" t="s">
        <v>980</v>
      </c>
      <c r="F20" s="5" t="s">
        <v>382</v>
      </c>
      <c r="G20" s="1">
        <f>+'BGM-3 (4) Rstng Adj'!CH32*C20</f>
        <v>40768.733614889621</v>
      </c>
      <c r="H20" s="573"/>
      <c r="O20" s="500"/>
    </row>
    <row r="21" spans="1:15">
      <c r="A21" s="347">
        <f t="shared" si="0"/>
        <v>12</v>
      </c>
      <c r="B21" s="973"/>
      <c r="C21" s="948">
        <f>+'[49]SAP DL Downld'!$H$35</f>
        <v>0.24872690840850872</v>
      </c>
      <c r="D21" s="946" t="s">
        <v>693</v>
      </c>
      <c r="E21" s="942" t="s">
        <v>747</v>
      </c>
      <c r="F21" s="4" t="s">
        <v>382</v>
      </c>
      <c r="G21" s="1">
        <f>+'BGM-3 (4) Rstng Adj'!CM20*C21</f>
        <v>46588.770885663798</v>
      </c>
      <c r="H21" s="572">
        <f>SUM(F17:G21)</f>
        <v>7400696.49367911</v>
      </c>
      <c r="O21" s="500"/>
    </row>
    <row r="22" spans="1:15">
      <c r="A22" s="347">
        <f t="shared" si="0"/>
        <v>13</v>
      </c>
      <c r="B22" s="939" t="s">
        <v>743</v>
      </c>
      <c r="C22" s="939"/>
      <c r="D22" s="940" t="s">
        <v>693</v>
      </c>
      <c r="E22" s="941" t="s">
        <v>771</v>
      </c>
      <c r="F22" s="7">
        <f>-'Power Cost Bridge to A-1'!H18</f>
        <v>368615.64</v>
      </c>
      <c r="G22" s="2" t="s">
        <v>382</v>
      </c>
      <c r="H22" s="571"/>
      <c r="O22" s="500"/>
    </row>
    <row r="23" spans="1:15">
      <c r="A23" s="347">
        <f t="shared" si="0"/>
        <v>14</v>
      </c>
      <c r="B23" s="974"/>
      <c r="C23" s="945"/>
      <c r="D23" s="946" t="s">
        <v>693</v>
      </c>
      <c r="E23" s="947" t="s">
        <v>744</v>
      </c>
      <c r="F23" s="573">
        <f>-'Power Cost Bridge to A-1'!H25</f>
        <v>1707720.6600000001</v>
      </c>
      <c r="G23" s="1" t="s">
        <v>382</v>
      </c>
      <c r="H23" s="573"/>
      <c r="O23" s="500"/>
    </row>
    <row r="24" spans="1:15">
      <c r="A24" s="347">
        <f t="shared" si="0"/>
        <v>15</v>
      </c>
      <c r="B24" s="974"/>
      <c r="C24" s="948">
        <f>+'[49]SAP DL Downld'!$H$35</f>
        <v>0.24872690840850872</v>
      </c>
      <c r="D24" s="946" t="s">
        <v>693</v>
      </c>
      <c r="E24" s="947" t="s">
        <v>748</v>
      </c>
      <c r="F24" s="5" t="s">
        <v>382</v>
      </c>
      <c r="G24" s="435">
        <f>+'BGM-3 (4) Rstng Adj'!CC24*C24</f>
        <v>34999.681762949505</v>
      </c>
      <c r="H24" s="573"/>
      <c r="O24" s="500"/>
    </row>
    <row r="25" spans="1:15">
      <c r="A25" s="347">
        <f t="shared" si="0"/>
        <v>16</v>
      </c>
      <c r="B25" s="973"/>
      <c r="C25" s="948">
        <f>+'[49]SAP DL Downld'!$H$35</f>
        <v>0.24872690840850872</v>
      </c>
      <c r="D25" s="946" t="s">
        <v>693</v>
      </c>
      <c r="E25" s="944" t="s">
        <v>749</v>
      </c>
      <c r="F25" s="4" t="s">
        <v>382</v>
      </c>
      <c r="G25" s="3">
        <f>+'BGM-3 (4) Rstng Adj'!AW24</f>
        <v>-14322.105364270566</v>
      </c>
      <c r="H25" s="572">
        <f>SUM(F22:G25)</f>
        <v>2097013.8763986793</v>
      </c>
      <c r="O25" s="500"/>
    </row>
    <row r="26" spans="1:15">
      <c r="A26" s="347">
        <f t="shared" si="0"/>
        <v>17</v>
      </c>
      <c r="B26" s="949" t="s">
        <v>750</v>
      </c>
      <c r="C26" s="950">
        <f>+'[49]SAP DL Downld'!$H$35</f>
        <v>0.24872690840850872</v>
      </c>
      <c r="D26" s="949"/>
      <c r="E26" s="949" t="s">
        <v>751</v>
      </c>
      <c r="F26" s="951">
        <f>+D102*C26</f>
        <v>214071.82388560369</v>
      </c>
      <c r="G26" s="952" t="s">
        <v>382</v>
      </c>
      <c r="H26" s="574">
        <f>SUM(F26:G26)</f>
        <v>214071.82388560369</v>
      </c>
      <c r="O26" s="500"/>
    </row>
    <row r="27" spans="1:15">
      <c r="A27" s="347">
        <f t="shared" si="0"/>
        <v>18</v>
      </c>
      <c r="B27" s="949" t="s">
        <v>496</v>
      </c>
      <c r="C27" s="949"/>
      <c r="D27" s="949"/>
      <c r="E27" s="949" t="s">
        <v>755</v>
      </c>
      <c r="F27" s="952" t="s">
        <v>382</v>
      </c>
      <c r="G27" s="952" t="s">
        <v>382</v>
      </c>
      <c r="H27" s="574">
        <f>'[23]Prop Ins - RY'!$D$40</f>
        <v>2763777.09</v>
      </c>
      <c r="O27" s="500"/>
    </row>
    <row r="28" spans="1:15">
      <c r="A28" s="347">
        <f t="shared" si="0"/>
        <v>19</v>
      </c>
      <c r="B28" s="319"/>
      <c r="C28" s="319"/>
      <c r="D28" s="319"/>
      <c r="E28" s="319"/>
      <c r="F28" s="319"/>
      <c r="G28" s="319"/>
      <c r="N28" s="632"/>
      <c r="O28" s="500"/>
    </row>
    <row r="29" spans="1:15">
      <c r="A29" s="347">
        <f t="shared" si="0"/>
        <v>20</v>
      </c>
      <c r="B29" s="319"/>
      <c r="C29" s="319"/>
      <c r="D29" s="319"/>
      <c r="E29" s="319"/>
      <c r="F29" s="319"/>
      <c r="G29" s="319"/>
      <c r="N29" s="632"/>
      <c r="O29" s="500"/>
    </row>
    <row r="30" spans="1:15">
      <c r="A30" s="347">
        <f t="shared" si="0"/>
        <v>21</v>
      </c>
      <c r="B30" s="346" t="s">
        <v>753</v>
      </c>
      <c r="C30" s="319"/>
      <c r="D30" s="319"/>
      <c r="E30" s="319"/>
      <c r="F30" s="319"/>
      <c r="G30" s="319"/>
      <c r="H30" s="319"/>
      <c r="I30" s="319"/>
      <c r="J30" s="319"/>
      <c r="K30" s="400"/>
      <c r="L30" s="632"/>
      <c r="M30" s="632"/>
      <c r="N30" s="632"/>
      <c r="O30" s="500"/>
    </row>
    <row r="31" spans="1:15">
      <c r="A31" s="347">
        <f t="shared" si="0"/>
        <v>22</v>
      </c>
      <c r="D31" s="953"/>
      <c r="E31" s="953"/>
      <c r="F31" s="347" t="s">
        <v>661</v>
      </c>
      <c r="G31" s="953"/>
      <c r="H31" s="319"/>
      <c r="I31" s="319"/>
      <c r="J31" s="319"/>
      <c r="K31" s="633"/>
      <c r="L31" s="632"/>
      <c r="M31" s="632"/>
      <c r="N31" s="632"/>
      <c r="O31" s="500"/>
    </row>
    <row r="32" spans="1:15">
      <c r="A32" s="347">
        <f t="shared" si="0"/>
        <v>23</v>
      </c>
      <c r="B32" s="347"/>
      <c r="C32" s="347" t="s">
        <v>243</v>
      </c>
      <c r="D32" s="347" t="s">
        <v>244</v>
      </c>
      <c r="E32" s="347" t="s">
        <v>245</v>
      </c>
      <c r="F32" s="347" t="s">
        <v>245</v>
      </c>
      <c r="G32" s="347" t="s">
        <v>246</v>
      </c>
      <c r="H32" s="319"/>
      <c r="I32" s="319"/>
      <c r="J32" s="319"/>
      <c r="K32" s="633"/>
      <c r="L32" s="632"/>
      <c r="M32" s="632"/>
      <c r="N32" s="632"/>
      <c r="O32" s="500"/>
    </row>
    <row r="33" spans="1:15">
      <c r="A33" s="347">
        <f t="shared" si="0"/>
        <v>24</v>
      </c>
      <c r="B33" s="938" t="s">
        <v>375</v>
      </c>
      <c r="C33" s="938" t="s">
        <v>248</v>
      </c>
      <c r="D33" s="938" t="s">
        <v>249</v>
      </c>
      <c r="E33" s="938" t="s">
        <v>677</v>
      </c>
      <c r="F33" s="938" t="s">
        <v>662</v>
      </c>
      <c r="G33" s="938" t="s">
        <v>250</v>
      </c>
      <c r="H33" s="319"/>
      <c r="I33" s="319"/>
      <c r="J33" s="319"/>
      <c r="K33" s="633"/>
      <c r="L33" s="632"/>
      <c r="M33" s="632"/>
      <c r="N33" s="632"/>
      <c r="O33" s="500"/>
    </row>
    <row r="34" spans="1:15">
      <c r="A34" s="347">
        <f t="shared" si="0"/>
        <v>25</v>
      </c>
      <c r="D34" s="500"/>
      <c r="F34" s="500"/>
      <c r="J34" s="400"/>
      <c r="K34" s="633"/>
      <c r="L34" s="632"/>
      <c r="M34" s="632"/>
      <c r="N34" s="632"/>
      <c r="O34" s="500"/>
    </row>
    <row r="35" spans="1:15">
      <c r="A35" s="347">
        <f t="shared" si="0"/>
        <v>26</v>
      </c>
      <c r="J35" s="400"/>
      <c r="K35" s="633"/>
      <c r="L35" s="632"/>
      <c r="M35" s="632"/>
      <c r="N35" s="632"/>
      <c r="O35" s="500"/>
    </row>
    <row r="36" spans="1:15">
      <c r="A36" s="347">
        <f t="shared" si="0"/>
        <v>27</v>
      </c>
      <c r="B36" s="488" t="s">
        <v>46</v>
      </c>
      <c r="G36" s="954">
        <f>+G37/F37</f>
        <v>0.39355144740518899</v>
      </c>
      <c r="H36" s="488" t="s">
        <v>783</v>
      </c>
      <c r="J36" s="400"/>
      <c r="K36" s="633"/>
      <c r="L36" s="400"/>
      <c r="M36" s="400"/>
      <c r="O36" s="500"/>
    </row>
    <row r="37" spans="1:15">
      <c r="A37" s="347">
        <f t="shared" si="0"/>
        <v>28</v>
      </c>
      <c r="B37" s="390" t="s">
        <v>164</v>
      </c>
      <c r="F37" s="500">
        <f>+'[50]Prod RB TY Lead'!$B$27</f>
        <v>107924068.66</v>
      </c>
      <c r="G37" s="500">
        <f>(F37-D135)*0.35</f>
        <v>42473673.430999994</v>
      </c>
      <c r="H37" s="418" t="s">
        <v>694</v>
      </c>
      <c r="I37" s="319"/>
      <c r="J37" s="319"/>
      <c r="K37" s="319"/>
      <c r="L37" s="400"/>
      <c r="M37" s="400"/>
      <c r="O37" s="500"/>
    </row>
    <row r="38" spans="1:15">
      <c r="A38" s="347">
        <f t="shared" si="0"/>
        <v>29</v>
      </c>
      <c r="B38" s="390" t="s">
        <v>961</v>
      </c>
      <c r="F38" s="632">
        <f>'[9]RB&amp;ISbyFERC'!$J$482</f>
        <v>41908007.964113213</v>
      </c>
      <c r="G38" s="632">
        <f>+F38*0.35</f>
        <v>14667802.787439624</v>
      </c>
      <c r="I38" s="955"/>
      <c r="J38" s="400"/>
      <c r="K38" s="400"/>
      <c r="L38" s="400"/>
      <c r="M38" s="400"/>
      <c r="O38" s="500"/>
    </row>
    <row r="39" spans="1:15">
      <c r="A39" s="347">
        <f t="shared" si="0"/>
        <v>30</v>
      </c>
      <c r="B39" s="390" t="s">
        <v>799</v>
      </c>
      <c r="F39" s="632">
        <f>+'BGM-3 (5) PF Adj.'!AS34</f>
        <v>-3317.0689883994637</v>
      </c>
      <c r="G39" s="632">
        <f t="shared" ref="G39:G44" si="1">F39*0.35</f>
        <v>-1160.9741459398122</v>
      </c>
      <c r="J39" s="400"/>
      <c r="K39" s="400"/>
      <c r="L39" s="400"/>
      <c r="M39" s="400"/>
      <c r="O39" s="500"/>
    </row>
    <row r="40" spans="1:15">
      <c r="A40" s="347">
        <f t="shared" si="0"/>
        <v>31</v>
      </c>
      <c r="B40" s="390" t="s">
        <v>802</v>
      </c>
      <c r="F40" s="632">
        <v>0</v>
      </c>
      <c r="G40" s="632">
        <f t="shared" si="1"/>
        <v>0</v>
      </c>
      <c r="K40" s="400"/>
      <c r="L40" s="400"/>
      <c r="M40" s="400"/>
      <c r="O40" s="500"/>
    </row>
    <row r="41" spans="1:15">
      <c r="A41" s="347">
        <f t="shared" si="0"/>
        <v>32</v>
      </c>
      <c r="B41" s="390" t="s">
        <v>820</v>
      </c>
      <c r="F41" s="632">
        <f>'BGM-3 (5) PF Adj.'!O25</f>
        <v>-212138.37865459672</v>
      </c>
      <c r="G41" s="632">
        <f t="shared" si="1"/>
        <v>-74248.432529108846</v>
      </c>
      <c r="H41" s="633"/>
      <c r="K41" s="400"/>
      <c r="L41" s="400"/>
      <c r="M41" s="400"/>
      <c r="O41" s="500"/>
    </row>
    <row r="42" spans="1:15">
      <c r="A42" s="347">
        <f t="shared" si="0"/>
        <v>33</v>
      </c>
      <c r="B42" s="390" t="s">
        <v>947</v>
      </c>
      <c r="D42" s="632"/>
      <c r="E42" s="401"/>
      <c r="F42" s="632">
        <f>'[40]RB&amp;ISbyFERC'!$E$25</f>
        <v>148726.01447229058</v>
      </c>
      <c r="G42" s="632">
        <f t="shared" si="1"/>
        <v>52054.105065301701</v>
      </c>
      <c r="J42" s="400"/>
      <c r="K42" s="400"/>
      <c r="L42" s="400"/>
      <c r="M42" s="400"/>
      <c r="O42" s="500"/>
    </row>
    <row r="43" spans="1:15">
      <c r="A43" s="347">
        <f t="shared" si="0"/>
        <v>34</v>
      </c>
      <c r="B43" s="390"/>
      <c r="D43" s="632"/>
      <c r="E43" s="954"/>
      <c r="F43" s="632"/>
      <c r="G43" s="632">
        <f t="shared" si="1"/>
        <v>0</v>
      </c>
      <c r="J43" s="400"/>
      <c r="K43" s="400"/>
      <c r="L43" s="400"/>
      <c r="M43" s="400"/>
      <c r="O43" s="500"/>
    </row>
    <row r="44" spans="1:15">
      <c r="A44" s="347">
        <f t="shared" si="0"/>
        <v>35</v>
      </c>
      <c r="B44" s="390"/>
      <c r="D44" s="632"/>
      <c r="E44" s="954"/>
      <c r="F44" s="632"/>
      <c r="G44" s="632">
        <f t="shared" si="1"/>
        <v>0</v>
      </c>
      <c r="J44" s="400"/>
      <c r="K44" s="400"/>
      <c r="L44" s="400"/>
      <c r="M44" s="400"/>
      <c r="O44" s="500"/>
    </row>
    <row r="45" spans="1:15">
      <c r="A45" s="347">
        <f t="shared" si="0"/>
        <v>36</v>
      </c>
      <c r="B45" s="499" t="s">
        <v>251</v>
      </c>
      <c r="F45" s="230">
        <f>SUM(F37:F44)</f>
        <v>149765347.19094247</v>
      </c>
      <c r="G45" s="230">
        <f>SUM(G37:G44)</f>
        <v>57118120.916829869</v>
      </c>
      <c r="J45" s="400"/>
      <c r="K45" s="400"/>
      <c r="L45" s="400"/>
      <c r="M45" s="400"/>
      <c r="O45" s="500"/>
    </row>
    <row r="46" spans="1:15">
      <c r="A46" s="347">
        <f t="shared" si="0"/>
        <v>37</v>
      </c>
      <c r="B46" s="488" t="s">
        <v>47</v>
      </c>
      <c r="F46" s="500"/>
      <c r="G46" s="500"/>
      <c r="J46" s="400"/>
      <c r="K46" s="400"/>
      <c r="L46" s="400"/>
      <c r="M46" s="400"/>
      <c r="O46" s="500"/>
    </row>
    <row r="47" spans="1:15">
      <c r="A47" s="347">
        <f t="shared" si="0"/>
        <v>38</v>
      </c>
      <c r="B47" s="390" t="s">
        <v>252</v>
      </c>
      <c r="F47" s="500"/>
      <c r="G47" s="500"/>
      <c r="J47" s="400"/>
      <c r="K47" s="400"/>
      <c r="L47" s="400"/>
      <c r="M47" s="400"/>
      <c r="O47" s="500"/>
    </row>
    <row r="48" spans="1:15">
      <c r="A48" s="347">
        <f t="shared" si="0"/>
        <v>39</v>
      </c>
      <c r="B48" s="533" t="s">
        <v>253</v>
      </c>
      <c r="F48" s="500">
        <f>+'[50]Prod RB TY Lead'!B35</f>
        <v>1217708.92</v>
      </c>
      <c r="G48" s="632">
        <f>+F48*0.35</f>
        <v>426198.12199999997</v>
      </c>
      <c r="J48" s="400"/>
      <c r="K48" s="400"/>
      <c r="L48" s="400"/>
      <c r="M48" s="400"/>
      <c r="O48" s="500"/>
    </row>
    <row r="49" spans="1:15">
      <c r="A49" s="347">
        <f t="shared" si="0"/>
        <v>40</v>
      </c>
      <c r="B49" s="533" t="s">
        <v>709</v>
      </c>
      <c r="D49" s="401">
        <v>1.4800000000000001E-2</v>
      </c>
      <c r="E49" s="366"/>
      <c r="F49" s="632">
        <f>+'[50]Prod RB TY Lead'!B36</f>
        <v>354668.75999999978</v>
      </c>
      <c r="G49" s="632">
        <f>-F49*D49*0.35</f>
        <v>-1837.1841767999988</v>
      </c>
      <c r="H49" s="418" t="s">
        <v>756</v>
      </c>
      <c r="J49" s="400"/>
      <c r="K49" s="400"/>
      <c r="L49" s="400"/>
      <c r="M49" s="400"/>
      <c r="O49" s="500"/>
    </row>
    <row r="50" spans="1:15">
      <c r="A50" s="347">
        <f t="shared" si="0"/>
        <v>41</v>
      </c>
      <c r="B50" s="533" t="s">
        <v>41</v>
      </c>
      <c r="E50" s="366"/>
      <c r="F50" s="632">
        <f>+'[50]Prod RB TY Lead'!B37</f>
        <v>104311.20599999999</v>
      </c>
      <c r="G50" s="632">
        <f>+F50*0.35</f>
        <v>36508.922099999996</v>
      </c>
      <c r="J50" s="400"/>
      <c r="K50" s="400"/>
      <c r="L50" s="400"/>
      <c r="M50" s="400"/>
      <c r="O50" s="500"/>
    </row>
    <row r="51" spans="1:15">
      <c r="A51" s="347">
        <f t="shared" si="0"/>
        <v>42</v>
      </c>
      <c r="B51" s="533" t="s">
        <v>546</v>
      </c>
      <c r="E51" s="366"/>
      <c r="F51" s="632">
        <f>+'[50]Prod RB TY Lead'!B38</f>
        <v>2652900</v>
      </c>
      <c r="G51" s="632">
        <f>+F51*0.35</f>
        <v>928514.99999999988</v>
      </c>
      <c r="J51" s="400"/>
      <c r="K51" s="400"/>
      <c r="L51" s="400"/>
      <c r="M51" s="400"/>
      <c r="O51" s="500"/>
    </row>
    <row r="52" spans="1:15">
      <c r="A52" s="347">
        <f t="shared" si="0"/>
        <v>43</v>
      </c>
      <c r="B52" s="533" t="s">
        <v>547</v>
      </c>
      <c r="E52" s="366"/>
      <c r="F52" s="632">
        <f>+'[50]Prod RB TY Lead'!B39</f>
        <v>1727259.93</v>
      </c>
      <c r="G52" s="632">
        <f>+F52*0.35</f>
        <v>604540.97549999994</v>
      </c>
      <c r="J52" s="400"/>
      <c r="K52" s="400"/>
      <c r="L52" s="400"/>
      <c r="M52" s="400"/>
      <c r="O52" s="500"/>
    </row>
    <row r="53" spans="1:15">
      <c r="A53" s="347">
        <f t="shared" si="0"/>
        <v>44</v>
      </c>
      <c r="B53" s="533" t="s">
        <v>548</v>
      </c>
      <c r="E53" s="366"/>
      <c r="F53" s="632">
        <f>+'[50]Prod RB TY Lead'!B40</f>
        <v>4616499.3600000013</v>
      </c>
      <c r="G53" s="632">
        <f>+F53*0.35</f>
        <v>1615774.7760000003</v>
      </c>
      <c r="J53" s="400"/>
      <c r="K53" s="400"/>
      <c r="L53" s="400"/>
      <c r="M53" s="400"/>
      <c r="O53" s="500"/>
    </row>
    <row r="54" spans="1:15">
      <c r="A54" s="347">
        <f t="shared" si="0"/>
        <v>45</v>
      </c>
      <c r="B54" s="533" t="s">
        <v>549</v>
      </c>
      <c r="E54" s="366"/>
      <c r="F54" s="632">
        <f>+'[50]Prod RB TY Lead'!B41</f>
        <v>1144993.8</v>
      </c>
      <c r="G54" s="632">
        <f>+F54*0.35</f>
        <v>400747.83</v>
      </c>
      <c r="J54" s="400"/>
      <c r="K54" s="400"/>
      <c r="L54" s="400"/>
      <c r="M54" s="400"/>
      <c r="O54" s="500"/>
    </row>
    <row r="55" spans="1:15">
      <c r="A55" s="347">
        <f>+A54+1</f>
        <v>46</v>
      </c>
      <c r="B55" s="499" t="s">
        <v>71</v>
      </c>
      <c r="F55" s="230">
        <f>SUM(F48:F54)</f>
        <v>11818341.976000002</v>
      </c>
      <c r="G55" s="230">
        <f>SUM(G48:G54)</f>
        <v>4010448.4414232001</v>
      </c>
      <c r="J55" s="400"/>
      <c r="K55" s="400"/>
      <c r="L55" s="400"/>
      <c r="M55" s="400"/>
      <c r="O55" s="500"/>
    </row>
    <row r="56" spans="1:15">
      <c r="A56" s="347">
        <f t="shared" si="0"/>
        <v>47</v>
      </c>
      <c r="B56" s="488" t="s">
        <v>42</v>
      </c>
      <c r="F56" s="527">
        <f>F45+F55</f>
        <v>161583689.16694248</v>
      </c>
      <c r="G56" s="527">
        <f>G45+G55</f>
        <v>61128569.358253069</v>
      </c>
      <c r="J56" s="400"/>
      <c r="K56" s="400"/>
      <c r="L56" s="400"/>
      <c r="M56" s="400"/>
      <c r="O56" s="500"/>
    </row>
    <row r="57" spans="1:15">
      <c r="A57" s="347">
        <f t="shared" si="0"/>
        <v>48</v>
      </c>
      <c r="J57" s="400"/>
      <c r="K57" s="400"/>
      <c r="L57" s="400"/>
      <c r="M57" s="400"/>
      <c r="O57" s="500"/>
    </row>
    <row r="58" spans="1:15">
      <c r="A58" s="347">
        <f t="shared" si="0"/>
        <v>49</v>
      </c>
      <c r="B58" s="488" t="s">
        <v>43</v>
      </c>
      <c r="G58" s="501">
        <f>+'BGM-3 (5) PF Adj.'!BL13</f>
        <v>2.5347000000000001E-2</v>
      </c>
      <c r="J58" s="400"/>
      <c r="K58" s="400"/>
      <c r="L58" s="400"/>
      <c r="M58" s="400"/>
      <c r="O58" s="500"/>
    </row>
    <row r="59" spans="1:15">
      <c r="A59" s="347">
        <f t="shared" si="0"/>
        <v>50</v>
      </c>
      <c r="J59" s="400"/>
    </row>
    <row r="60" spans="1:15" ht="13.5" thickBot="1">
      <c r="A60" s="347">
        <f t="shared" si="0"/>
        <v>51</v>
      </c>
      <c r="B60" s="488" t="s">
        <v>48</v>
      </c>
      <c r="G60" s="231">
        <f>+G45*G58</f>
        <v>1447773.0108788868</v>
      </c>
      <c r="J60" s="400"/>
    </row>
    <row r="61" spans="1:15" ht="14.25" thickTop="1" thickBot="1">
      <c r="A61" s="347">
        <f t="shared" si="0"/>
        <v>52</v>
      </c>
      <c r="B61" s="488" t="s">
        <v>49</v>
      </c>
      <c r="G61" s="231">
        <f>G55*G58</f>
        <v>101652.83664475386</v>
      </c>
      <c r="J61" s="400"/>
    </row>
    <row r="62" spans="1:15" ht="13.5" thickTop="1">
      <c r="A62" s="347">
        <f t="shared" si="0"/>
        <v>53</v>
      </c>
      <c r="B62" s="499"/>
    </row>
    <row r="63" spans="1:15">
      <c r="A63" s="347">
        <f t="shared" si="0"/>
        <v>54</v>
      </c>
      <c r="B63" s="488" t="s">
        <v>691</v>
      </c>
    </row>
    <row r="64" spans="1:15">
      <c r="A64" s="347">
        <f t="shared" si="0"/>
        <v>55</v>
      </c>
      <c r="B64" s="488" t="s">
        <v>762</v>
      </c>
    </row>
    <row r="65" spans="1:8">
      <c r="A65" s="347">
        <f t="shared" si="0"/>
        <v>56</v>
      </c>
      <c r="B65" s="499" t="s">
        <v>760</v>
      </c>
    </row>
    <row r="66" spans="1:8">
      <c r="A66" s="347">
        <f t="shared" si="0"/>
        <v>57</v>
      </c>
      <c r="B66" s="499" t="s">
        <v>763</v>
      </c>
    </row>
    <row r="67" spans="1:8">
      <c r="A67" s="347">
        <f t="shared" si="0"/>
        <v>58</v>
      </c>
      <c r="B67" s="499" t="s">
        <v>759</v>
      </c>
    </row>
    <row r="68" spans="1:8">
      <c r="A68" s="347">
        <f>+A66+1</f>
        <v>58</v>
      </c>
      <c r="B68" s="499"/>
    </row>
    <row r="69" spans="1:8">
      <c r="A69" s="347">
        <f t="shared" si="0"/>
        <v>59</v>
      </c>
      <c r="B69" s="488" t="s">
        <v>764</v>
      </c>
    </row>
    <row r="70" spans="1:8">
      <c r="A70" s="347">
        <f t="shared" si="0"/>
        <v>60</v>
      </c>
      <c r="B70" s="499" t="s">
        <v>761</v>
      </c>
    </row>
    <row r="71" spans="1:8">
      <c r="A71" s="347">
        <f t="shared" si="0"/>
        <v>61</v>
      </c>
      <c r="B71" s="499" t="s">
        <v>765</v>
      </c>
    </row>
    <row r="72" spans="1:8">
      <c r="A72" s="347">
        <f t="shared" si="0"/>
        <v>62</v>
      </c>
      <c r="B72" s="499" t="s">
        <v>981</v>
      </c>
    </row>
    <row r="73" spans="1:8">
      <c r="A73" s="347">
        <f>+A72+1</f>
        <v>63</v>
      </c>
    </row>
    <row r="74" spans="1:8">
      <c r="A74" s="347">
        <f t="shared" si="0"/>
        <v>64</v>
      </c>
      <c r="B74" s="418" t="s">
        <v>779</v>
      </c>
      <c r="H74" s="418"/>
    </row>
    <row r="75" spans="1:8">
      <c r="A75" s="347">
        <f t="shared" si="0"/>
        <v>65</v>
      </c>
      <c r="B75" s="499" t="s">
        <v>780</v>
      </c>
      <c r="H75" s="499"/>
    </row>
    <row r="76" spans="1:8">
      <c r="A76" s="347">
        <f t="shared" si="0"/>
        <v>66</v>
      </c>
      <c r="B76" s="499" t="s">
        <v>781</v>
      </c>
      <c r="H76" s="499"/>
    </row>
    <row r="77" spans="1:8">
      <c r="A77" s="347">
        <f t="shared" si="0"/>
        <v>67</v>
      </c>
      <c r="B77" s="499" t="s">
        <v>782</v>
      </c>
      <c r="H77" s="499"/>
    </row>
    <row r="78" spans="1:8">
      <c r="A78" s="347">
        <f t="shared" si="0"/>
        <v>68</v>
      </c>
      <c r="B78" s="499" t="s">
        <v>865</v>
      </c>
      <c r="H78" s="499"/>
    </row>
    <row r="79" spans="1:8">
      <c r="A79" s="347">
        <f t="shared" si="0"/>
        <v>69</v>
      </c>
      <c r="B79" s="488" t="s">
        <v>974</v>
      </c>
    </row>
    <row r="80" spans="1:8">
      <c r="A80" s="347">
        <f t="shared" si="0"/>
        <v>70</v>
      </c>
    </row>
    <row r="81" spans="1:4">
      <c r="A81" s="347">
        <f t="shared" si="0"/>
        <v>71</v>
      </c>
      <c r="B81" s="488" t="str">
        <f>"(4)  Line "&amp;A49&amp;" is calculated as follows:  -("&amp;DOLLAR(F49,0)&amp;" * "&amp;D49*100&amp;"% * 35%) = ("&amp;DOLLAR(-G49,0)&amp;")"</f>
        <v>(4)  Line 40 is calculated as follows:  -($354,669 * 1.48% * 35%) = ($1,837)</v>
      </c>
    </row>
    <row r="82" spans="1:4">
      <c r="A82" s="347">
        <f t="shared" ref="A82:A145" si="2">+A81+1</f>
        <v>72</v>
      </c>
    </row>
    <row r="83" spans="1:4">
      <c r="A83" s="347">
        <f t="shared" si="2"/>
        <v>73</v>
      </c>
      <c r="B83" s="975" t="s">
        <v>821</v>
      </c>
    </row>
    <row r="84" spans="1:4" ht="13.5" thickBot="1">
      <c r="A84" s="347">
        <f t="shared" si="2"/>
        <v>74</v>
      </c>
      <c r="B84" s="346"/>
    </row>
    <row r="85" spans="1:4">
      <c r="A85" s="347">
        <f t="shared" si="2"/>
        <v>75</v>
      </c>
      <c r="B85" s="956"/>
      <c r="C85" s="957"/>
      <c r="D85" s="958"/>
    </row>
    <row r="86" spans="1:4">
      <c r="A86" s="347">
        <f t="shared" si="2"/>
        <v>76</v>
      </c>
      <c r="B86" s="959"/>
      <c r="C86" s="960" t="s">
        <v>617</v>
      </c>
      <c r="D86" s="961" t="s">
        <v>860</v>
      </c>
    </row>
    <row r="87" spans="1:4">
      <c r="A87" s="347">
        <f t="shared" si="2"/>
        <v>77</v>
      </c>
      <c r="B87" s="959"/>
      <c r="C87" s="960"/>
      <c r="D87" s="962"/>
    </row>
    <row r="88" spans="1:4">
      <c r="A88" s="347">
        <f t="shared" si="2"/>
        <v>78</v>
      </c>
      <c r="B88" s="963" t="s">
        <v>618</v>
      </c>
      <c r="C88" s="964"/>
      <c r="D88" s="965" t="s">
        <v>619</v>
      </c>
    </row>
    <row r="89" spans="1:4">
      <c r="A89" s="347">
        <f t="shared" si="2"/>
        <v>79</v>
      </c>
      <c r="B89" s="963" t="s">
        <v>620</v>
      </c>
      <c r="C89" s="964"/>
      <c r="D89" s="966">
        <v>253987.67</v>
      </c>
    </row>
    <row r="90" spans="1:4">
      <c r="A90" s="347">
        <f t="shared" si="2"/>
        <v>80</v>
      </c>
      <c r="B90" s="963" t="s">
        <v>621</v>
      </c>
      <c r="C90" s="964"/>
      <c r="D90" s="966">
        <v>840535.46</v>
      </c>
    </row>
    <row r="91" spans="1:4">
      <c r="A91" s="347">
        <f t="shared" si="2"/>
        <v>81</v>
      </c>
      <c r="B91" s="963" t="s">
        <v>622</v>
      </c>
      <c r="C91" s="964"/>
      <c r="D91" s="966">
        <v>1066305.52</v>
      </c>
    </row>
    <row r="92" spans="1:4">
      <c r="A92" s="347">
        <f t="shared" si="2"/>
        <v>82</v>
      </c>
      <c r="B92" s="963" t="s">
        <v>623</v>
      </c>
      <c r="C92" s="964"/>
      <c r="D92" s="966">
        <v>-884627.37</v>
      </c>
    </row>
    <row r="93" spans="1:4">
      <c r="A93" s="347">
        <f t="shared" si="2"/>
        <v>83</v>
      </c>
      <c r="B93" s="963" t="s">
        <v>624</v>
      </c>
      <c r="C93" s="964"/>
      <c r="D93" s="966">
        <f>SUM(D89:D92)</f>
        <v>1276201.2799999998</v>
      </c>
    </row>
    <row r="94" spans="1:4">
      <c r="A94" s="347">
        <f t="shared" si="2"/>
        <v>84</v>
      </c>
      <c r="B94" s="963" t="s">
        <v>620</v>
      </c>
      <c r="C94" s="964"/>
      <c r="D94" s="966">
        <v>253987.67</v>
      </c>
    </row>
    <row r="95" spans="1:4">
      <c r="A95" s="347">
        <f t="shared" si="2"/>
        <v>85</v>
      </c>
      <c r="B95" s="963" t="s">
        <v>621</v>
      </c>
      <c r="C95" s="964"/>
      <c r="D95" s="966">
        <v>840535.46</v>
      </c>
    </row>
    <row r="96" spans="1:4">
      <c r="A96" s="347">
        <f t="shared" si="2"/>
        <v>86</v>
      </c>
      <c r="B96" s="963" t="s">
        <v>622</v>
      </c>
      <c r="C96" s="964"/>
      <c r="D96" s="966">
        <v>1066305.52</v>
      </c>
    </row>
    <row r="97" spans="1:10">
      <c r="A97" s="347">
        <f t="shared" si="2"/>
        <v>87</v>
      </c>
      <c r="B97" s="963" t="s">
        <v>623</v>
      </c>
      <c r="C97" s="964"/>
      <c r="D97" s="966">
        <v>-884627.37</v>
      </c>
    </row>
    <row r="98" spans="1:10">
      <c r="A98" s="347">
        <f t="shared" si="2"/>
        <v>88</v>
      </c>
      <c r="B98" s="963" t="s">
        <v>625</v>
      </c>
      <c r="C98" s="964"/>
      <c r="D98" s="966">
        <f>SUM(D94:D97)</f>
        <v>1276201.2799999998</v>
      </c>
    </row>
    <row r="99" spans="1:10" ht="13.5" thickBot="1">
      <c r="A99" s="347">
        <f t="shared" si="2"/>
        <v>89</v>
      </c>
      <c r="B99" s="967" t="s">
        <v>626</v>
      </c>
      <c r="C99" s="968"/>
      <c r="D99" s="969">
        <v>0</v>
      </c>
    </row>
    <row r="100" spans="1:10">
      <c r="A100" s="347">
        <f t="shared" si="2"/>
        <v>90</v>
      </c>
      <c r="C100" s="499"/>
      <c r="D100" s="970"/>
    </row>
    <row r="101" spans="1:10" ht="13.5" thickBot="1">
      <c r="A101" s="347">
        <f t="shared" si="2"/>
        <v>91</v>
      </c>
      <c r="C101" s="366" t="s">
        <v>977</v>
      </c>
      <c r="D101" s="401">
        <f>+'[49]3.04 &amp; 4.04 Lead'!$E$40</f>
        <v>0.6744</v>
      </c>
    </row>
    <row r="102" spans="1:10" ht="13.5" thickBot="1">
      <c r="A102" s="347">
        <f t="shared" si="2"/>
        <v>92</v>
      </c>
      <c r="D102" s="971">
        <f>+D93*D101</f>
        <v>860670.14323199983</v>
      </c>
    </row>
    <row r="103" spans="1:10">
      <c r="A103" s="347">
        <f t="shared" si="2"/>
        <v>93</v>
      </c>
      <c r="D103" s="635"/>
    </row>
    <row r="104" spans="1:10">
      <c r="A104" s="347">
        <f t="shared" si="2"/>
        <v>94</v>
      </c>
      <c r="B104" s="975" t="s">
        <v>822</v>
      </c>
      <c r="C104" s="366"/>
    </row>
    <row r="105" spans="1:10">
      <c r="A105" s="347">
        <f t="shared" si="2"/>
        <v>95</v>
      </c>
    </row>
    <row r="106" spans="1:10" ht="18">
      <c r="A106" s="347">
        <f t="shared" si="2"/>
        <v>96</v>
      </c>
      <c r="B106" s="662" t="s">
        <v>861</v>
      </c>
      <c r="C106" s="663"/>
      <c r="D106" s="663"/>
      <c r="E106" s="663"/>
      <c r="F106" s="663"/>
      <c r="G106" s="663"/>
      <c r="H106" s="663"/>
      <c r="I106" s="663"/>
      <c r="J106" s="663"/>
    </row>
    <row r="107" spans="1:10" ht="18">
      <c r="A107" s="347">
        <f t="shared" si="2"/>
        <v>97</v>
      </c>
      <c r="B107" s="662" t="s">
        <v>862</v>
      </c>
      <c r="C107" s="663"/>
      <c r="D107" s="663"/>
      <c r="E107" s="663"/>
      <c r="F107" s="663"/>
      <c r="G107" s="663"/>
      <c r="H107" s="663"/>
      <c r="I107" s="663"/>
      <c r="J107" s="663"/>
    </row>
    <row r="108" spans="1:10">
      <c r="A108" s="347">
        <f t="shared" si="2"/>
        <v>98</v>
      </c>
      <c r="B108" s="663"/>
      <c r="C108" s="663"/>
      <c r="D108" s="663"/>
      <c r="E108" s="663"/>
      <c r="F108" s="663"/>
      <c r="G108" s="663"/>
      <c r="H108" s="663"/>
      <c r="I108" s="663"/>
      <c r="J108" s="663"/>
    </row>
    <row r="109" spans="1:10">
      <c r="A109" s="347">
        <f t="shared" si="2"/>
        <v>99</v>
      </c>
      <c r="B109" s="663"/>
      <c r="C109" s="663"/>
      <c r="D109" s="663"/>
      <c r="E109" s="663"/>
      <c r="F109" s="663"/>
      <c r="G109" s="663"/>
      <c r="H109" s="663"/>
      <c r="I109" s="663"/>
      <c r="J109" s="663"/>
    </row>
    <row r="110" spans="1:10">
      <c r="A110" s="347">
        <f t="shared" si="2"/>
        <v>100</v>
      </c>
      <c r="B110" s="663"/>
      <c r="C110" s="663"/>
      <c r="D110" s="663"/>
      <c r="E110" s="663"/>
      <c r="F110" s="663"/>
      <c r="G110" s="663"/>
      <c r="H110" s="663"/>
      <c r="I110" s="663"/>
      <c r="J110" s="663"/>
    </row>
    <row r="111" spans="1:10" ht="13.5" thickBot="1">
      <c r="A111" s="347">
        <f t="shared" si="2"/>
        <v>101</v>
      </c>
      <c r="B111" s="664"/>
      <c r="C111" s="664"/>
      <c r="D111" s="664"/>
      <c r="E111" s="664"/>
      <c r="F111" s="663"/>
      <c r="G111" s="663"/>
      <c r="H111" s="663"/>
      <c r="I111" s="663"/>
      <c r="J111" s="663"/>
    </row>
    <row r="112" spans="1:10" ht="13.5" thickBot="1">
      <c r="A112" s="347">
        <f t="shared" si="2"/>
        <v>102</v>
      </c>
      <c r="B112" s="664"/>
      <c r="C112" s="1096"/>
      <c r="D112" s="1096"/>
      <c r="E112" s="1097"/>
      <c r="F112" s="663"/>
      <c r="G112" s="663"/>
      <c r="H112" s="663"/>
      <c r="I112" s="663"/>
      <c r="J112" s="663"/>
    </row>
    <row r="113" spans="1:14" ht="13.5" thickBot="1">
      <c r="A113" s="347">
        <f t="shared" si="2"/>
        <v>103</v>
      </c>
      <c r="B113" s="664"/>
      <c r="C113" s="1098" t="s">
        <v>823</v>
      </c>
      <c r="D113" s="1096"/>
      <c r="E113" s="1097"/>
      <c r="F113" s="663"/>
      <c r="G113" s="663"/>
      <c r="H113" s="663"/>
      <c r="I113" s="663"/>
      <c r="J113" s="663"/>
    </row>
    <row r="114" spans="1:14">
      <c r="A114" s="347">
        <f t="shared" si="2"/>
        <v>104</v>
      </c>
      <c r="B114" s="664"/>
      <c r="C114" s="665" t="s">
        <v>824</v>
      </c>
      <c r="D114" s="665" t="s">
        <v>825</v>
      </c>
      <c r="E114" s="665" t="s">
        <v>826</v>
      </c>
      <c r="F114" s="663"/>
      <c r="G114" s="663"/>
      <c r="H114" s="663"/>
      <c r="I114" s="663"/>
      <c r="J114" s="663"/>
      <c r="K114" s="663"/>
      <c r="L114" s="663"/>
      <c r="M114" s="663"/>
      <c r="N114" s="663"/>
    </row>
    <row r="115" spans="1:14">
      <c r="A115" s="347">
        <f t="shared" si="2"/>
        <v>105</v>
      </c>
      <c r="B115" s="666" t="s">
        <v>827</v>
      </c>
      <c r="C115" s="664"/>
      <c r="D115" s="664"/>
      <c r="E115" s="664"/>
      <c r="F115" s="663"/>
      <c r="G115" s="663"/>
      <c r="H115" s="663"/>
      <c r="I115" s="663"/>
      <c r="J115" s="663"/>
      <c r="K115" s="663"/>
      <c r="L115" s="663"/>
      <c r="M115" s="663"/>
      <c r="N115" s="663"/>
    </row>
    <row r="116" spans="1:14">
      <c r="A116" s="347">
        <f t="shared" si="2"/>
        <v>106</v>
      </c>
      <c r="B116" s="666"/>
      <c r="C116" s="667"/>
      <c r="D116" s="667"/>
      <c r="E116" s="667"/>
      <c r="F116" s="663"/>
      <c r="G116" s="663"/>
      <c r="H116" s="663"/>
      <c r="I116" s="663"/>
      <c r="J116" s="663"/>
      <c r="K116" s="663"/>
      <c r="L116" s="663"/>
      <c r="M116" s="663"/>
      <c r="N116" s="663"/>
    </row>
    <row r="117" spans="1:14">
      <c r="A117" s="347">
        <f t="shared" si="2"/>
        <v>107</v>
      </c>
      <c r="B117" s="666" t="s">
        <v>828</v>
      </c>
      <c r="C117" s="668">
        <f>SUM(D117:E117)</f>
        <v>-13602501</v>
      </c>
      <c r="D117" s="668">
        <f>-17255185+4571350</f>
        <v>-12683835</v>
      </c>
      <c r="E117" s="668">
        <f>-1996932+1078266</f>
        <v>-918666</v>
      </c>
      <c r="F117" s="972"/>
      <c r="G117" s="972"/>
      <c r="H117" s="972"/>
      <c r="I117" s="972"/>
      <c r="J117" s="972"/>
      <c r="K117" s="663"/>
      <c r="L117" s="663"/>
      <c r="M117" s="663"/>
      <c r="N117" s="663"/>
    </row>
    <row r="118" spans="1:14">
      <c r="A118" s="347">
        <f t="shared" si="2"/>
        <v>108</v>
      </c>
      <c r="B118" s="666"/>
      <c r="C118" s="669">
        <f>3/12</f>
        <v>0.25</v>
      </c>
      <c r="D118" s="669">
        <f>3/12</f>
        <v>0.25</v>
      </c>
      <c r="E118" s="669">
        <f>3/12</f>
        <v>0.25</v>
      </c>
      <c r="F118" s="972"/>
      <c r="G118" s="972"/>
      <c r="H118" s="972"/>
      <c r="I118" s="972"/>
      <c r="J118" s="972"/>
      <c r="K118" s="663"/>
      <c r="L118" s="663"/>
      <c r="M118" s="663"/>
      <c r="N118" s="663"/>
    </row>
    <row r="119" spans="1:14" ht="13.5" thickBot="1">
      <c r="A119" s="347">
        <f t="shared" si="2"/>
        <v>109</v>
      </c>
      <c r="B119" s="666" t="s">
        <v>829</v>
      </c>
      <c r="C119" s="670">
        <f>C117*C118</f>
        <v>-3400625.25</v>
      </c>
      <c r="D119" s="670">
        <f>D117*D118</f>
        <v>-3170958.75</v>
      </c>
      <c r="E119" s="670">
        <f>E117*E118</f>
        <v>-229666.5</v>
      </c>
      <c r="F119" s="972"/>
      <c r="G119" s="972"/>
      <c r="H119" s="972"/>
      <c r="I119" s="972"/>
      <c r="J119" s="972"/>
      <c r="K119" s="663"/>
      <c r="L119" s="663"/>
      <c r="M119" s="663"/>
      <c r="N119" s="663"/>
    </row>
    <row r="120" spans="1:14" ht="13.5" thickTop="1">
      <c r="A120" s="347">
        <f t="shared" si="2"/>
        <v>110</v>
      </c>
      <c r="B120" s="671"/>
      <c r="C120" s="672"/>
      <c r="D120" s="672"/>
      <c r="E120" s="672"/>
      <c r="F120" s="972"/>
      <c r="G120" s="972"/>
      <c r="H120" s="972"/>
      <c r="I120" s="972"/>
      <c r="J120" s="972"/>
      <c r="K120" s="663"/>
      <c r="L120" s="663"/>
      <c r="M120" s="663"/>
      <c r="N120" s="663"/>
    </row>
    <row r="121" spans="1:14">
      <c r="A121" s="347">
        <f t="shared" si="2"/>
        <v>111</v>
      </c>
      <c r="B121" s="671"/>
      <c r="C121" s="672"/>
      <c r="D121" s="672"/>
      <c r="E121" s="672"/>
      <c r="F121" s="972"/>
      <c r="G121" s="972"/>
      <c r="H121" s="972"/>
      <c r="I121" s="972"/>
      <c r="J121" s="972"/>
      <c r="K121" s="663"/>
      <c r="L121" s="663"/>
      <c r="M121" s="663"/>
      <c r="N121" s="663"/>
    </row>
    <row r="122" spans="1:14" ht="13.5" thickBot="1">
      <c r="A122" s="347">
        <f t="shared" si="2"/>
        <v>112</v>
      </c>
      <c r="B122" s="671"/>
      <c r="C122" s="672"/>
      <c r="D122" s="672"/>
      <c r="E122" s="672"/>
      <c r="F122" s="972"/>
      <c r="G122" s="972"/>
      <c r="H122" s="972"/>
      <c r="I122" s="972"/>
      <c r="J122" s="972"/>
      <c r="K122" s="663"/>
      <c r="L122" s="663"/>
      <c r="M122" s="663"/>
      <c r="N122" s="663"/>
    </row>
    <row r="123" spans="1:14" ht="13.5" thickBot="1">
      <c r="A123" s="347">
        <f t="shared" si="2"/>
        <v>113</v>
      </c>
      <c r="B123" s="673"/>
      <c r="C123" s="1096"/>
      <c r="D123" s="1096"/>
      <c r="E123" s="1097"/>
      <c r="F123" s="663"/>
      <c r="G123" s="663"/>
      <c r="H123" s="663"/>
      <c r="I123" s="663"/>
      <c r="J123" s="663"/>
      <c r="K123" s="663"/>
      <c r="L123" s="663"/>
      <c r="M123" s="663"/>
      <c r="N123" s="663"/>
    </row>
    <row r="124" spans="1:14" ht="13.5" thickBot="1">
      <c r="A124" s="347">
        <f t="shared" si="2"/>
        <v>114</v>
      </c>
      <c r="B124" s="673"/>
      <c r="C124" s="1098" t="s">
        <v>823</v>
      </c>
      <c r="D124" s="1096"/>
      <c r="E124" s="1097"/>
      <c r="F124" s="663"/>
      <c r="G124" s="663"/>
      <c r="H124" s="663"/>
      <c r="I124" s="663"/>
      <c r="J124" s="663"/>
      <c r="K124" s="663"/>
      <c r="L124" s="663"/>
      <c r="M124" s="663"/>
      <c r="N124" s="663"/>
    </row>
    <row r="125" spans="1:14">
      <c r="A125" s="347">
        <f t="shared" si="2"/>
        <v>115</v>
      </c>
      <c r="B125" s="664"/>
      <c r="C125" s="665" t="s">
        <v>824</v>
      </c>
      <c r="D125" s="665" t="s">
        <v>825</v>
      </c>
      <c r="E125" s="665" t="s">
        <v>826</v>
      </c>
      <c r="F125" s="663"/>
      <c r="G125" s="663"/>
      <c r="H125" s="663"/>
      <c r="I125" s="663"/>
      <c r="J125" s="663"/>
      <c r="K125" s="972"/>
      <c r="L125" s="972"/>
      <c r="M125" s="972"/>
      <c r="N125" s="972"/>
    </row>
    <row r="126" spans="1:14">
      <c r="A126" s="347">
        <f t="shared" si="2"/>
        <v>116</v>
      </c>
      <c r="B126" s="666" t="s">
        <v>827</v>
      </c>
      <c r="C126" s="664"/>
      <c r="D126" s="664"/>
      <c r="E126" s="664"/>
      <c r="F126" s="663"/>
      <c r="G126" s="663"/>
      <c r="H126" s="663"/>
      <c r="I126" s="663"/>
      <c r="J126" s="663"/>
      <c r="K126" s="972"/>
      <c r="L126" s="972"/>
      <c r="M126" s="972"/>
      <c r="N126" s="972"/>
    </row>
    <row r="127" spans="1:14">
      <c r="A127" s="347">
        <f t="shared" si="2"/>
        <v>117</v>
      </c>
      <c r="B127" s="666"/>
      <c r="C127" s="667"/>
      <c r="D127" s="667"/>
      <c r="E127" s="667"/>
      <c r="F127" s="663"/>
      <c r="G127" s="663"/>
      <c r="H127" s="663"/>
      <c r="I127" s="663"/>
      <c r="J127" s="663"/>
      <c r="K127" s="972"/>
      <c r="L127" s="972"/>
      <c r="M127" s="972"/>
      <c r="N127" s="972"/>
    </row>
    <row r="128" spans="1:14">
      <c r="A128" s="347">
        <f t="shared" si="2"/>
        <v>118</v>
      </c>
      <c r="B128" s="666" t="s">
        <v>828</v>
      </c>
      <c r="C128" s="668">
        <f>+D128+E128</f>
        <v>-14557815</v>
      </c>
      <c r="D128" s="668">
        <f>-18285561+4607794</f>
        <v>-13677767</v>
      </c>
      <c r="E128" s="668">
        <f>-2037806+1157758</f>
        <v>-880048</v>
      </c>
      <c r="F128" s="663"/>
      <c r="G128" s="663"/>
      <c r="H128" s="663"/>
      <c r="I128" s="663"/>
      <c r="J128" s="663"/>
      <c r="K128" s="972"/>
      <c r="L128" s="972"/>
      <c r="M128" s="972"/>
      <c r="N128" s="972"/>
    </row>
    <row r="129" spans="1:14">
      <c r="A129" s="347">
        <f t="shared" si="2"/>
        <v>119</v>
      </c>
      <c r="B129" s="666"/>
      <c r="C129" s="669">
        <f>9/12</f>
        <v>0.75</v>
      </c>
      <c r="D129" s="669">
        <f>9/12</f>
        <v>0.75</v>
      </c>
      <c r="E129" s="669">
        <f>9/12</f>
        <v>0.75</v>
      </c>
      <c r="F129" s="663"/>
      <c r="G129" s="663"/>
      <c r="H129" s="663"/>
      <c r="I129" s="663"/>
      <c r="J129" s="663"/>
      <c r="K129" s="972"/>
      <c r="L129" s="972"/>
      <c r="M129" s="972"/>
      <c r="N129" s="972"/>
    </row>
    <row r="130" spans="1:14" ht="13.5" thickBot="1">
      <c r="A130" s="347">
        <f t="shared" si="2"/>
        <v>120</v>
      </c>
      <c r="B130" s="666" t="s">
        <v>830</v>
      </c>
      <c r="C130" s="670">
        <f>C128*C129</f>
        <v>-10918361.25</v>
      </c>
      <c r="D130" s="670">
        <f>D128*D129</f>
        <v>-10258325.25</v>
      </c>
      <c r="E130" s="670">
        <f>E128*E129</f>
        <v>-660036</v>
      </c>
      <c r="F130" s="663"/>
      <c r="G130" s="663"/>
      <c r="H130" s="663"/>
      <c r="I130" s="663"/>
      <c r="J130" s="663"/>
      <c r="K130" s="972"/>
      <c r="L130" s="972"/>
      <c r="M130" s="972"/>
      <c r="N130" s="972"/>
    </row>
    <row r="131" spans="1:14" ht="13.5" thickTop="1">
      <c r="A131" s="347">
        <f t="shared" si="2"/>
        <v>121</v>
      </c>
      <c r="B131" s="664"/>
      <c r="C131" s="672"/>
      <c r="D131" s="672"/>
      <c r="E131" s="672"/>
      <c r="F131" s="663"/>
      <c r="G131" s="663"/>
      <c r="H131" s="663"/>
      <c r="I131" s="663"/>
      <c r="J131" s="663"/>
      <c r="K131" s="663"/>
      <c r="L131" s="663"/>
      <c r="M131" s="663"/>
      <c r="N131" s="663"/>
    </row>
    <row r="132" spans="1:14">
      <c r="A132" s="347">
        <f t="shared" si="2"/>
        <v>122</v>
      </c>
      <c r="B132" s="664"/>
      <c r="C132" s="664"/>
      <c r="D132" s="664"/>
      <c r="E132" s="664"/>
      <c r="F132" s="663"/>
      <c r="G132" s="663"/>
      <c r="H132" s="663"/>
      <c r="I132" s="663"/>
      <c r="J132" s="663"/>
      <c r="K132" s="663"/>
      <c r="L132" s="663"/>
      <c r="M132" s="663"/>
      <c r="N132" s="663"/>
    </row>
    <row r="133" spans="1:14">
      <c r="A133" s="347">
        <f t="shared" si="2"/>
        <v>123</v>
      </c>
      <c r="B133" s="674">
        <v>2015</v>
      </c>
      <c r="C133" s="664">
        <f>C119</f>
        <v>-3400625.25</v>
      </c>
      <c r="D133" s="664">
        <f>D119</f>
        <v>-3170958.75</v>
      </c>
      <c r="E133" s="664">
        <f>E119</f>
        <v>-229666.5</v>
      </c>
      <c r="F133" s="663"/>
      <c r="G133" s="663"/>
      <c r="H133" s="663"/>
      <c r="I133" s="663"/>
      <c r="J133" s="663"/>
      <c r="K133" s="663"/>
      <c r="L133" s="663"/>
      <c r="M133" s="663"/>
      <c r="N133" s="663"/>
    </row>
    <row r="134" spans="1:14">
      <c r="A134" s="347">
        <f t="shared" si="2"/>
        <v>124</v>
      </c>
      <c r="B134" s="674">
        <v>2016</v>
      </c>
      <c r="C134" s="664">
        <f>C130</f>
        <v>-10918361.25</v>
      </c>
      <c r="D134" s="664">
        <f>D130</f>
        <v>-10258325.25</v>
      </c>
      <c r="E134" s="664">
        <f>E130</f>
        <v>-660036</v>
      </c>
      <c r="F134" s="663"/>
      <c r="G134" s="663"/>
      <c r="H134" s="663"/>
      <c r="I134" s="663"/>
      <c r="J134" s="663"/>
      <c r="K134" s="663"/>
      <c r="L134" s="663"/>
      <c r="M134" s="663"/>
      <c r="N134" s="663"/>
    </row>
    <row r="135" spans="1:14" ht="13.5" thickBot="1">
      <c r="A135" s="347">
        <f t="shared" si="2"/>
        <v>125</v>
      </c>
      <c r="B135" s="666" t="s">
        <v>831</v>
      </c>
      <c r="C135" s="675">
        <f>SUM(C133:C134)</f>
        <v>-14318986.5</v>
      </c>
      <c r="D135" s="675">
        <f>SUM(D133:D134)</f>
        <v>-13429284</v>
      </c>
      <c r="E135" s="675">
        <f>SUM(E133:E134)</f>
        <v>-889702.5</v>
      </c>
      <c r="F135" s="663"/>
      <c r="G135" s="663"/>
      <c r="H135" s="663"/>
      <c r="I135" s="663"/>
      <c r="J135" s="663"/>
      <c r="K135" s="663"/>
      <c r="L135" s="663"/>
      <c r="M135" s="663"/>
      <c r="N135" s="663"/>
    </row>
    <row r="136" spans="1:14" ht="13.5" thickTop="1">
      <c r="A136" s="347">
        <f t="shared" si="2"/>
        <v>126</v>
      </c>
      <c r="B136" s="676"/>
      <c r="C136" s="676"/>
      <c r="D136" s="676"/>
      <c r="E136" s="676"/>
      <c r="F136" s="319"/>
      <c r="G136" s="663"/>
      <c r="H136" s="663"/>
      <c r="I136" s="663"/>
      <c r="J136" s="663"/>
      <c r="K136" s="663"/>
      <c r="L136" s="663"/>
      <c r="M136" s="663"/>
      <c r="N136" s="663"/>
    </row>
    <row r="137" spans="1:14">
      <c r="A137" s="347">
        <f t="shared" si="2"/>
        <v>127</v>
      </c>
      <c r="B137" s="319"/>
      <c r="C137" s="319"/>
      <c r="D137" s="319"/>
      <c r="E137" s="319"/>
      <c r="F137" s="319"/>
      <c r="K137" s="663"/>
      <c r="L137" s="663"/>
      <c r="M137" s="663"/>
      <c r="N137" s="663"/>
    </row>
    <row r="138" spans="1:14">
      <c r="A138" s="347">
        <f t="shared" si="2"/>
        <v>128</v>
      </c>
      <c r="B138" s="319"/>
      <c r="C138" s="319"/>
      <c r="D138" s="319"/>
      <c r="E138" s="319"/>
      <c r="F138" s="319"/>
      <c r="K138" s="663"/>
      <c r="L138" s="663"/>
      <c r="M138" s="663"/>
      <c r="N138" s="663"/>
    </row>
    <row r="139" spans="1:14">
      <c r="A139" s="347">
        <f t="shared" si="2"/>
        <v>129</v>
      </c>
      <c r="K139" s="663"/>
      <c r="L139" s="663"/>
      <c r="M139" s="663"/>
      <c r="N139" s="663"/>
    </row>
    <row r="140" spans="1:14">
      <c r="A140" s="347">
        <f t="shared" si="2"/>
        <v>130</v>
      </c>
      <c r="K140" s="663"/>
      <c r="L140" s="663"/>
      <c r="M140" s="663"/>
      <c r="N140" s="663"/>
    </row>
    <row r="141" spans="1:14">
      <c r="A141" s="347">
        <f t="shared" si="2"/>
        <v>131</v>
      </c>
      <c r="K141" s="663"/>
      <c r="L141" s="663"/>
      <c r="M141" s="663"/>
      <c r="N141" s="663"/>
    </row>
    <row r="142" spans="1:14">
      <c r="A142" s="347">
        <f t="shared" si="2"/>
        <v>132</v>
      </c>
      <c r="K142" s="663"/>
      <c r="L142" s="663"/>
      <c r="M142" s="663"/>
      <c r="N142" s="663"/>
    </row>
    <row r="143" spans="1:14">
      <c r="A143" s="347">
        <f t="shared" si="2"/>
        <v>133</v>
      </c>
      <c r="K143" s="663"/>
      <c r="L143" s="663"/>
      <c r="M143" s="663"/>
      <c r="N143" s="663"/>
    </row>
    <row r="144" spans="1:14">
      <c r="A144" s="347">
        <f t="shared" si="2"/>
        <v>134</v>
      </c>
      <c r="K144" s="663"/>
      <c r="L144" s="663"/>
      <c r="M144" s="663"/>
      <c r="N144" s="663"/>
    </row>
    <row r="145" spans="1:1">
      <c r="A145" s="347">
        <f t="shared" si="2"/>
        <v>135</v>
      </c>
    </row>
  </sheetData>
  <customSheetViews>
    <customSheetView guid="{D358E58B-5EA6-4EB2-8562-4D9FEBA8EA5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"/>
      <headerFooter alignWithMargins="0"/>
    </customSheetView>
    <customSheetView guid="{DD70B4E1-CC64-4568-BFD6-83390A7B0268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"/>
      <headerFooter alignWithMargins="0"/>
    </customSheetView>
    <customSheetView guid="{1E64D771-8C52-4EFE-8F0D-67326F432767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"/>
      <headerFooter alignWithMargins="0"/>
    </customSheetView>
    <customSheetView guid="{8920654A-B782-40BF-9A51-A43F20A27C02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4"/>
      <headerFooter alignWithMargins="0"/>
    </customSheetView>
    <customSheetView guid="{F985D028-064A-46CA-9D34-E4E9B88A9B3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5"/>
      <headerFooter alignWithMargins="0"/>
    </customSheetView>
    <customSheetView guid="{CD5012F4-E6A6-495E-BF90-5F6D9EE7AF29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6"/>
      <headerFooter alignWithMargins="0"/>
    </customSheetView>
    <customSheetView guid="{14262664-129C-4E9B-8245-4B43AF19E33A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7"/>
      <headerFooter alignWithMargins="0"/>
    </customSheetView>
    <customSheetView guid="{8E7EA697-A1C1-4FA5-9CC7-93304413A15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8"/>
      <headerFooter alignWithMargins="0"/>
    </customSheetView>
    <customSheetView guid="{F531E925-9E0B-409C-9EAA-ADCDD51D6BA7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9"/>
      <headerFooter alignWithMargins="0"/>
    </customSheetView>
    <customSheetView guid="{4840C72E-33E7-45CF-A897-030BC56F6B90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0"/>
      <headerFooter alignWithMargins="0"/>
    </customSheetView>
    <customSheetView guid="{40B7FB48-DAE3-4682-852F-AC0650D2BE1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1"/>
      <headerFooter alignWithMargins="0"/>
    </customSheetView>
    <customSheetView guid="{A3FBC4C2-6ECB-480C-89DD-35506B048870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2"/>
      <headerFooter alignWithMargins="0"/>
    </customSheetView>
    <customSheetView guid="{EDF3DC03-FBB9-4397-9335-6FA548B9B5C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3"/>
      <headerFooter alignWithMargins="0"/>
    </customSheetView>
    <customSheetView guid="{605C023E-A5C7-400F-9AAA-827B8FDB13A8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4"/>
      <headerFooter alignWithMargins="0"/>
    </customSheetView>
    <customSheetView guid="{3DB8EC99-BD55-4ABF-B71E-F70797B0173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5"/>
      <headerFooter alignWithMargins="0"/>
    </customSheetView>
    <customSheetView guid="{62EE4FB2-B9F8-4C5D-BC5C-181361F6DD86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6"/>
      <headerFooter alignWithMargins="0"/>
    </customSheetView>
    <customSheetView guid="{BBEC464C-25F9-4835-BB05-13062D5DEAC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7"/>
      <headerFooter alignWithMargins="0"/>
    </customSheetView>
    <customSheetView guid="{88A240CE-F5A6-4995-A526-0E22BADCFF6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8"/>
      <headerFooter alignWithMargins="0"/>
    </customSheetView>
    <customSheetView guid="{3834E606-B28A-4696-9192-7BDA898195A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9"/>
      <headerFooter alignWithMargins="0"/>
    </customSheetView>
    <customSheetView guid="{D564613F-7CF3-40DE-8CDA-0C25C1F35855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0"/>
      <headerFooter alignWithMargins="0"/>
    </customSheetView>
    <customSheetView guid="{BA39091D-C7FC-45D0-82A3-5E4EAAFABA5A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1"/>
      <headerFooter alignWithMargins="0"/>
    </customSheetView>
    <customSheetView guid="{3797879C-3298-4122-A12D-3DFD0284FBD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2"/>
      <headerFooter alignWithMargins="0"/>
    </customSheetView>
    <customSheetView guid="{46E5C546-9AEA-4E06-B017-805B7E255C92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3"/>
      <headerFooter alignWithMargins="0"/>
    </customSheetView>
    <customSheetView guid="{813D7A4F-EDF6-49ED-B8FD-B74D0B9276A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4"/>
      <headerFooter alignWithMargins="0"/>
    </customSheetView>
    <customSheetView guid="{28C5A156-92F3-4234-9C7A-A32D75F798C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5"/>
      <headerFooter alignWithMargins="0"/>
    </customSheetView>
    <customSheetView guid="{E98B4028-3602-46AA-8C00-41FD8ABF8836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6"/>
      <headerFooter alignWithMargins="0"/>
    </customSheetView>
    <customSheetView guid="{41713566-6DDC-4C14-8259-D9C15B9E45D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7"/>
      <headerFooter alignWithMargins="0"/>
    </customSheetView>
    <customSheetView guid="{990691EF-FF43-4000-BCD8-6862D2BAD44A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8"/>
      <headerFooter alignWithMargins="0"/>
    </customSheetView>
    <customSheetView guid="{17768135-68BF-4539-94C0-50ED7816A698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9"/>
      <headerFooter alignWithMargins="0"/>
    </customSheetView>
    <customSheetView guid="{DF4E3B04-E442-43A1-A47D-E26F6CE7F11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0"/>
      <headerFooter alignWithMargins="0"/>
    </customSheetView>
    <customSheetView guid="{2DBDF3D7-BA4D-404D-AE4B-DFD7008C041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1"/>
      <headerFooter alignWithMargins="0"/>
    </customSheetView>
    <customSheetView guid="{423F2953-9177-4482-AE78-C7C47BA8995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2"/>
      <headerFooter alignWithMargins="0"/>
    </customSheetView>
    <customSheetView guid="{E2C26153-D457-4603-B564-60CFADB5026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3"/>
      <headerFooter alignWithMargins="0"/>
    </customSheetView>
    <customSheetView guid="{C3CE34FF-D7D7-4ECF-B6E1-4700E3130E9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4"/>
      <headerFooter alignWithMargins="0"/>
    </customSheetView>
    <customSheetView guid="{067119CC-1C61-43DB-B4BB-54397DC63A9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5"/>
      <headerFooter alignWithMargins="0"/>
    </customSheetView>
    <customSheetView guid="{FEFCE477-944B-4DAC-AD75-686CC83D0F0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6"/>
      <headerFooter alignWithMargins="0"/>
    </customSheetView>
    <customSheetView guid="{D034A8AA-A968-4D12-B6AF-09F53E5CD513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7"/>
      <headerFooter alignWithMargins="0"/>
    </customSheetView>
    <customSheetView guid="{ACABE5FC-E604-45C9-ACB7-53C863CA19F6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8"/>
      <headerFooter alignWithMargins="0"/>
    </customSheetView>
  </customSheetViews>
  <mergeCells count="4">
    <mergeCell ref="C112:E112"/>
    <mergeCell ref="C113:E113"/>
    <mergeCell ref="C123:E123"/>
    <mergeCell ref="C124:E124"/>
  </mergeCells>
  <phoneticPr fontId="17" type="noConversion"/>
  <printOptions horizontalCentered="1"/>
  <pageMargins left="0.5" right="0.5" top="0.25" bottom="0.25" header="0.5" footer="0.25"/>
  <pageSetup scale="68" fitToHeight="2" orientation="portrait" r:id="rId39"/>
  <headerFooter alignWithMargins="0"/>
  <rowBreaks count="1" manualBreakCount="1">
    <brk id="82" max="16383" man="1"/>
  </rowBreaks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0"/>
  <sheetViews>
    <sheetView workbookViewId="0"/>
  </sheetViews>
  <sheetFormatPr defaultColWidth="9.33203125" defaultRowHeight="12.75"/>
  <cols>
    <col min="1" max="1" width="50.83203125" style="535" bestFit="1" customWidth="1"/>
    <col min="2" max="9" width="20.83203125" style="535" customWidth="1"/>
    <col min="10" max="16384" width="9.33203125" style="535"/>
  </cols>
  <sheetData>
    <row r="1" spans="1:14">
      <c r="A1" s="556" t="s">
        <v>992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3.5" thickBot="1">
      <c r="A2" s="719" t="s">
        <v>933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>
      <c r="A3" s="536"/>
      <c r="B3" s="537"/>
      <c r="C3" s="537"/>
      <c r="D3" s="537" t="s">
        <v>554</v>
      </c>
      <c r="E3" s="537" t="s">
        <v>555</v>
      </c>
      <c r="F3" s="537" t="s">
        <v>556</v>
      </c>
      <c r="G3" s="537" t="s">
        <v>557</v>
      </c>
      <c r="H3" s="537" t="s">
        <v>558</v>
      </c>
      <c r="I3" s="537" t="s">
        <v>178</v>
      </c>
      <c r="J3" s="104"/>
      <c r="K3" s="104"/>
      <c r="L3" s="104"/>
      <c r="M3" s="104"/>
      <c r="N3" s="104"/>
    </row>
    <row r="4" spans="1:14" ht="13.5" thickBot="1">
      <c r="A4" s="536"/>
      <c r="B4" s="538" t="s">
        <v>560</v>
      </c>
      <c r="C4" s="538" t="s">
        <v>561</v>
      </c>
      <c r="D4" s="538" t="s">
        <v>562</v>
      </c>
      <c r="E4" s="538" t="s">
        <v>562</v>
      </c>
      <c r="F4" s="538" t="s">
        <v>563</v>
      </c>
      <c r="G4" s="538" t="s">
        <v>559</v>
      </c>
      <c r="H4" s="538" t="s">
        <v>564</v>
      </c>
      <c r="I4" s="538" t="s">
        <v>290</v>
      </c>
      <c r="J4" s="104"/>
      <c r="K4" s="104"/>
      <c r="L4" s="104"/>
      <c r="M4" s="104"/>
      <c r="N4" s="104"/>
    </row>
    <row r="5" spans="1:14">
      <c r="A5" s="414" t="s">
        <v>819</v>
      </c>
      <c r="B5" s="634">
        <f>+'[50]Prod RB TY Lead'!$B$6</f>
        <v>3770089338.4726501</v>
      </c>
      <c r="C5" s="634">
        <f>+'[50]Prod RB TY Lead'!$B$7</f>
        <v>-1614882573</v>
      </c>
      <c r="D5" s="634">
        <f>+'[50]Prod RB TY Lead'!$B$8</f>
        <v>80139253</v>
      </c>
      <c r="E5" s="634">
        <f>+'[50]Prod RB TY Lead'!$B$9</f>
        <v>-9933315</v>
      </c>
      <c r="F5" s="634">
        <f>+'[50]Prod RB TY Lead'!$B$12</f>
        <v>281543145</v>
      </c>
      <c r="G5" s="634">
        <f>+'[50]Prod RB TY Lead'!$B$13</f>
        <v>-113037112</v>
      </c>
      <c r="H5" s="634">
        <f>+'[50]Prod RB TY Lead'!$B$16</f>
        <v>-512526800.34781253</v>
      </c>
      <c r="I5" s="634">
        <f t="shared" ref="I5:I12" si="0">SUM(B5:H5)</f>
        <v>1881391936.1248374</v>
      </c>
      <c r="J5" s="104"/>
      <c r="K5" s="104"/>
      <c r="L5" s="104"/>
      <c r="M5" s="104"/>
      <c r="N5" s="104"/>
    </row>
    <row r="6" spans="1:14">
      <c r="A6" s="414" t="s">
        <v>993</v>
      </c>
      <c r="B6" s="773"/>
      <c r="C6" s="633">
        <f>'[9]RB&amp;ISbyFERC'!$I$482</f>
        <v>-20954003.982056607</v>
      </c>
      <c r="D6" s="773"/>
      <c r="E6" s="773"/>
      <c r="F6" s="773"/>
      <c r="G6" s="773"/>
      <c r="H6" s="633">
        <f>-C6*0.35</f>
        <v>7333901.3937198119</v>
      </c>
      <c r="I6" s="633">
        <f t="shared" si="0"/>
        <v>-13620102.588336796</v>
      </c>
      <c r="J6" s="104"/>
      <c r="K6" s="104"/>
      <c r="L6" s="104"/>
      <c r="M6" s="104"/>
      <c r="N6" s="104"/>
    </row>
    <row r="7" spans="1:14">
      <c r="A7" s="390" t="s">
        <v>994</v>
      </c>
      <c r="B7" s="633">
        <f>'BGM-3 (5) PF Adj.'!O15</f>
        <v>-4539303</v>
      </c>
      <c r="C7" s="633">
        <f>'BGM-3 (5) PF Adj.'!O16+'BGM-3 (5) PF Adj.'!O17</f>
        <v>1590015.6893272984</v>
      </c>
      <c r="D7" s="773"/>
      <c r="E7" s="773"/>
      <c r="F7" s="773"/>
      <c r="G7" s="773"/>
      <c r="H7" s="633">
        <f>'BGM-3 (5) PF Adj.'!O18+'BGM-3 (5) PF Adj.'!O19</f>
        <v>979945.97436044563</v>
      </c>
      <c r="I7" s="633">
        <f t="shared" si="0"/>
        <v>-1969341.3363122558</v>
      </c>
      <c r="J7" s="104"/>
      <c r="K7" s="104"/>
      <c r="L7" s="104"/>
      <c r="M7" s="104"/>
      <c r="N7" s="104"/>
    </row>
    <row r="8" spans="1:14">
      <c r="A8" s="390" t="s">
        <v>995</v>
      </c>
      <c r="B8" s="633">
        <f>'[40]RB&amp;ISbyFERC'!$E$9</f>
        <v>2864024.6325000003</v>
      </c>
      <c r="C8" s="633">
        <f>'[40]RB&amp;ISbyFERC'!$E$15</f>
        <v>-495916.20105393277</v>
      </c>
      <c r="D8" s="773"/>
      <c r="E8" s="773"/>
      <c r="F8" s="773"/>
      <c r="G8" s="773"/>
      <c r="H8" s="633">
        <f>'[40]RB&amp;ISbyFERC'!$E$20</f>
        <v>-1716630.2886360891</v>
      </c>
      <c r="I8" s="633">
        <f t="shared" si="0"/>
        <v>651478.14280997845</v>
      </c>
      <c r="J8" s="539"/>
      <c r="K8" s="104"/>
      <c r="L8" s="104"/>
      <c r="M8" s="104"/>
      <c r="N8" s="104"/>
    </row>
    <row r="9" spans="1:14">
      <c r="A9" s="390" t="s">
        <v>996</v>
      </c>
      <c r="B9" s="633">
        <f>+'BGM-3 (5) PF Adj.'!AS14+'BGM-3 (5) PF Adj.'!AS22</f>
        <v>-46656.627500012517</v>
      </c>
      <c r="C9" s="633">
        <f>+'BGM-3 (5) PF Adj.'!AS15+'BGM-3 (5) PF Adj.'!AS16+'BGM-3 (5) PF Adj.'!AS23+'BGM-3 (5) PF Adj.'!AS24</f>
        <v>21111912.982080221</v>
      </c>
      <c r="D9" s="773"/>
      <c r="E9" s="773"/>
      <c r="F9" s="773"/>
      <c r="G9" s="773"/>
      <c r="H9" s="633">
        <f>+'BGM-3 (5) PF Adj.'!AS17+'BGM-3 (5) PF Adj.'!AS18+'BGM-3 (5) PF Adj.'!AS25+'BGM-3 (5) PF Adj.'!AS26</f>
        <v>-2924301.9482050105</v>
      </c>
      <c r="I9" s="633">
        <f t="shared" si="0"/>
        <v>18140954.4063752</v>
      </c>
      <c r="J9" s="539"/>
      <c r="K9" s="104"/>
      <c r="L9" s="104"/>
      <c r="M9" s="104"/>
      <c r="N9" s="104"/>
    </row>
    <row r="10" spans="1:14">
      <c r="A10" s="390" t="s">
        <v>997</v>
      </c>
      <c r="B10" s="633">
        <f>+'BGM-3 (5) PF Adj.'!AX15</f>
        <v>24765516.030000001</v>
      </c>
      <c r="C10" s="633">
        <f>+'BGM-3 (5) PF Adj.'!AX16</f>
        <v>-1572187.2608600797</v>
      </c>
      <c r="D10" s="773"/>
      <c r="E10" s="773"/>
      <c r="F10" s="773"/>
      <c r="G10" s="773"/>
      <c r="H10" s="633">
        <f>+'BGM-3 (5) PF Adj.'!AX17</f>
        <v>-4188738.7602319769</v>
      </c>
      <c r="I10" s="633">
        <f t="shared" si="0"/>
        <v>19004590.008907948</v>
      </c>
      <c r="J10" s="539"/>
      <c r="K10" s="104"/>
      <c r="L10" s="104"/>
      <c r="M10" s="104"/>
      <c r="N10" s="104"/>
    </row>
    <row r="11" spans="1:14">
      <c r="A11" s="390" t="s">
        <v>998</v>
      </c>
      <c r="B11" s="633">
        <f>'BGM-3 (5) PF Adj.'!BC15+'BGM-3 (5) PF Adj.'!BC16</f>
        <v>45432.020000000004</v>
      </c>
      <c r="C11" s="773"/>
      <c r="D11" s="773"/>
      <c r="E11" s="773"/>
      <c r="F11" s="773"/>
      <c r="G11" s="773"/>
      <c r="H11" s="773"/>
      <c r="I11" s="633">
        <f t="shared" si="0"/>
        <v>45432.020000000004</v>
      </c>
      <c r="J11" s="539"/>
      <c r="K11" s="104"/>
      <c r="L11" s="104"/>
      <c r="M11" s="104"/>
      <c r="N11" s="104"/>
    </row>
    <row r="12" spans="1:14">
      <c r="A12" s="390" t="s">
        <v>999</v>
      </c>
      <c r="B12" s="633">
        <f>'BGM-3 (2) Detail '!AO58</f>
        <v>0</v>
      </c>
      <c r="C12" s="633">
        <f>'BGM-3 (2) Detail '!AO57</f>
        <v>0</v>
      </c>
      <c r="D12" s="773"/>
      <c r="E12" s="773"/>
      <c r="F12" s="773"/>
      <c r="G12" s="773"/>
      <c r="H12" s="773"/>
      <c r="I12" s="633">
        <f t="shared" si="0"/>
        <v>0</v>
      </c>
      <c r="J12" s="539"/>
      <c r="K12" s="104"/>
      <c r="L12" s="104"/>
      <c r="M12" s="104"/>
      <c r="N12" s="104"/>
    </row>
    <row r="13" spans="1:14" ht="13.5" thickBot="1">
      <c r="A13" s="414" t="s">
        <v>178</v>
      </c>
      <c r="B13" s="540">
        <f t="shared" ref="B13:I13" si="1">SUM(B5:B12)</f>
        <v>3793178351.5276504</v>
      </c>
      <c r="C13" s="540">
        <f t="shared" si="1"/>
        <v>-1615202751.772563</v>
      </c>
      <c r="D13" s="540">
        <f t="shared" si="1"/>
        <v>80139253</v>
      </c>
      <c r="E13" s="540">
        <f t="shared" si="1"/>
        <v>-9933315</v>
      </c>
      <c r="F13" s="540">
        <f t="shared" si="1"/>
        <v>281543145</v>
      </c>
      <c r="G13" s="540">
        <f t="shared" si="1"/>
        <v>-113037112</v>
      </c>
      <c r="H13" s="540">
        <f t="shared" si="1"/>
        <v>-513042623.97680533</v>
      </c>
      <c r="I13" s="540">
        <f t="shared" si="1"/>
        <v>1903644946.7782815</v>
      </c>
      <c r="J13" s="104"/>
      <c r="K13" s="104"/>
      <c r="L13" s="104"/>
      <c r="M13" s="104"/>
      <c r="N13" s="104"/>
    </row>
    <row r="14" spans="1:14" ht="13.5" thickTop="1">
      <c r="A14" s="414"/>
      <c r="B14" s="541"/>
      <c r="C14" s="104"/>
      <c r="D14" s="104"/>
      <c r="E14" s="541"/>
      <c r="F14" s="541"/>
      <c r="G14" s="541"/>
      <c r="H14" s="541"/>
      <c r="I14" s="541"/>
      <c r="J14" s="104"/>
      <c r="K14" s="104"/>
      <c r="L14" s="104"/>
      <c r="M14" s="104"/>
      <c r="N14" s="104"/>
    </row>
    <row r="15" spans="1:14">
      <c r="A15" s="542" t="s">
        <v>676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>
      <c r="A16" s="536" t="s">
        <v>565</v>
      </c>
      <c r="B16" s="541"/>
      <c r="C16" s="541"/>
      <c r="D16" s="541"/>
      <c r="E16" s="541"/>
      <c r="F16" s="541"/>
      <c r="G16" s="541"/>
      <c r="H16" s="541"/>
      <c r="I16" s="633">
        <f>+'[50]Prod RB TY Lead'!$B$10</f>
        <v>2908282.4799999148</v>
      </c>
      <c r="J16" s="104"/>
      <c r="K16" s="104"/>
      <c r="L16" s="104"/>
      <c r="M16" s="104"/>
      <c r="N16" s="104"/>
    </row>
    <row r="17" spans="1:14">
      <c r="A17" s="536" t="s">
        <v>566</v>
      </c>
      <c r="B17" s="541"/>
      <c r="C17" s="541"/>
      <c r="D17" s="541"/>
      <c r="E17" s="541"/>
      <c r="F17" s="541"/>
      <c r="G17" s="541"/>
      <c r="H17" s="541"/>
      <c r="I17" s="633">
        <f>+'[50]Prod RB TY Lead'!$B$11</f>
        <v>858922.41599999997</v>
      </c>
      <c r="J17" s="104"/>
      <c r="K17" s="104"/>
      <c r="L17" s="104"/>
      <c r="M17" s="104"/>
      <c r="N17" s="104"/>
    </row>
    <row r="18" spans="1:14">
      <c r="A18" s="536" t="s">
        <v>567</v>
      </c>
      <c r="B18" s="541"/>
      <c r="C18" s="541"/>
      <c r="D18" s="541"/>
      <c r="E18" s="541"/>
      <c r="F18" s="541"/>
      <c r="G18" s="541"/>
      <c r="H18" s="541"/>
      <c r="I18" s="633">
        <f>+'[50]Prod RB TY Lead'!$B$17</f>
        <v>48295905.063545831</v>
      </c>
      <c r="J18" s="104"/>
      <c r="K18" s="104"/>
      <c r="L18" s="104"/>
      <c r="M18" s="104"/>
      <c r="N18" s="104"/>
    </row>
    <row r="19" spans="1:14" ht="13.5" thickBot="1">
      <c r="A19" s="542" t="s">
        <v>568</v>
      </c>
      <c r="B19" s="541"/>
      <c r="C19" s="541"/>
      <c r="D19" s="541"/>
      <c r="E19" s="541"/>
      <c r="F19" s="541"/>
      <c r="G19" s="541"/>
      <c r="H19" s="541"/>
      <c r="I19" s="543">
        <f>I13+SUM(I15:I18)</f>
        <v>1955708056.7378273</v>
      </c>
      <c r="J19" s="104"/>
      <c r="K19" s="104"/>
      <c r="L19" s="104"/>
      <c r="M19" s="104"/>
      <c r="N19" s="104"/>
    </row>
    <row r="20" spans="1:14" ht="13.5" thickTop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>
      <c r="A21" s="104"/>
      <c r="B21" s="104"/>
      <c r="C21" s="104"/>
      <c r="D21" s="104"/>
      <c r="E21" s="104"/>
      <c r="F21" s="104"/>
      <c r="G21" s="104"/>
      <c r="H21" s="104"/>
      <c r="I21" s="763">
        <f>'BGM-3 (5) PF Adj.'!BK73-I19</f>
        <v>0</v>
      </c>
      <c r="J21" s="104"/>
      <c r="K21" s="104"/>
      <c r="L21" s="104"/>
      <c r="M21" s="104"/>
      <c r="N21" s="104"/>
    </row>
    <row r="22" spans="1:14">
      <c r="A22" s="735"/>
      <c r="B22" s="633"/>
      <c r="C22" s="633"/>
      <c r="D22" s="633"/>
      <c r="E22" s="633"/>
      <c r="F22" s="633"/>
      <c r="G22" s="633"/>
      <c r="H22" s="633"/>
      <c r="I22" s="104"/>
      <c r="J22" s="104"/>
      <c r="K22" s="104"/>
      <c r="L22" s="104"/>
      <c r="M22" s="104"/>
      <c r="N22" s="104"/>
    </row>
    <row r="23" spans="1:14">
      <c r="A23" s="735"/>
      <c r="B23" s="633"/>
      <c r="C23" s="633"/>
      <c r="D23" s="633"/>
      <c r="E23" s="633"/>
      <c r="F23" s="633"/>
      <c r="G23" s="633"/>
      <c r="H23" s="633"/>
      <c r="I23" s="104"/>
      <c r="J23" s="104"/>
      <c r="K23" s="104"/>
      <c r="L23" s="104"/>
      <c r="M23" s="104"/>
      <c r="N23" s="104"/>
    </row>
    <row r="24" spans="1:14">
      <c r="A24" s="618"/>
      <c r="B24" s="633"/>
      <c r="C24" s="633"/>
      <c r="D24" s="633"/>
      <c r="E24" s="633"/>
      <c r="F24" s="633"/>
      <c r="G24" s="633"/>
      <c r="H24" s="633"/>
      <c r="I24" s="104"/>
      <c r="J24" s="104"/>
      <c r="K24" s="104"/>
      <c r="L24" s="104"/>
      <c r="M24" s="104"/>
      <c r="N24" s="104"/>
    </row>
    <row r="25" spans="1:14">
      <c r="A25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</sheetData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343"/>
  <sheetViews>
    <sheetView zoomScaleNormal="100" workbookViewId="0"/>
  </sheetViews>
  <sheetFormatPr defaultColWidth="9.33203125" defaultRowHeight="15"/>
  <cols>
    <col min="1" max="1" width="6.33203125" style="369" bestFit="1" customWidth="1"/>
    <col min="2" max="2" width="68.33203125" style="369" bestFit="1" customWidth="1"/>
    <col min="3" max="3" width="5.5" style="369" bestFit="1" customWidth="1"/>
    <col min="4" max="4" width="9.6640625" style="369" bestFit="1" customWidth="1"/>
    <col min="5" max="5" width="20.1640625" style="369" customWidth="1"/>
    <col min="6" max="6" width="18" style="369" bestFit="1" customWidth="1"/>
    <col min="7" max="7" width="12.1640625" style="369" bestFit="1" customWidth="1"/>
    <col min="8" max="8" width="3.5" style="522" bestFit="1" customWidth="1"/>
    <col min="9" max="16384" width="9.33203125" style="369"/>
  </cols>
  <sheetData>
    <row r="1" spans="1:17">
      <c r="A1" s="354" t="s">
        <v>242</v>
      </c>
      <c r="B1" s="355"/>
      <c r="C1" s="355"/>
      <c r="D1" s="355"/>
      <c r="E1" s="355"/>
      <c r="F1" s="355"/>
    </row>
    <row r="2" spans="1:17">
      <c r="A2" s="354" t="s">
        <v>909</v>
      </c>
      <c r="B2" s="355"/>
      <c r="C2" s="355"/>
      <c r="D2" s="355"/>
      <c r="E2" s="355"/>
      <c r="F2" s="355"/>
    </row>
    <row r="3" spans="1:17">
      <c r="A3" s="354" t="s">
        <v>613</v>
      </c>
      <c r="B3" s="355"/>
      <c r="C3" s="355"/>
      <c r="D3" s="355"/>
      <c r="E3" s="355"/>
      <c r="F3" s="355"/>
    </row>
    <row r="4" spans="1:17">
      <c r="A4" s="354" t="s">
        <v>857</v>
      </c>
      <c r="B4" s="355"/>
      <c r="C4" s="355"/>
      <c r="D4" s="355"/>
      <c r="E4" s="355"/>
      <c r="F4" s="355"/>
    </row>
    <row r="5" spans="1:17">
      <c r="A5" s="355"/>
      <c r="B5" s="355"/>
      <c r="C5" s="355"/>
      <c r="D5" s="355"/>
      <c r="E5" s="355"/>
      <c r="F5" s="355"/>
    </row>
    <row r="6" spans="1:17">
      <c r="A6" s="518" t="s">
        <v>247</v>
      </c>
      <c r="B6" s="519"/>
      <c r="C6" s="519"/>
      <c r="D6" s="519"/>
    </row>
    <row r="7" spans="1:17">
      <c r="A7" s="518" t="s">
        <v>612</v>
      </c>
      <c r="B7" s="519" t="s">
        <v>375</v>
      </c>
      <c r="G7" s="518"/>
      <c r="H7" s="518"/>
    </row>
    <row r="8" spans="1:17">
      <c r="B8" s="369" t="s">
        <v>910</v>
      </c>
      <c r="E8" s="520">
        <f>+'PKW RY PC1'!O17</f>
        <v>23272547</v>
      </c>
      <c r="H8" s="369"/>
      <c r="I8" s="520"/>
    </row>
    <row r="9" spans="1:17">
      <c r="B9" s="369" t="s">
        <v>911</v>
      </c>
      <c r="E9" s="520">
        <f>SUM('[39]F2016 Delivered Load'!$O$54:$O$65)</f>
        <v>23272547</v>
      </c>
      <c r="H9" s="579"/>
      <c r="I9" s="520"/>
    </row>
    <row r="10" spans="1:17">
      <c r="E10" s="708">
        <f>ROUNDDOWN(+E9-E8,-1)</f>
        <v>0</v>
      </c>
      <c r="F10" s="520" t="s">
        <v>809</v>
      </c>
      <c r="H10" s="579"/>
      <c r="I10" s="520"/>
    </row>
    <row r="11" spans="1:17">
      <c r="E11" s="518" t="s">
        <v>652</v>
      </c>
      <c r="F11" s="518" t="s">
        <v>832</v>
      </c>
      <c r="H11" s="579"/>
      <c r="I11" s="520"/>
    </row>
    <row r="12" spans="1:17">
      <c r="E12" s="518" t="s">
        <v>912</v>
      </c>
      <c r="F12" s="518" t="s">
        <v>386</v>
      </c>
      <c r="H12" s="579"/>
      <c r="I12" s="520"/>
    </row>
    <row r="13" spans="1:17">
      <c r="B13" s="519" t="s">
        <v>639</v>
      </c>
      <c r="C13" s="518" t="s">
        <v>593</v>
      </c>
      <c r="D13" s="518" t="s">
        <v>598</v>
      </c>
      <c r="I13" s="520"/>
      <c r="J13" s="520"/>
      <c r="K13" s="520"/>
      <c r="L13" s="520"/>
      <c r="M13" s="520"/>
      <c r="N13" s="520"/>
      <c r="O13" s="520"/>
      <c r="P13" s="520"/>
      <c r="Q13" s="520"/>
    </row>
    <row r="14" spans="1:17">
      <c r="B14" s="369" t="s">
        <v>644</v>
      </c>
      <c r="C14" s="522" t="s">
        <v>585</v>
      </c>
      <c r="D14" s="521">
        <f>+'Power Cost Bridge to A-1'!$N$11</f>
        <v>0.96160599999999996</v>
      </c>
      <c r="E14" s="709">
        <f>+F14*D14</f>
        <v>79063626.165677711</v>
      </c>
      <c r="F14" s="709">
        <f>+'Power Cost Bridge to A-1'!K15</f>
        <v>82220396.051686153</v>
      </c>
      <c r="G14" s="520"/>
      <c r="H14" s="578"/>
      <c r="I14" s="520"/>
      <c r="J14" s="520"/>
      <c r="K14" s="520"/>
      <c r="L14" s="520"/>
      <c r="M14" s="520"/>
      <c r="N14" s="520"/>
      <c r="O14" s="520"/>
      <c r="P14" s="520"/>
      <c r="Q14" s="520"/>
    </row>
    <row r="15" spans="1:17">
      <c r="B15" s="369" t="s">
        <v>645</v>
      </c>
      <c r="C15" s="522" t="s">
        <v>585</v>
      </c>
      <c r="D15" s="521">
        <f>+'Power Cost Bridge to A-1'!$N$11</f>
        <v>0.96160599999999996</v>
      </c>
      <c r="E15" s="520">
        <f t="shared" ref="E15:E26" si="0">+F15*D15</f>
        <v>128580540.49475974</v>
      </c>
      <c r="F15" s="520">
        <f>+'Power Cost Bridge to A-1'!K16</f>
        <v>133714370.01720013</v>
      </c>
      <c r="G15" s="520"/>
      <c r="H15" s="578"/>
      <c r="I15" s="520"/>
      <c r="J15" s="520"/>
      <c r="K15" s="520"/>
      <c r="L15" s="520"/>
      <c r="M15" s="520"/>
      <c r="N15" s="520"/>
      <c r="O15" s="520"/>
      <c r="P15" s="520"/>
      <c r="Q15" s="520"/>
    </row>
    <row r="16" spans="1:17">
      <c r="B16" s="369" t="s">
        <v>646</v>
      </c>
      <c r="C16" s="522" t="s">
        <v>585</v>
      </c>
      <c r="D16" s="521">
        <f>+'Power Cost Bridge to A-1'!$N$11</f>
        <v>0.96160599999999996</v>
      </c>
      <c r="E16" s="520">
        <f t="shared" si="0"/>
        <v>433414852.98348427</v>
      </c>
      <c r="F16" s="520">
        <f>+'Power Cost Bridge to A-1'!K17</f>
        <v>450719788.54487628</v>
      </c>
      <c r="G16" s="520"/>
      <c r="H16" s="578"/>
      <c r="I16" s="520"/>
      <c r="J16" s="520"/>
      <c r="K16" s="520"/>
      <c r="L16" s="520"/>
      <c r="M16" s="520"/>
      <c r="N16" s="520"/>
      <c r="O16" s="520"/>
      <c r="P16" s="520"/>
      <c r="Q16" s="520"/>
    </row>
    <row r="17" spans="2:17">
      <c r="B17" s="369" t="s">
        <v>647</v>
      </c>
      <c r="C17" s="522" t="s">
        <v>586</v>
      </c>
      <c r="D17" s="521">
        <f>+'Power Cost Bridge to A-1'!$N$9</f>
        <v>0.97465299999999999</v>
      </c>
      <c r="E17" s="520">
        <f t="shared" si="0"/>
        <v>10880298.913143232</v>
      </c>
      <c r="F17" s="520">
        <f>+'Power Cost Bridge to A-1'!K18</f>
        <v>11163253.910000002</v>
      </c>
      <c r="G17" s="520"/>
      <c r="H17" s="578"/>
      <c r="I17" s="520"/>
      <c r="J17" s="520"/>
      <c r="K17" s="520"/>
      <c r="L17" s="520"/>
      <c r="M17" s="520"/>
      <c r="N17" s="520"/>
      <c r="O17" s="520"/>
      <c r="P17" s="520"/>
      <c r="Q17" s="520"/>
    </row>
    <row r="18" spans="2:17">
      <c r="B18" s="369" t="s">
        <v>874</v>
      </c>
      <c r="C18" s="522" t="s">
        <v>585</v>
      </c>
      <c r="D18" s="521">
        <f>+'Power Cost Bridge to A-1'!$N$11</f>
        <v>0.96160599999999996</v>
      </c>
      <c r="E18" s="520">
        <f t="shared" si="0"/>
        <v>313332.07420681993</v>
      </c>
      <c r="F18" s="520">
        <f>+'Power Cost Bridge to A-1'!K19</f>
        <v>325842.46999999997</v>
      </c>
      <c r="G18" s="520"/>
      <c r="H18" s="578"/>
      <c r="I18" s="520"/>
      <c r="J18" s="520"/>
      <c r="K18" s="520"/>
      <c r="L18" s="520"/>
      <c r="M18" s="520"/>
      <c r="N18" s="520"/>
      <c r="O18" s="520"/>
      <c r="P18" s="520"/>
      <c r="Q18" s="520"/>
    </row>
    <row r="19" spans="2:17">
      <c r="B19" s="369" t="s">
        <v>648</v>
      </c>
      <c r="C19" s="522" t="s">
        <v>585</v>
      </c>
      <c r="D19" s="521">
        <f>+'Power Cost Bridge to A-1'!$N$11</f>
        <v>0.96160599999999996</v>
      </c>
      <c r="E19" s="520">
        <f t="shared" si="0"/>
        <v>108574737.55890049</v>
      </c>
      <c r="F19" s="520">
        <f>+'Power Cost Bridge to A-1'!K20</f>
        <v>112909796.27716601</v>
      </c>
      <c r="G19" s="520"/>
      <c r="H19" s="578"/>
      <c r="I19" s="520"/>
      <c r="J19" s="520"/>
      <c r="K19" s="520"/>
      <c r="L19" s="520"/>
      <c r="M19" s="520"/>
      <c r="N19" s="520"/>
      <c r="O19" s="520"/>
      <c r="P19" s="520"/>
      <c r="Q19" s="520"/>
    </row>
    <row r="20" spans="2:17">
      <c r="B20" s="369" t="s">
        <v>649</v>
      </c>
      <c r="C20" s="522" t="s">
        <v>585</v>
      </c>
      <c r="D20" s="521">
        <f>+'Power Cost Bridge to A-1'!$N$11</f>
        <v>0.96160599999999996</v>
      </c>
      <c r="E20" s="520">
        <f t="shared" si="0"/>
        <v>-28431646.31934049</v>
      </c>
      <c r="F20" s="520">
        <f>+'Power Cost Bridge to A-1'!K21</f>
        <v>-29566835.397595782</v>
      </c>
      <c r="G20" s="520"/>
      <c r="H20" s="578"/>
      <c r="I20" s="520"/>
      <c r="J20" s="520"/>
      <c r="K20" s="520"/>
      <c r="L20" s="520"/>
      <c r="M20" s="520"/>
      <c r="N20" s="520"/>
      <c r="O20" s="520"/>
      <c r="P20" s="520"/>
      <c r="Q20" s="520"/>
    </row>
    <row r="21" spans="2:17">
      <c r="B21" s="369" t="s">
        <v>875</v>
      </c>
      <c r="C21" s="522" t="s">
        <v>585</v>
      </c>
      <c r="D21" s="521">
        <f>+'Power Cost Bridge to A-1'!$N$11</f>
        <v>0.96160599999999996</v>
      </c>
      <c r="E21" s="520">
        <f t="shared" si="0"/>
        <v>-15588634.390200933</v>
      </c>
      <c r="F21" s="520">
        <f>+'Power Cost Bridge to A-1'!K22</f>
        <v>-16211041.102281947</v>
      </c>
      <c r="G21" s="520"/>
      <c r="H21" s="578"/>
      <c r="I21" s="520"/>
      <c r="J21" s="520"/>
      <c r="K21" s="520"/>
      <c r="L21" s="520"/>
      <c r="M21" s="520"/>
      <c r="N21" s="520"/>
      <c r="O21" s="520"/>
      <c r="P21" s="520"/>
      <c r="Q21" s="520"/>
    </row>
    <row r="22" spans="2:17">
      <c r="B22" s="369" t="s">
        <v>640</v>
      </c>
      <c r="C22" s="522"/>
      <c r="D22" s="344"/>
      <c r="E22" s="710">
        <f>SUM(E14:E21)</f>
        <v>716807107.48063087</v>
      </c>
      <c r="F22" s="710">
        <f>SUM(F14:F21)</f>
        <v>745275570.77105093</v>
      </c>
      <c r="G22" s="709"/>
      <c r="H22" s="579"/>
      <c r="I22" s="520"/>
      <c r="J22" s="520"/>
      <c r="K22" s="520"/>
      <c r="L22" s="520"/>
      <c r="M22" s="520"/>
      <c r="N22" s="520"/>
      <c r="O22" s="520"/>
      <c r="P22" s="520"/>
      <c r="Q22" s="520"/>
    </row>
    <row r="23" spans="2:17">
      <c r="B23" s="369" t="s">
        <v>641</v>
      </c>
      <c r="C23" s="522" t="s">
        <v>586</v>
      </c>
      <c r="D23" s="521">
        <f>+'Power Cost Bridge to A-1'!$N$9</f>
        <v>0.97465299999999999</v>
      </c>
      <c r="E23" s="520">
        <f t="shared" si="0"/>
        <v>143291957.79381239</v>
      </c>
      <c r="F23" s="520">
        <f>+'Power Cost Bridge to A-1'!K25</f>
        <v>147018434.04146132</v>
      </c>
      <c r="G23" s="709"/>
      <c r="H23" s="579"/>
      <c r="I23" s="520"/>
      <c r="J23" s="520"/>
      <c r="K23" s="520"/>
      <c r="L23" s="520"/>
      <c r="M23" s="520"/>
      <c r="N23" s="520"/>
      <c r="O23" s="520"/>
      <c r="P23" s="520"/>
      <c r="Q23" s="520"/>
    </row>
    <row r="24" spans="2:17">
      <c r="B24" s="369" t="s">
        <v>643</v>
      </c>
      <c r="C24" s="522" t="s">
        <v>586</v>
      </c>
      <c r="D24" s="521">
        <f>+'Power Cost Bridge to A-1'!$N$9</f>
        <v>0.97465299999999999</v>
      </c>
      <c r="E24" s="520">
        <f t="shared" si="0"/>
        <v>645351.73745011003</v>
      </c>
      <c r="F24" s="520">
        <f>+'Power Cost Bridge to A-1'!K26</f>
        <v>662134.87</v>
      </c>
      <c r="G24" s="520"/>
      <c r="H24" s="578"/>
      <c r="I24" s="520"/>
      <c r="J24" s="520"/>
      <c r="K24" s="520"/>
      <c r="L24" s="520"/>
      <c r="M24" s="520"/>
      <c r="N24" s="520"/>
      <c r="O24" s="520"/>
      <c r="P24" s="520"/>
      <c r="Q24" s="520"/>
    </row>
    <row r="25" spans="2:17">
      <c r="B25" s="369" t="s">
        <v>859</v>
      </c>
      <c r="C25" s="522" t="s">
        <v>586</v>
      </c>
      <c r="D25" s="521">
        <f>+'Power Cost Bridge to A-1'!$N$9</f>
        <v>0.97465299999999999</v>
      </c>
      <c r="E25" s="520">
        <f t="shared" si="0"/>
        <v>-9692025.729682086</v>
      </c>
      <c r="F25" s="520">
        <f>+'Power Cost Bridge to A-1'!K27</f>
        <v>-9944078.2818932347</v>
      </c>
      <c r="G25" s="520"/>
      <c r="H25" s="578"/>
      <c r="I25" s="520"/>
      <c r="J25" s="520"/>
      <c r="K25" s="520"/>
      <c r="L25" s="520"/>
      <c r="M25" s="520"/>
      <c r="N25" s="520"/>
      <c r="O25" s="520"/>
      <c r="P25" s="520"/>
      <c r="Q25" s="520"/>
    </row>
    <row r="26" spans="2:17">
      <c r="B26" s="369" t="s">
        <v>876</v>
      </c>
      <c r="C26" s="522" t="s">
        <v>585</v>
      </c>
      <c r="D26" s="521">
        <f>+'Power Cost Bridge to A-1'!$N$11</f>
        <v>0.96160599999999996</v>
      </c>
      <c r="E26" s="520">
        <f t="shared" si="0"/>
        <v>4769481.1386719989</v>
      </c>
      <c r="F26" s="520">
        <f>+'Power Cost Bridge to A-1'!K28</f>
        <v>4959911.9999999991</v>
      </c>
      <c r="G26" s="520"/>
      <c r="H26" s="578"/>
      <c r="I26" s="520"/>
      <c r="J26" s="520"/>
      <c r="K26" s="520"/>
      <c r="L26" s="520"/>
      <c r="M26" s="520"/>
      <c r="N26" s="520"/>
      <c r="O26" s="520"/>
      <c r="P26" s="520"/>
      <c r="Q26" s="520"/>
    </row>
    <row r="27" spans="2:17">
      <c r="B27" s="369" t="s">
        <v>642</v>
      </c>
      <c r="C27" s="522" t="s">
        <v>586</v>
      </c>
      <c r="D27" s="521">
        <f>+'Power Cost Bridge to A-1'!$N$9</f>
        <v>0.97465299999999999</v>
      </c>
      <c r="E27" s="520">
        <f>+F27*D27</f>
        <v>-9498360.6660246905</v>
      </c>
      <c r="F27" s="520">
        <f>+'Power Cost Bridge to A-1'!L29</f>
        <v>-9745376.7300000004</v>
      </c>
      <c r="G27" s="520"/>
      <c r="H27" s="578"/>
      <c r="I27" s="520"/>
      <c r="J27" s="520"/>
      <c r="K27" s="520"/>
      <c r="L27" s="520"/>
      <c r="M27" s="520"/>
      <c r="N27" s="520"/>
      <c r="O27" s="520"/>
      <c r="P27" s="520"/>
      <c r="Q27" s="520"/>
    </row>
    <row r="28" spans="2:17">
      <c r="B28" s="369" t="s">
        <v>655</v>
      </c>
      <c r="D28" s="344"/>
      <c r="E28" s="710">
        <f>SUM(E22:E27)</f>
        <v>846323511.75485861</v>
      </c>
      <c r="F28" s="710">
        <f>SUM(F22:F27)</f>
        <v>878226596.67061901</v>
      </c>
      <c r="G28" s="520"/>
      <c r="H28" s="578"/>
      <c r="I28" s="520"/>
      <c r="J28" s="520"/>
      <c r="K28" s="520"/>
      <c r="L28" s="520"/>
      <c r="M28" s="520"/>
      <c r="N28" s="520"/>
      <c r="O28" s="520"/>
      <c r="P28" s="520"/>
      <c r="Q28" s="520"/>
    </row>
    <row r="29" spans="2:17">
      <c r="E29" s="520"/>
      <c r="F29" s="520"/>
      <c r="G29" s="520"/>
      <c r="H29" s="578"/>
      <c r="I29" s="520"/>
      <c r="J29" s="520"/>
      <c r="K29" s="520"/>
      <c r="L29" s="520"/>
      <c r="M29" s="520"/>
      <c r="N29" s="520"/>
      <c r="O29" s="520"/>
      <c r="P29" s="520"/>
      <c r="Q29" s="520"/>
    </row>
    <row r="30" spans="2:17">
      <c r="B30" s="519" t="s">
        <v>650</v>
      </c>
      <c r="E30" s="520"/>
      <c r="F30" s="520"/>
      <c r="G30" s="520"/>
      <c r="H30" s="578"/>
      <c r="I30" s="520"/>
      <c r="J30" s="520"/>
      <c r="K30" s="520"/>
      <c r="L30" s="520"/>
      <c r="M30" s="520"/>
      <c r="N30" s="520"/>
      <c r="O30" s="520"/>
      <c r="P30" s="520"/>
      <c r="Q30" s="520"/>
    </row>
    <row r="31" spans="2:17">
      <c r="B31" s="369" t="s">
        <v>654</v>
      </c>
      <c r="E31" s="709">
        <f>-'BGM-3 (5) PF Adj.'!C29</f>
        <v>816378498.62</v>
      </c>
      <c r="F31" s="520"/>
      <c r="G31" s="520"/>
      <c r="H31" s="578"/>
      <c r="I31" s="520"/>
      <c r="J31" s="520"/>
      <c r="K31" s="520"/>
      <c r="L31" s="520"/>
      <c r="M31" s="520"/>
      <c r="N31" s="520"/>
      <c r="O31" s="520"/>
      <c r="P31" s="520"/>
      <c r="Q31" s="520"/>
    </row>
    <row r="32" spans="2:17">
      <c r="B32" s="369" t="s">
        <v>340</v>
      </c>
      <c r="E32" s="520"/>
      <c r="F32" s="520"/>
      <c r="G32" s="520"/>
      <c r="H32" s="578"/>
      <c r="I32" s="520"/>
      <c r="J32" s="520"/>
      <c r="K32" s="520"/>
      <c r="L32" s="520"/>
      <c r="M32" s="520"/>
      <c r="N32" s="520"/>
      <c r="O32" s="520"/>
      <c r="P32" s="520"/>
      <c r="Q32" s="520"/>
    </row>
    <row r="33" spans="2:17">
      <c r="B33" s="369" t="s">
        <v>656</v>
      </c>
      <c r="E33" s="520">
        <f>-'BGM-3 (5) PF Adj.'!E29</f>
        <v>10672013.134858491</v>
      </c>
      <c r="F33" s="520"/>
      <c r="G33" s="520"/>
      <c r="H33" s="578"/>
      <c r="I33" s="520"/>
      <c r="J33" s="520"/>
      <c r="K33" s="520"/>
      <c r="L33" s="520"/>
      <c r="M33" s="520"/>
      <c r="N33" s="520"/>
      <c r="O33" s="520"/>
      <c r="P33" s="520"/>
      <c r="Q33" s="520"/>
    </row>
    <row r="34" spans="2:17">
      <c r="B34" s="369" t="s">
        <v>651</v>
      </c>
      <c r="F34" s="520"/>
      <c r="G34" s="520"/>
      <c r="H34" s="578"/>
      <c r="I34" s="520"/>
      <c r="J34" s="520"/>
      <c r="K34" s="520"/>
      <c r="L34" s="520"/>
      <c r="M34" s="520"/>
      <c r="N34" s="520"/>
      <c r="O34" s="520"/>
      <c r="P34" s="520"/>
      <c r="Q34" s="520"/>
    </row>
    <row r="35" spans="2:17">
      <c r="B35" s="369" t="s">
        <v>653</v>
      </c>
      <c r="E35" s="710">
        <f>+E33+E31</f>
        <v>827050511.75485849</v>
      </c>
      <c r="F35" s="520"/>
      <c r="G35" s="520"/>
      <c r="H35" s="578"/>
      <c r="I35" s="520"/>
      <c r="J35" s="520"/>
      <c r="K35" s="520"/>
      <c r="L35" s="520"/>
      <c r="M35" s="520"/>
      <c r="N35" s="520"/>
      <c r="O35" s="520"/>
      <c r="P35" s="520"/>
      <c r="Q35" s="520"/>
    </row>
    <row r="36" spans="2:17">
      <c r="E36" s="579">
        <f>+E35-E28</f>
        <v>-19273000.000000119</v>
      </c>
      <c r="F36" s="520" t="s">
        <v>809</v>
      </c>
      <c r="G36" s="520"/>
      <c r="H36" s="578"/>
      <c r="I36" s="520"/>
      <c r="J36" s="520"/>
      <c r="K36" s="520"/>
      <c r="L36" s="520"/>
      <c r="M36" s="520"/>
      <c r="N36" s="520"/>
      <c r="O36" s="520"/>
      <c r="P36" s="520"/>
      <c r="Q36" s="520"/>
    </row>
    <row r="37" spans="2:17">
      <c r="E37" s="520"/>
      <c r="F37" s="520"/>
      <c r="G37" s="520"/>
      <c r="H37" s="578"/>
      <c r="I37" s="520"/>
      <c r="J37" s="520"/>
      <c r="K37" s="520"/>
      <c r="L37" s="520"/>
      <c r="M37" s="520"/>
      <c r="N37" s="520"/>
      <c r="O37" s="520"/>
      <c r="P37" s="520"/>
      <c r="Q37" s="520"/>
    </row>
    <row r="38" spans="2:17">
      <c r="E38" s="520"/>
      <c r="F38" s="520"/>
      <c r="G38" s="520"/>
      <c r="H38" s="578"/>
      <c r="I38" s="520"/>
      <c r="J38" s="520"/>
      <c r="K38" s="520"/>
      <c r="L38" s="520"/>
      <c r="M38" s="520"/>
      <c r="N38" s="520"/>
      <c r="O38" s="520"/>
      <c r="P38" s="520"/>
      <c r="Q38" s="520"/>
    </row>
    <row r="39" spans="2:17">
      <c r="E39" s="520"/>
      <c r="F39" s="520"/>
      <c r="G39" s="520"/>
      <c r="H39" s="578"/>
      <c r="I39" s="520"/>
      <c r="J39" s="520"/>
      <c r="K39" s="520"/>
      <c r="L39" s="520"/>
      <c r="M39" s="520"/>
      <c r="N39" s="520"/>
      <c r="O39" s="520"/>
      <c r="P39" s="520"/>
      <c r="Q39" s="520"/>
    </row>
    <row r="40" spans="2:17">
      <c r="E40" s="520"/>
      <c r="F40" s="520"/>
      <c r="G40" s="520"/>
      <c r="H40" s="578"/>
      <c r="I40" s="520"/>
      <c r="J40" s="520"/>
      <c r="K40" s="520"/>
      <c r="L40" s="520"/>
      <c r="M40" s="520"/>
      <c r="N40" s="520"/>
      <c r="O40" s="520"/>
      <c r="P40" s="520"/>
      <c r="Q40" s="520"/>
    </row>
    <row r="41" spans="2:17">
      <c r="E41" s="520"/>
      <c r="F41" s="520"/>
      <c r="G41" s="520"/>
      <c r="H41" s="578"/>
      <c r="I41" s="520"/>
      <c r="J41" s="520"/>
      <c r="K41" s="520"/>
      <c r="L41" s="520"/>
      <c r="M41" s="520"/>
      <c r="N41" s="520"/>
      <c r="O41" s="520"/>
      <c r="P41" s="520"/>
      <c r="Q41" s="520"/>
    </row>
    <row r="42" spans="2:17">
      <c r="E42" s="520"/>
      <c r="F42" s="520"/>
      <c r="G42" s="520"/>
      <c r="H42" s="578"/>
      <c r="I42" s="520"/>
      <c r="J42" s="520"/>
      <c r="K42" s="520"/>
      <c r="L42" s="520"/>
      <c r="M42" s="520"/>
      <c r="N42" s="520"/>
      <c r="O42" s="520"/>
      <c r="P42" s="520"/>
      <c r="Q42" s="520"/>
    </row>
    <row r="43" spans="2:17">
      <c r="E43" s="520"/>
      <c r="F43" s="520"/>
      <c r="G43" s="520"/>
      <c r="H43" s="578"/>
      <c r="I43" s="520"/>
      <c r="J43" s="520"/>
      <c r="K43" s="520"/>
      <c r="L43" s="520"/>
      <c r="M43" s="520"/>
      <c r="N43" s="520"/>
      <c r="O43" s="520"/>
      <c r="P43" s="520"/>
      <c r="Q43" s="520"/>
    </row>
    <row r="44" spans="2:17">
      <c r="E44" s="520"/>
      <c r="F44" s="520"/>
      <c r="G44" s="520"/>
      <c r="H44" s="578"/>
      <c r="I44" s="520"/>
      <c r="J44" s="520"/>
      <c r="K44" s="520"/>
      <c r="L44" s="520"/>
      <c r="M44" s="520"/>
      <c r="N44" s="520"/>
      <c r="O44" s="520"/>
      <c r="P44" s="520"/>
      <c r="Q44" s="520"/>
    </row>
    <row r="45" spans="2:17">
      <c r="E45" s="520"/>
      <c r="F45" s="520"/>
      <c r="G45" s="520"/>
      <c r="H45" s="578"/>
      <c r="I45" s="520"/>
      <c r="J45" s="520"/>
      <c r="K45" s="520"/>
      <c r="L45" s="520"/>
      <c r="M45" s="520"/>
      <c r="N45" s="520"/>
      <c r="O45" s="520"/>
      <c r="P45" s="520"/>
      <c r="Q45" s="520"/>
    </row>
    <row r="46" spans="2:17">
      <c r="E46" s="520"/>
      <c r="F46" s="520"/>
      <c r="G46" s="520"/>
      <c r="H46" s="578"/>
      <c r="I46" s="520"/>
      <c r="J46" s="520"/>
      <c r="K46" s="520"/>
      <c r="L46" s="520"/>
      <c r="M46" s="520"/>
      <c r="N46" s="520"/>
      <c r="O46" s="520"/>
      <c r="P46" s="520"/>
      <c r="Q46" s="520"/>
    </row>
    <row r="47" spans="2:17">
      <c r="E47" s="520"/>
      <c r="F47" s="520"/>
      <c r="G47" s="520"/>
      <c r="H47" s="578"/>
      <c r="I47" s="520"/>
      <c r="J47" s="520"/>
      <c r="K47" s="520"/>
      <c r="L47" s="520"/>
      <c r="M47" s="520"/>
      <c r="N47" s="520"/>
      <c r="O47" s="520"/>
      <c r="P47" s="520"/>
      <c r="Q47" s="520"/>
    </row>
    <row r="48" spans="2:17">
      <c r="E48" s="520"/>
      <c r="F48" s="520"/>
      <c r="G48" s="520"/>
      <c r="H48" s="578"/>
      <c r="I48" s="520"/>
      <c r="J48" s="520"/>
      <c r="K48" s="520"/>
      <c r="L48" s="520"/>
      <c r="M48" s="520"/>
      <c r="N48" s="520"/>
      <c r="O48" s="520"/>
      <c r="P48" s="520"/>
      <c r="Q48" s="520"/>
    </row>
    <row r="49" spans="5:17">
      <c r="E49" s="520"/>
      <c r="F49" s="520"/>
      <c r="G49" s="520"/>
      <c r="H49" s="578"/>
      <c r="I49" s="520"/>
      <c r="J49" s="520"/>
      <c r="K49" s="520"/>
      <c r="L49" s="520"/>
      <c r="M49" s="520"/>
      <c r="N49" s="520"/>
      <c r="O49" s="520"/>
      <c r="P49" s="520"/>
      <c r="Q49" s="520"/>
    </row>
    <row r="50" spans="5:17">
      <c r="E50" s="520"/>
      <c r="F50" s="520"/>
      <c r="G50" s="520"/>
      <c r="H50" s="578"/>
      <c r="I50" s="520"/>
      <c r="J50" s="520"/>
      <c r="K50" s="520"/>
      <c r="L50" s="520"/>
      <c r="M50" s="520"/>
      <c r="N50" s="520"/>
      <c r="O50" s="520"/>
      <c r="P50" s="520"/>
      <c r="Q50" s="520"/>
    </row>
    <row r="51" spans="5:17">
      <c r="E51" s="520"/>
      <c r="F51" s="520"/>
      <c r="G51" s="520"/>
      <c r="H51" s="578"/>
      <c r="I51" s="520"/>
      <c r="J51" s="520"/>
      <c r="K51" s="520"/>
      <c r="L51" s="520"/>
      <c r="M51" s="520"/>
      <c r="N51" s="520"/>
      <c r="O51" s="520"/>
      <c r="P51" s="520"/>
      <c r="Q51" s="520"/>
    </row>
    <row r="52" spans="5:17">
      <c r="E52" s="520"/>
      <c r="F52" s="520"/>
      <c r="G52" s="520"/>
      <c r="H52" s="578"/>
      <c r="I52" s="520"/>
      <c r="J52" s="520"/>
      <c r="K52" s="520"/>
      <c r="L52" s="520"/>
      <c r="M52" s="520"/>
      <c r="N52" s="520"/>
      <c r="O52" s="520"/>
      <c r="P52" s="520"/>
      <c r="Q52" s="520"/>
    </row>
    <row r="53" spans="5:17">
      <c r="E53" s="520"/>
      <c r="F53" s="520"/>
      <c r="G53" s="520"/>
      <c r="H53" s="578"/>
      <c r="I53" s="520"/>
      <c r="J53" s="520"/>
      <c r="K53" s="520"/>
      <c r="L53" s="520"/>
      <c r="M53" s="520"/>
      <c r="N53" s="520"/>
      <c r="O53" s="520"/>
      <c r="P53" s="520"/>
      <c r="Q53" s="520"/>
    </row>
    <row r="54" spans="5:17">
      <c r="E54" s="520"/>
      <c r="F54" s="520"/>
      <c r="G54" s="520"/>
      <c r="H54" s="578"/>
      <c r="I54" s="520"/>
      <c r="J54" s="520"/>
      <c r="K54" s="520"/>
      <c r="L54" s="520"/>
      <c r="M54" s="520"/>
      <c r="N54" s="520"/>
      <c r="O54" s="520"/>
      <c r="P54" s="520"/>
      <c r="Q54" s="520"/>
    </row>
    <row r="55" spans="5:17">
      <c r="E55" s="520"/>
      <c r="F55" s="520"/>
      <c r="G55" s="520"/>
      <c r="H55" s="578"/>
      <c r="I55" s="520"/>
      <c r="J55" s="520"/>
      <c r="K55" s="520"/>
      <c r="L55" s="520"/>
      <c r="M55" s="520"/>
      <c r="N55" s="520"/>
      <c r="O55" s="520"/>
      <c r="P55" s="520"/>
      <c r="Q55" s="520"/>
    </row>
    <row r="56" spans="5:17">
      <c r="E56" s="520"/>
      <c r="F56" s="520"/>
      <c r="G56" s="520"/>
      <c r="H56" s="578"/>
      <c r="I56" s="520"/>
      <c r="J56" s="520"/>
      <c r="K56" s="520"/>
      <c r="L56" s="520"/>
      <c r="M56" s="520"/>
      <c r="N56" s="520"/>
      <c r="O56" s="520"/>
      <c r="P56" s="520"/>
      <c r="Q56" s="520"/>
    </row>
    <row r="57" spans="5:17">
      <c r="E57" s="520"/>
      <c r="F57" s="520"/>
      <c r="G57" s="520"/>
      <c r="H57" s="578"/>
      <c r="I57" s="520"/>
      <c r="J57" s="520"/>
      <c r="K57" s="520"/>
      <c r="L57" s="520"/>
      <c r="M57" s="520"/>
      <c r="N57" s="520"/>
      <c r="O57" s="520"/>
      <c r="P57" s="520"/>
      <c r="Q57" s="520"/>
    </row>
    <row r="58" spans="5:17">
      <c r="E58" s="520"/>
      <c r="F58" s="520"/>
      <c r="G58" s="520"/>
      <c r="H58" s="578"/>
      <c r="I58" s="520"/>
      <c r="J58" s="520"/>
      <c r="K58" s="520"/>
      <c r="L58" s="520"/>
      <c r="M58" s="520"/>
      <c r="N58" s="520"/>
      <c r="O58" s="520"/>
      <c r="P58" s="520"/>
      <c r="Q58" s="520"/>
    </row>
    <row r="59" spans="5:17">
      <c r="E59" s="520"/>
      <c r="F59" s="520"/>
      <c r="G59" s="520"/>
      <c r="H59" s="578"/>
      <c r="I59" s="520"/>
      <c r="J59" s="520"/>
      <c r="K59" s="520"/>
      <c r="L59" s="520"/>
      <c r="M59" s="520"/>
      <c r="N59" s="520"/>
      <c r="O59" s="520"/>
      <c r="P59" s="520"/>
      <c r="Q59" s="520"/>
    </row>
    <row r="60" spans="5:17">
      <c r="E60" s="520"/>
      <c r="F60" s="520"/>
      <c r="G60" s="520"/>
      <c r="H60" s="578"/>
      <c r="I60" s="520"/>
      <c r="J60" s="520"/>
      <c r="K60" s="520"/>
      <c r="L60" s="520"/>
      <c r="M60" s="520"/>
      <c r="N60" s="520"/>
      <c r="O60" s="520"/>
      <c r="P60" s="520"/>
      <c r="Q60" s="520"/>
    </row>
    <row r="61" spans="5:17">
      <c r="E61" s="520"/>
      <c r="F61" s="520"/>
      <c r="G61" s="520"/>
      <c r="H61" s="578"/>
      <c r="I61" s="520"/>
      <c r="J61" s="520"/>
      <c r="K61" s="520"/>
      <c r="L61" s="520"/>
      <c r="M61" s="520"/>
      <c r="N61" s="520"/>
      <c r="O61" s="520"/>
      <c r="P61" s="520"/>
      <c r="Q61" s="520"/>
    </row>
    <row r="62" spans="5:17">
      <c r="E62" s="520"/>
      <c r="F62" s="520"/>
      <c r="G62" s="520"/>
      <c r="H62" s="578"/>
      <c r="I62" s="520"/>
      <c r="J62" s="520"/>
      <c r="K62" s="520"/>
      <c r="L62" s="520"/>
      <c r="M62" s="520"/>
      <c r="N62" s="520"/>
      <c r="O62" s="520"/>
      <c r="P62" s="520"/>
      <c r="Q62" s="520"/>
    </row>
    <row r="63" spans="5:17">
      <c r="E63" s="520"/>
      <c r="F63" s="520"/>
      <c r="G63" s="520"/>
      <c r="H63" s="578"/>
      <c r="I63" s="520"/>
      <c r="J63" s="520"/>
      <c r="K63" s="520"/>
      <c r="L63" s="520"/>
      <c r="M63" s="520"/>
      <c r="N63" s="520"/>
      <c r="O63" s="520"/>
      <c r="P63" s="520"/>
      <c r="Q63" s="520"/>
    </row>
    <row r="64" spans="5:17">
      <c r="E64" s="520"/>
      <c r="F64" s="520"/>
      <c r="G64" s="520"/>
      <c r="H64" s="578"/>
      <c r="I64" s="520"/>
      <c r="J64" s="520"/>
      <c r="K64" s="520"/>
      <c r="L64" s="520"/>
      <c r="M64" s="520"/>
      <c r="N64" s="520"/>
      <c r="O64" s="520"/>
      <c r="P64" s="520"/>
      <c r="Q64" s="520"/>
    </row>
    <row r="65" spans="5:17">
      <c r="E65" s="520"/>
      <c r="F65" s="520"/>
      <c r="G65" s="520"/>
      <c r="H65" s="578"/>
      <c r="I65" s="520"/>
      <c r="J65" s="520"/>
      <c r="K65" s="520"/>
      <c r="L65" s="520"/>
      <c r="M65" s="520"/>
      <c r="N65" s="520"/>
      <c r="O65" s="520"/>
      <c r="P65" s="520"/>
      <c r="Q65" s="520"/>
    </row>
    <row r="66" spans="5:17">
      <c r="E66" s="520"/>
      <c r="F66" s="520"/>
      <c r="G66" s="520"/>
      <c r="H66" s="578"/>
      <c r="I66" s="520"/>
      <c r="J66" s="520"/>
      <c r="K66" s="520"/>
      <c r="L66" s="520"/>
      <c r="M66" s="520"/>
      <c r="N66" s="520"/>
      <c r="O66" s="520"/>
      <c r="P66" s="520"/>
      <c r="Q66" s="520"/>
    </row>
    <row r="67" spans="5:17">
      <c r="E67" s="520"/>
      <c r="F67" s="520"/>
      <c r="G67" s="520"/>
      <c r="H67" s="578"/>
      <c r="I67" s="520"/>
      <c r="J67" s="520"/>
      <c r="K67" s="520"/>
      <c r="L67" s="520"/>
      <c r="M67" s="520"/>
      <c r="N67" s="520"/>
      <c r="O67" s="520"/>
      <c r="P67" s="520"/>
      <c r="Q67" s="520"/>
    </row>
    <row r="68" spans="5:17">
      <c r="E68" s="520"/>
      <c r="F68" s="520"/>
      <c r="G68" s="520"/>
      <c r="H68" s="578"/>
      <c r="I68" s="520"/>
      <c r="J68" s="520"/>
      <c r="K68" s="520"/>
      <c r="L68" s="520"/>
      <c r="M68" s="520"/>
      <c r="N68" s="520"/>
      <c r="O68" s="520"/>
      <c r="P68" s="520"/>
      <c r="Q68" s="520"/>
    </row>
    <row r="69" spans="5:17">
      <c r="E69" s="520"/>
      <c r="F69" s="520"/>
      <c r="G69" s="520"/>
      <c r="H69" s="578"/>
      <c r="I69" s="520"/>
      <c r="J69" s="520"/>
      <c r="K69" s="520"/>
      <c r="L69" s="520"/>
      <c r="M69" s="520"/>
      <c r="N69" s="520"/>
      <c r="O69" s="520"/>
      <c r="P69" s="520"/>
      <c r="Q69" s="520"/>
    </row>
    <row r="70" spans="5:17">
      <c r="E70" s="520"/>
      <c r="F70" s="520"/>
      <c r="G70" s="520"/>
      <c r="H70" s="578"/>
      <c r="I70" s="520"/>
      <c r="J70" s="520"/>
      <c r="K70" s="520"/>
      <c r="L70" s="520"/>
      <c r="M70" s="520"/>
      <c r="N70" s="520"/>
      <c r="O70" s="520"/>
      <c r="P70" s="520"/>
      <c r="Q70" s="520"/>
    </row>
    <row r="71" spans="5:17">
      <c r="E71" s="520"/>
      <c r="F71" s="520"/>
      <c r="G71" s="520"/>
      <c r="H71" s="578"/>
      <c r="I71" s="520"/>
      <c r="J71" s="520"/>
      <c r="K71" s="520"/>
      <c r="L71" s="520"/>
      <c r="M71" s="520"/>
      <c r="N71" s="520"/>
      <c r="O71" s="520"/>
      <c r="P71" s="520"/>
      <c r="Q71" s="520"/>
    </row>
    <row r="72" spans="5:17">
      <c r="E72" s="520"/>
      <c r="F72" s="520"/>
      <c r="G72" s="520"/>
      <c r="H72" s="578"/>
      <c r="I72" s="520"/>
      <c r="J72" s="520"/>
      <c r="K72" s="520"/>
      <c r="L72" s="520"/>
      <c r="M72" s="520"/>
      <c r="N72" s="520"/>
      <c r="O72" s="520"/>
      <c r="P72" s="520"/>
      <c r="Q72" s="520"/>
    </row>
    <row r="73" spans="5:17">
      <c r="E73" s="520"/>
      <c r="F73" s="520"/>
      <c r="G73" s="520"/>
      <c r="H73" s="578"/>
      <c r="I73" s="520"/>
      <c r="J73" s="520"/>
      <c r="K73" s="520"/>
      <c r="L73" s="520"/>
      <c r="M73" s="520"/>
      <c r="N73" s="520"/>
      <c r="O73" s="520"/>
      <c r="P73" s="520"/>
      <c r="Q73" s="520"/>
    </row>
    <row r="74" spans="5:17">
      <c r="E74" s="520"/>
      <c r="F74" s="520"/>
      <c r="G74" s="520"/>
      <c r="H74" s="578"/>
      <c r="I74" s="520"/>
      <c r="J74" s="520"/>
      <c r="K74" s="520"/>
      <c r="L74" s="520"/>
      <c r="M74" s="520"/>
      <c r="N74" s="520"/>
      <c r="O74" s="520"/>
      <c r="P74" s="520"/>
      <c r="Q74" s="520"/>
    </row>
    <row r="75" spans="5:17">
      <c r="E75" s="520"/>
      <c r="F75" s="520"/>
      <c r="G75" s="520"/>
      <c r="H75" s="578"/>
      <c r="I75" s="520"/>
      <c r="J75" s="520"/>
      <c r="K75" s="520"/>
      <c r="L75" s="520"/>
      <c r="M75" s="520"/>
      <c r="N75" s="520"/>
      <c r="O75" s="520"/>
      <c r="P75" s="520"/>
      <c r="Q75" s="520"/>
    </row>
    <row r="76" spans="5:17">
      <c r="E76" s="520"/>
      <c r="F76" s="520"/>
      <c r="G76" s="520"/>
      <c r="H76" s="578"/>
      <c r="I76" s="520"/>
      <c r="J76" s="520"/>
      <c r="K76" s="520"/>
      <c r="L76" s="520"/>
      <c r="M76" s="520"/>
      <c r="N76" s="520"/>
      <c r="O76" s="520"/>
      <c r="P76" s="520"/>
      <c r="Q76" s="520"/>
    </row>
    <row r="77" spans="5:17">
      <c r="E77" s="520"/>
      <c r="F77" s="520"/>
      <c r="G77" s="520"/>
      <c r="H77" s="578"/>
      <c r="I77" s="520"/>
      <c r="J77" s="520"/>
      <c r="K77" s="520"/>
      <c r="L77" s="520"/>
      <c r="M77" s="520"/>
      <c r="N77" s="520"/>
      <c r="O77" s="520"/>
      <c r="P77" s="520"/>
      <c r="Q77" s="520"/>
    </row>
    <row r="78" spans="5:17">
      <c r="E78" s="520"/>
      <c r="F78" s="520"/>
      <c r="G78" s="520"/>
      <c r="H78" s="578"/>
      <c r="I78" s="520"/>
      <c r="J78" s="520"/>
      <c r="K78" s="520"/>
      <c r="L78" s="520"/>
      <c r="M78" s="520"/>
      <c r="N78" s="520"/>
      <c r="O78" s="520"/>
      <c r="P78" s="520"/>
      <c r="Q78" s="520"/>
    </row>
    <row r="79" spans="5:17">
      <c r="E79" s="520"/>
      <c r="F79" s="520"/>
      <c r="G79" s="520"/>
      <c r="H79" s="578"/>
      <c r="I79" s="520"/>
      <c r="J79" s="520"/>
      <c r="K79" s="520"/>
      <c r="L79" s="520"/>
      <c r="M79" s="520"/>
      <c r="N79" s="520"/>
      <c r="O79" s="520"/>
      <c r="P79" s="520"/>
      <c r="Q79" s="520"/>
    </row>
    <row r="80" spans="5:17">
      <c r="E80" s="520"/>
      <c r="F80" s="520"/>
      <c r="G80" s="520"/>
      <c r="H80" s="578"/>
      <c r="I80" s="520"/>
      <c r="J80" s="520"/>
      <c r="K80" s="520"/>
      <c r="L80" s="520"/>
      <c r="M80" s="520"/>
      <c r="N80" s="520"/>
      <c r="O80" s="520"/>
      <c r="P80" s="520"/>
      <c r="Q80" s="520"/>
    </row>
    <row r="81" spans="5:17">
      <c r="E81" s="520"/>
      <c r="F81" s="520"/>
      <c r="G81" s="520"/>
      <c r="H81" s="578"/>
      <c r="I81" s="520"/>
      <c r="J81" s="520"/>
      <c r="K81" s="520"/>
      <c r="L81" s="520"/>
      <c r="M81" s="520"/>
      <c r="N81" s="520"/>
      <c r="O81" s="520"/>
      <c r="P81" s="520"/>
      <c r="Q81" s="520"/>
    </row>
    <row r="82" spans="5:17">
      <c r="E82" s="520"/>
      <c r="F82" s="520"/>
      <c r="G82" s="520"/>
      <c r="H82" s="578"/>
      <c r="I82" s="520"/>
      <c r="J82" s="520"/>
      <c r="K82" s="520"/>
      <c r="L82" s="520"/>
      <c r="M82" s="520"/>
      <c r="N82" s="520"/>
      <c r="O82" s="520"/>
      <c r="P82" s="520"/>
      <c r="Q82" s="520"/>
    </row>
    <row r="83" spans="5:17">
      <c r="E83" s="520"/>
      <c r="F83" s="520"/>
      <c r="G83" s="520"/>
      <c r="H83" s="578"/>
      <c r="I83" s="520"/>
      <c r="J83" s="520"/>
      <c r="K83" s="520"/>
      <c r="L83" s="520"/>
      <c r="M83" s="520"/>
      <c r="N83" s="520"/>
      <c r="O83" s="520"/>
      <c r="P83" s="520"/>
      <c r="Q83" s="520"/>
    </row>
    <row r="84" spans="5:17">
      <c r="E84" s="520"/>
      <c r="F84" s="520"/>
      <c r="G84" s="520"/>
      <c r="H84" s="578"/>
      <c r="I84" s="520"/>
      <c r="J84" s="520"/>
      <c r="K84" s="520"/>
      <c r="L84" s="520"/>
      <c r="M84" s="520"/>
      <c r="N84" s="520"/>
      <c r="O84" s="520"/>
      <c r="P84" s="520"/>
      <c r="Q84" s="520"/>
    </row>
    <row r="85" spans="5:17">
      <c r="E85" s="520"/>
      <c r="F85" s="520"/>
      <c r="G85" s="520"/>
      <c r="H85" s="578"/>
      <c r="I85" s="520"/>
      <c r="J85" s="520"/>
      <c r="K85" s="520"/>
      <c r="L85" s="520"/>
      <c r="M85" s="520"/>
      <c r="N85" s="520"/>
      <c r="O85" s="520"/>
      <c r="P85" s="520"/>
      <c r="Q85" s="520"/>
    </row>
    <row r="86" spans="5:17">
      <c r="E86" s="520"/>
      <c r="F86" s="520"/>
      <c r="G86" s="520"/>
      <c r="H86" s="578"/>
      <c r="I86" s="520"/>
      <c r="J86" s="520"/>
      <c r="K86" s="520"/>
      <c r="L86" s="520"/>
      <c r="M86" s="520"/>
      <c r="N86" s="520"/>
      <c r="O86" s="520"/>
      <c r="P86" s="520"/>
      <c r="Q86" s="520"/>
    </row>
    <row r="87" spans="5:17">
      <c r="E87" s="520"/>
      <c r="F87" s="520"/>
      <c r="G87" s="520"/>
      <c r="H87" s="578"/>
      <c r="I87" s="520"/>
      <c r="J87" s="520"/>
      <c r="K87" s="520"/>
      <c r="L87" s="520"/>
      <c r="M87" s="520"/>
      <c r="N87" s="520"/>
      <c r="O87" s="520"/>
      <c r="P87" s="520"/>
      <c r="Q87" s="520"/>
    </row>
    <row r="88" spans="5:17">
      <c r="E88" s="520"/>
      <c r="F88" s="520"/>
      <c r="G88" s="520"/>
      <c r="H88" s="578"/>
      <c r="I88" s="520"/>
      <c r="J88" s="520"/>
      <c r="K88" s="520"/>
      <c r="L88" s="520"/>
      <c r="M88" s="520"/>
      <c r="N88" s="520"/>
      <c r="O88" s="520"/>
      <c r="P88" s="520"/>
      <c r="Q88" s="520"/>
    </row>
    <row r="89" spans="5:17">
      <c r="E89" s="520"/>
      <c r="F89" s="520"/>
      <c r="G89" s="520"/>
      <c r="H89" s="578"/>
      <c r="I89" s="520"/>
      <c r="J89" s="520"/>
      <c r="K89" s="520"/>
      <c r="L89" s="520"/>
      <c r="M89" s="520"/>
      <c r="N89" s="520"/>
      <c r="O89" s="520"/>
      <c r="P89" s="520"/>
      <c r="Q89" s="520"/>
    </row>
    <row r="90" spans="5:17">
      <c r="E90" s="520"/>
      <c r="F90" s="520"/>
      <c r="G90" s="520"/>
      <c r="H90" s="578"/>
      <c r="I90" s="520"/>
      <c r="J90" s="520"/>
      <c r="K90" s="520"/>
      <c r="L90" s="520"/>
      <c r="M90" s="520"/>
      <c r="N90" s="520"/>
      <c r="O90" s="520"/>
      <c r="P90" s="520"/>
      <c r="Q90" s="520"/>
    </row>
    <row r="91" spans="5:17">
      <c r="E91" s="520"/>
      <c r="F91" s="520"/>
      <c r="G91" s="520"/>
      <c r="H91" s="578"/>
      <c r="I91" s="520"/>
      <c r="J91" s="520"/>
      <c r="K91" s="520"/>
      <c r="L91" s="520"/>
      <c r="M91" s="520"/>
      <c r="N91" s="520"/>
      <c r="O91" s="520"/>
      <c r="P91" s="520"/>
      <c r="Q91" s="520"/>
    </row>
    <row r="92" spans="5:17">
      <c r="E92" s="520"/>
      <c r="F92" s="520"/>
      <c r="G92" s="520"/>
      <c r="H92" s="578"/>
      <c r="I92" s="520"/>
      <c r="J92" s="520"/>
      <c r="K92" s="520"/>
      <c r="L92" s="520"/>
      <c r="M92" s="520"/>
      <c r="N92" s="520"/>
      <c r="O92" s="520"/>
      <c r="P92" s="520"/>
      <c r="Q92" s="520"/>
    </row>
    <row r="93" spans="5:17">
      <c r="E93" s="520"/>
      <c r="F93" s="520"/>
      <c r="G93" s="520"/>
      <c r="H93" s="578"/>
      <c r="I93" s="520"/>
      <c r="J93" s="520"/>
      <c r="K93" s="520"/>
      <c r="L93" s="520"/>
      <c r="M93" s="520"/>
      <c r="N93" s="520"/>
      <c r="O93" s="520"/>
      <c r="P93" s="520"/>
      <c r="Q93" s="520"/>
    </row>
    <row r="94" spans="5:17">
      <c r="E94" s="520"/>
      <c r="F94" s="520"/>
      <c r="G94" s="520"/>
      <c r="H94" s="578"/>
      <c r="I94" s="520"/>
      <c r="J94" s="520"/>
      <c r="K94" s="520"/>
      <c r="L94" s="520"/>
      <c r="M94" s="520"/>
      <c r="N94" s="520"/>
      <c r="O94" s="520"/>
      <c r="P94" s="520"/>
      <c r="Q94" s="520"/>
    </row>
    <row r="95" spans="5:17">
      <c r="E95" s="520"/>
      <c r="F95" s="520"/>
      <c r="G95" s="520"/>
      <c r="H95" s="578"/>
      <c r="I95" s="520"/>
      <c r="J95" s="520"/>
      <c r="K95" s="520"/>
      <c r="L95" s="520"/>
      <c r="M95" s="520"/>
      <c r="N95" s="520"/>
      <c r="O95" s="520"/>
      <c r="P95" s="520"/>
      <c r="Q95" s="520"/>
    </row>
    <row r="96" spans="5:17">
      <c r="E96" s="520"/>
      <c r="F96" s="520"/>
      <c r="G96" s="520"/>
      <c r="H96" s="578"/>
      <c r="I96" s="520"/>
      <c r="J96" s="520"/>
      <c r="K96" s="520"/>
      <c r="L96" s="520"/>
      <c r="M96" s="520"/>
      <c r="N96" s="520"/>
      <c r="O96" s="520"/>
      <c r="P96" s="520"/>
      <c r="Q96" s="520"/>
    </row>
    <row r="97" spans="5:17">
      <c r="E97" s="520"/>
      <c r="F97" s="520"/>
      <c r="G97" s="520"/>
      <c r="H97" s="578"/>
      <c r="I97" s="520"/>
      <c r="J97" s="520"/>
      <c r="K97" s="520"/>
      <c r="L97" s="520"/>
      <c r="M97" s="520"/>
      <c r="N97" s="520"/>
      <c r="O97" s="520"/>
      <c r="P97" s="520"/>
      <c r="Q97" s="520"/>
    </row>
    <row r="98" spans="5:17">
      <c r="E98" s="520"/>
      <c r="F98" s="520"/>
      <c r="G98" s="520"/>
      <c r="H98" s="578"/>
      <c r="I98" s="520"/>
      <c r="J98" s="520"/>
      <c r="K98" s="520"/>
      <c r="L98" s="520"/>
      <c r="M98" s="520"/>
      <c r="N98" s="520"/>
      <c r="O98" s="520"/>
      <c r="P98" s="520"/>
      <c r="Q98" s="520"/>
    </row>
    <row r="99" spans="5:17">
      <c r="E99" s="520"/>
      <c r="F99" s="520"/>
      <c r="G99" s="520"/>
      <c r="H99" s="578"/>
      <c r="I99" s="520"/>
      <c r="J99" s="520"/>
      <c r="K99" s="520"/>
      <c r="L99" s="520"/>
      <c r="M99" s="520"/>
      <c r="N99" s="520"/>
      <c r="O99" s="520"/>
      <c r="P99" s="520"/>
      <c r="Q99" s="520"/>
    </row>
    <row r="100" spans="5:17">
      <c r="E100" s="520"/>
      <c r="F100" s="520"/>
      <c r="G100" s="520"/>
      <c r="H100" s="578"/>
      <c r="I100" s="520"/>
      <c r="J100" s="520"/>
      <c r="K100" s="520"/>
      <c r="L100" s="520"/>
      <c r="M100" s="520"/>
      <c r="N100" s="520"/>
      <c r="O100" s="520"/>
      <c r="P100" s="520"/>
      <c r="Q100" s="520"/>
    </row>
    <row r="101" spans="5:17">
      <c r="E101" s="520"/>
      <c r="F101" s="520"/>
      <c r="G101" s="520"/>
      <c r="H101" s="578"/>
      <c r="I101" s="520"/>
      <c r="J101" s="520"/>
      <c r="K101" s="520"/>
      <c r="L101" s="520"/>
      <c r="M101" s="520"/>
      <c r="N101" s="520"/>
      <c r="O101" s="520"/>
      <c r="P101" s="520"/>
      <c r="Q101" s="520"/>
    </row>
    <row r="102" spans="5:17">
      <c r="E102" s="520"/>
      <c r="F102" s="520"/>
      <c r="G102" s="520"/>
      <c r="H102" s="578"/>
      <c r="I102" s="520"/>
      <c r="J102" s="520"/>
      <c r="K102" s="520"/>
      <c r="L102" s="520"/>
      <c r="M102" s="520"/>
      <c r="N102" s="520"/>
      <c r="O102" s="520"/>
      <c r="P102" s="520"/>
      <c r="Q102" s="520"/>
    </row>
    <row r="103" spans="5:17">
      <c r="E103" s="520"/>
      <c r="F103" s="520"/>
      <c r="G103" s="520"/>
      <c r="H103" s="578"/>
      <c r="I103" s="520"/>
      <c r="J103" s="520"/>
      <c r="K103" s="520"/>
      <c r="L103" s="520"/>
      <c r="M103" s="520"/>
      <c r="N103" s="520"/>
      <c r="O103" s="520"/>
      <c r="P103" s="520"/>
      <c r="Q103" s="520"/>
    </row>
    <row r="104" spans="5:17">
      <c r="E104" s="520"/>
      <c r="F104" s="520"/>
      <c r="G104" s="520"/>
      <c r="H104" s="578"/>
      <c r="I104" s="520"/>
      <c r="J104" s="520"/>
      <c r="K104" s="520"/>
      <c r="L104" s="520"/>
      <c r="M104" s="520"/>
      <c r="N104" s="520"/>
      <c r="O104" s="520"/>
      <c r="P104" s="520"/>
      <c r="Q104" s="520"/>
    </row>
    <row r="105" spans="5:17">
      <c r="E105" s="520"/>
      <c r="F105" s="520"/>
      <c r="G105" s="520"/>
      <c r="H105" s="578"/>
      <c r="I105" s="520"/>
      <c r="J105" s="520"/>
      <c r="K105" s="520"/>
      <c r="L105" s="520"/>
      <c r="M105" s="520"/>
      <c r="N105" s="520"/>
      <c r="O105" s="520"/>
      <c r="P105" s="520"/>
      <c r="Q105" s="520"/>
    </row>
    <row r="106" spans="5:17">
      <c r="E106" s="520"/>
      <c r="F106" s="520"/>
      <c r="G106" s="520"/>
      <c r="H106" s="578"/>
      <c r="I106" s="520"/>
      <c r="J106" s="520"/>
      <c r="K106" s="520"/>
      <c r="L106" s="520"/>
      <c r="M106" s="520"/>
      <c r="N106" s="520"/>
      <c r="O106" s="520"/>
      <c r="P106" s="520"/>
      <c r="Q106" s="520"/>
    </row>
    <row r="107" spans="5:17">
      <c r="E107" s="520"/>
      <c r="F107" s="520"/>
      <c r="G107" s="520"/>
      <c r="H107" s="578"/>
      <c r="I107" s="520"/>
      <c r="J107" s="520"/>
      <c r="K107" s="520"/>
      <c r="L107" s="520"/>
      <c r="M107" s="520"/>
      <c r="N107" s="520"/>
      <c r="O107" s="520"/>
      <c r="P107" s="520"/>
      <c r="Q107" s="520"/>
    </row>
    <row r="108" spans="5:17">
      <c r="E108" s="520"/>
      <c r="F108" s="520"/>
      <c r="G108" s="520"/>
      <c r="H108" s="578"/>
      <c r="I108" s="520"/>
      <c r="J108" s="520"/>
      <c r="K108" s="520"/>
      <c r="L108" s="520"/>
      <c r="M108" s="520"/>
      <c r="N108" s="520"/>
      <c r="O108" s="520"/>
      <c r="P108" s="520"/>
      <c r="Q108" s="520"/>
    </row>
    <row r="109" spans="5:17">
      <c r="E109" s="520"/>
      <c r="F109" s="520"/>
      <c r="G109" s="520"/>
      <c r="H109" s="578"/>
      <c r="I109" s="520"/>
      <c r="J109" s="520"/>
      <c r="K109" s="520"/>
      <c r="L109" s="520"/>
      <c r="M109" s="520"/>
      <c r="N109" s="520"/>
      <c r="O109" s="520"/>
      <c r="P109" s="520"/>
      <c r="Q109" s="520"/>
    </row>
    <row r="110" spans="5:17">
      <c r="E110" s="520"/>
      <c r="F110" s="520"/>
      <c r="G110" s="520"/>
      <c r="H110" s="578"/>
      <c r="I110" s="520"/>
      <c r="J110" s="520"/>
      <c r="K110" s="520"/>
      <c r="L110" s="520"/>
      <c r="M110" s="520"/>
      <c r="N110" s="520"/>
      <c r="O110" s="520"/>
      <c r="P110" s="520"/>
      <c r="Q110" s="520"/>
    </row>
    <row r="111" spans="5:17">
      <c r="E111" s="520"/>
      <c r="F111" s="520"/>
      <c r="G111" s="520"/>
      <c r="H111" s="578"/>
      <c r="I111" s="520"/>
      <c r="J111" s="520"/>
      <c r="K111" s="520"/>
      <c r="L111" s="520"/>
      <c r="M111" s="520"/>
      <c r="N111" s="520"/>
      <c r="O111" s="520"/>
      <c r="P111" s="520"/>
      <c r="Q111" s="520"/>
    </row>
    <row r="112" spans="5:17">
      <c r="E112" s="520"/>
      <c r="F112" s="520"/>
      <c r="G112" s="520"/>
      <c r="H112" s="578"/>
      <c r="I112" s="520"/>
      <c r="J112" s="520"/>
      <c r="K112" s="520"/>
      <c r="L112" s="520"/>
      <c r="M112" s="520"/>
      <c r="N112" s="520"/>
      <c r="O112" s="520"/>
      <c r="P112" s="520"/>
      <c r="Q112" s="520"/>
    </row>
    <row r="113" spans="5:17">
      <c r="E113" s="520"/>
      <c r="F113" s="520"/>
      <c r="G113" s="520"/>
      <c r="H113" s="578"/>
      <c r="I113" s="520"/>
      <c r="J113" s="520"/>
      <c r="K113" s="520"/>
      <c r="L113" s="520"/>
      <c r="M113" s="520"/>
      <c r="N113" s="520"/>
      <c r="O113" s="520"/>
      <c r="P113" s="520"/>
      <c r="Q113" s="520"/>
    </row>
    <row r="114" spans="5:17">
      <c r="E114" s="520"/>
      <c r="F114" s="520"/>
      <c r="G114" s="520"/>
      <c r="H114" s="578"/>
      <c r="I114" s="520"/>
      <c r="J114" s="520"/>
      <c r="K114" s="520"/>
      <c r="L114" s="520"/>
      <c r="M114" s="520"/>
      <c r="N114" s="520"/>
      <c r="O114" s="520"/>
      <c r="P114" s="520"/>
      <c r="Q114" s="520"/>
    </row>
    <row r="115" spans="5:17">
      <c r="E115" s="520"/>
      <c r="F115" s="520"/>
      <c r="G115" s="520"/>
      <c r="H115" s="578"/>
      <c r="I115" s="520"/>
      <c r="J115" s="520"/>
      <c r="K115" s="520"/>
      <c r="L115" s="520"/>
      <c r="M115" s="520"/>
      <c r="N115" s="520"/>
      <c r="O115" s="520"/>
      <c r="P115" s="520"/>
      <c r="Q115" s="520"/>
    </row>
    <row r="116" spans="5:17">
      <c r="E116" s="520"/>
      <c r="F116" s="520"/>
      <c r="G116" s="520"/>
      <c r="H116" s="578"/>
      <c r="I116" s="520"/>
      <c r="J116" s="520"/>
      <c r="K116" s="520"/>
      <c r="L116" s="520"/>
      <c r="M116" s="520"/>
      <c r="N116" s="520"/>
      <c r="O116" s="520"/>
      <c r="P116" s="520"/>
      <c r="Q116" s="520"/>
    </row>
    <row r="117" spans="5:17">
      <c r="E117" s="520"/>
      <c r="F117" s="520"/>
      <c r="G117" s="520"/>
      <c r="H117" s="578"/>
      <c r="I117" s="520"/>
      <c r="J117" s="520"/>
      <c r="K117" s="520"/>
      <c r="L117" s="520"/>
      <c r="M117" s="520"/>
      <c r="N117" s="520"/>
      <c r="O117" s="520"/>
      <c r="P117" s="520"/>
      <c r="Q117" s="520"/>
    </row>
    <row r="118" spans="5:17">
      <c r="E118" s="520"/>
      <c r="F118" s="520"/>
      <c r="G118" s="520"/>
      <c r="H118" s="578"/>
      <c r="I118" s="520"/>
      <c r="J118" s="520"/>
      <c r="K118" s="520"/>
      <c r="L118" s="520"/>
      <c r="M118" s="520"/>
      <c r="N118" s="520"/>
      <c r="O118" s="520"/>
      <c r="P118" s="520"/>
      <c r="Q118" s="520"/>
    </row>
    <row r="119" spans="5:17">
      <c r="E119" s="520"/>
      <c r="F119" s="520"/>
      <c r="G119" s="520"/>
      <c r="H119" s="578"/>
      <c r="I119" s="520"/>
      <c r="J119" s="520"/>
      <c r="K119" s="520"/>
      <c r="L119" s="520"/>
      <c r="M119" s="520"/>
      <c r="N119" s="520"/>
      <c r="O119" s="520"/>
      <c r="P119" s="520"/>
      <c r="Q119" s="520"/>
    </row>
    <row r="120" spans="5:17">
      <c r="F120" s="520"/>
      <c r="G120" s="520"/>
      <c r="H120" s="578"/>
      <c r="I120" s="520"/>
      <c r="J120" s="520"/>
      <c r="K120" s="520"/>
      <c r="L120" s="520"/>
      <c r="M120" s="520"/>
      <c r="N120" s="520"/>
      <c r="O120" s="520"/>
      <c r="P120" s="520"/>
      <c r="Q120" s="520"/>
    </row>
    <row r="121" spans="5:17">
      <c r="F121" s="520"/>
      <c r="G121" s="520"/>
      <c r="H121" s="578"/>
      <c r="I121" s="520"/>
      <c r="J121" s="520"/>
      <c r="K121" s="520"/>
      <c r="L121" s="520"/>
      <c r="M121" s="520"/>
      <c r="N121" s="520"/>
      <c r="O121" s="520"/>
      <c r="P121" s="520"/>
      <c r="Q121" s="520"/>
    </row>
    <row r="122" spans="5:17">
      <c r="F122" s="520"/>
      <c r="G122" s="520"/>
      <c r="H122" s="578"/>
      <c r="I122" s="520"/>
      <c r="J122" s="520"/>
      <c r="K122" s="520"/>
      <c r="L122" s="520"/>
      <c r="M122" s="520"/>
      <c r="N122" s="520"/>
      <c r="O122" s="520"/>
      <c r="P122" s="520"/>
      <c r="Q122" s="520"/>
    </row>
    <row r="123" spans="5:17">
      <c r="F123" s="520"/>
      <c r="G123" s="520"/>
      <c r="H123" s="578"/>
      <c r="I123" s="520"/>
      <c r="J123" s="520"/>
      <c r="K123" s="520"/>
      <c r="L123" s="520"/>
      <c r="M123" s="520"/>
      <c r="N123" s="520"/>
      <c r="O123" s="520"/>
      <c r="P123" s="520"/>
      <c r="Q123" s="520"/>
    </row>
    <row r="124" spans="5:17">
      <c r="F124" s="520"/>
      <c r="G124" s="520"/>
      <c r="H124" s="578"/>
      <c r="I124" s="520"/>
      <c r="J124" s="520"/>
      <c r="K124" s="520"/>
      <c r="L124" s="520"/>
      <c r="M124" s="520"/>
      <c r="N124" s="520"/>
      <c r="O124" s="520"/>
      <c r="P124" s="520"/>
      <c r="Q124" s="520"/>
    </row>
    <row r="125" spans="5:17">
      <c r="F125" s="520"/>
      <c r="G125" s="520"/>
      <c r="H125" s="578"/>
      <c r="I125" s="520"/>
      <c r="J125" s="520"/>
      <c r="K125" s="520"/>
      <c r="L125" s="520"/>
      <c r="M125" s="520"/>
      <c r="N125" s="520"/>
      <c r="O125" s="520"/>
      <c r="P125" s="520"/>
      <c r="Q125" s="520"/>
    </row>
    <row r="126" spans="5:17">
      <c r="F126" s="520"/>
      <c r="G126" s="520"/>
      <c r="H126" s="578"/>
      <c r="I126" s="520"/>
      <c r="J126" s="520"/>
      <c r="K126" s="520"/>
      <c r="L126" s="520"/>
      <c r="M126" s="520"/>
      <c r="N126" s="520"/>
      <c r="O126" s="520"/>
      <c r="P126" s="520"/>
      <c r="Q126" s="520"/>
    </row>
    <row r="127" spans="5:17">
      <c r="F127" s="520"/>
      <c r="G127" s="520"/>
      <c r="H127" s="578"/>
      <c r="I127" s="520"/>
      <c r="J127" s="520"/>
      <c r="K127" s="520"/>
      <c r="L127" s="520"/>
      <c r="M127" s="520"/>
      <c r="N127" s="520"/>
      <c r="O127" s="520"/>
      <c r="P127" s="520"/>
      <c r="Q127" s="520"/>
    </row>
    <row r="128" spans="5:17">
      <c r="F128" s="520"/>
      <c r="G128" s="520"/>
      <c r="H128" s="578"/>
      <c r="I128" s="520"/>
      <c r="J128" s="520"/>
      <c r="K128" s="520"/>
      <c r="L128" s="520"/>
      <c r="M128" s="520"/>
      <c r="N128" s="520"/>
      <c r="O128" s="520"/>
      <c r="P128" s="520"/>
      <c r="Q128" s="520"/>
    </row>
    <row r="129" spans="6:17">
      <c r="F129" s="520"/>
      <c r="G129" s="520"/>
      <c r="H129" s="578"/>
      <c r="I129" s="520"/>
      <c r="J129" s="520"/>
      <c r="K129" s="520"/>
      <c r="L129" s="520"/>
      <c r="M129" s="520"/>
      <c r="N129" s="520"/>
      <c r="O129" s="520"/>
      <c r="P129" s="520"/>
      <c r="Q129" s="520"/>
    </row>
    <row r="130" spans="6:17">
      <c r="F130" s="520"/>
      <c r="G130" s="520"/>
      <c r="H130" s="578"/>
      <c r="I130" s="520"/>
      <c r="J130" s="520"/>
      <c r="K130" s="520"/>
      <c r="L130" s="520"/>
      <c r="M130" s="520"/>
      <c r="N130" s="520"/>
      <c r="O130" s="520"/>
      <c r="P130" s="520"/>
      <c r="Q130" s="520"/>
    </row>
    <row r="131" spans="6:17">
      <c r="F131" s="520"/>
      <c r="G131" s="520"/>
      <c r="H131" s="578"/>
      <c r="I131" s="520"/>
      <c r="J131" s="520"/>
      <c r="K131" s="520"/>
      <c r="L131" s="520"/>
      <c r="M131" s="520"/>
      <c r="N131" s="520"/>
      <c r="O131" s="520"/>
      <c r="P131" s="520"/>
      <c r="Q131" s="520"/>
    </row>
    <row r="132" spans="6:17">
      <c r="F132" s="520"/>
      <c r="G132" s="520"/>
      <c r="H132" s="578"/>
      <c r="I132" s="520"/>
      <c r="J132" s="520"/>
      <c r="K132" s="520"/>
      <c r="L132" s="520"/>
      <c r="M132" s="520"/>
      <c r="N132" s="520"/>
      <c r="O132" s="520"/>
      <c r="P132" s="520"/>
      <c r="Q132" s="520"/>
    </row>
    <row r="133" spans="6:17">
      <c r="F133" s="520"/>
      <c r="G133" s="520"/>
      <c r="H133" s="578"/>
      <c r="I133" s="520"/>
      <c r="J133" s="520"/>
      <c r="K133" s="520"/>
      <c r="L133" s="520"/>
      <c r="M133" s="520"/>
      <c r="N133" s="520"/>
      <c r="O133" s="520"/>
      <c r="P133" s="520"/>
      <c r="Q133" s="520"/>
    </row>
    <row r="134" spans="6:17">
      <c r="F134" s="520"/>
      <c r="G134" s="520"/>
      <c r="H134" s="578"/>
      <c r="I134" s="520"/>
      <c r="J134" s="520"/>
      <c r="K134" s="520"/>
      <c r="L134" s="520"/>
      <c r="M134" s="520"/>
      <c r="N134" s="520"/>
      <c r="O134" s="520"/>
      <c r="P134" s="520"/>
      <c r="Q134" s="520"/>
    </row>
    <row r="135" spans="6:17">
      <c r="F135" s="520"/>
      <c r="G135" s="520"/>
      <c r="H135" s="578"/>
      <c r="I135" s="520"/>
      <c r="J135" s="520"/>
      <c r="K135" s="520"/>
      <c r="L135" s="520"/>
      <c r="M135" s="520"/>
      <c r="N135" s="520"/>
      <c r="O135" s="520"/>
      <c r="P135" s="520"/>
      <c r="Q135" s="520"/>
    </row>
    <row r="136" spans="6:17">
      <c r="F136" s="520"/>
      <c r="G136" s="520"/>
      <c r="H136" s="578"/>
      <c r="I136" s="520"/>
      <c r="J136" s="520"/>
      <c r="K136" s="520"/>
      <c r="L136" s="520"/>
      <c r="M136" s="520"/>
      <c r="N136" s="520"/>
      <c r="O136" s="520"/>
      <c r="P136" s="520"/>
      <c r="Q136" s="520"/>
    </row>
    <row r="137" spans="6:17">
      <c r="F137" s="520"/>
      <c r="G137" s="520"/>
      <c r="H137" s="578"/>
      <c r="I137" s="520"/>
      <c r="J137" s="520"/>
      <c r="K137" s="520"/>
      <c r="L137" s="520"/>
      <c r="M137" s="520"/>
      <c r="N137" s="520"/>
      <c r="O137" s="520"/>
      <c r="P137" s="520"/>
      <c r="Q137" s="520"/>
    </row>
    <row r="138" spans="6:17">
      <c r="F138" s="520"/>
      <c r="G138" s="520"/>
      <c r="H138" s="578"/>
      <c r="I138" s="520"/>
      <c r="J138" s="520"/>
      <c r="K138" s="520"/>
      <c r="L138" s="520"/>
      <c r="M138" s="520"/>
      <c r="N138" s="520"/>
      <c r="O138" s="520"/>
      <c r="P138" s="520"/>
      <c r="Q138" s="520"/>
    </row>
    <row r="139" spans="6:17">
      <c r="F139" s="520"/>
      <c r="G139" s="520"/>
      <c r="H139" s="578"/>
      <c r="I139" s="520"/>
      <c r="J139" s="520"/>
      <c r="K139" s="520"/>
      <c r="L139" s="520"/>
      <c r="M139" s="520"/>
      <c r="N139" s="520"/>
      <c r="O139" s="520"/>
      <c r="P139" s="520"/>
      <c r="Q139" s="520"/>
    </row>
    <row r="140" spans="6:17">
      <c r="F140" s="520"/>
      <c r="G140" s="520"/>
      <c r="H140" s="578"/>
      <c r="I140" s="520"/>
      <c r="J140" s="520"/>
      <c r="K140" s="520"/>
      <c r="L140" s="520"/>
      <c r="M140" s="520"/>
      <c r="N140" s="520"/>
      <c r="O140" s="520"/>
      <c r="P140" s="520"/>
      <c r="Q140" s="520"/>
    </row>
    <row r="141" spans="6:17">
      <c r="F141" s="520"/>
      <c r="G141" s="520"/>
      <c r="H141" s="578"/>
      <c r="I141" s="520"/>
      <c r="J141" s="520"/>
      <c r="K141" s="520"/>
      <c r="L141" s="520"/>
      <c r="M141" s="520"/>
      <c r="N141" s="520"/>
      <c r="O141" s="520"/>
      <c r="P141" s="520"/>
      <c r="Q141" s="520"/>
    </row>
    <row r="142" spans="6:17">
      <c r="F142" s="520"/>
      <c r="G142" s="520"/>
      <c r="H142" s="578"/>
      <c r="I142" s="520"/>
      <c r="J142" s="520"/>
      <c r="K142" s="520"/>
      <c r="L142" s="520"/>
      <c r="M142" s="520"/>
      <c r="N142" s="520"/>
      <c r="O142" s="520"/>
      <c r="P142" s="520"/>
      <c r="Q142" s="520"/>
    </row>
    <row r="143" spans="6:17">
      <c r="F143" s="520"/>
      <c r="G143" s="520"/>
      <c r="H143" s="578"/>
      <c r="I143" s="520"/>
      <c r="J143" s="520"/>
      <c r="K143" s="520"/>
      <c r="L143" s="520"/>
      <c r="M143" s="520"/>
      <c r="N143" s="520"/>
      <c r="O143" s="520"/>
      <c r="P143" s="520"/>
      <c r="Q143" s="520"/>
    </row>
    <row r="144" spans="6:17">
      <c r="F144" s="520"/>
      <c r="G144" s="520"/>
      <c r="H144" s="578"/>
      <c r="I144" s="520"/>
      <c r="J144" s="520"/>
      <c r="K144" s="520"/>
      <c r="L144" s="520"/>
      <c r="M144" s="520"/>
      <c r="N144" s="520"/>
      <c r="O144" s="520"/>
      <c r="P144" s="520"/>
      <c r="Q144" s="520"/>
    </row>
    <row r="145" spans="6:17">
      <c r="F145" s="520"/>
      <c r="G145" s="520"/>
      <c r="H145" s="578"/>
      <c r="I145" s="520"/>
      <c r="J145" s="520"/>
      <c r="K145" s="520"/>
      <c r="L145" s="520"/>
      <c r="M145" s="520"/>
      <c r="N145" s="520"/>
      <c r="O145" s="520"/>
      <c r="P145" s="520"/>
      <c r="Q145" s="520"/>
    </row>
    <row r="146" spans="6:17">
      <c r="F146" s="520"/>
      <c r="G146" s="520"/>
      <c r="H146" s="578"/>
      <c r="I146" s="520"/>
      <c r="J146" s="520"/>
      <c r="K146" s="520"/>
      <c r="L146" s="520"/>
      <c r="M146" s="520"/>
      <c r="N146" s="520"/>
      <c r="O146" s="520"/>
      <c r="P146" s="520"/>
      <c r="Q146" s="520"/>
    </row>
    <row r="147" spans="6:17">
      <c r="F147" s="520"/>
      <c r="G147" s="520"/>
      <c r="H147" s="578"/>
      <c r="I147" s="520"/>
      <c r="J147" s="520"/>
      <c r="K147" s="520"/>
      <c r="L147" s="520"/>
      <c r="M147" s="520"/>
      <c r="N147" s="520"/>
      <c r="O147" s="520"/>
      <c r="P147" s="520"/>
      <c r="Q147" s="520"/>
    </row>
    <row r="148" spans="6:17">
      <c r="F148" s="520"/>
      <c r="G148" s="520"/>
      <c r="H148" s="578"/>
      <c r="I148" s="520"/>
      <c r="J148" s="520"/>
      <c r="K148" s="520"/>
      <c r="L148" s="520"/>
      <c r="M148" s="520"/>
      <c r="N148" s="520"/>
      <c r="O148" s="520"/>
      <c r="P148" s="520"/>
      <c r="Q148" s="520"/>
    </row>
    <row r="149" spans="6:17">
      <c r="F149" s="520"/>
      <c r="G149" s="520"/>
      <c r="H149" s="578"/>
      <c r="I149" s="520"/>
      <c r="J149" s="520"/>
      <c r="K149" s="520"/>
      <c r="L149" s="520"/>
      <c r="M149" s="520"/>
      <c r="N149" s="520"/>
      <c r="O149" s="520"/>
      <c r="P149" s="520"/>
      <c r="Q149" s="520"/>
    </row>
    <row r="150" spans="6:17">
      <c r="F150" s="520"/>
      <c r="G150" s="520"/>
      <c r="H150" s="578"/>
      <c r="I150" s="520"/>
      <c r="J150" s="520"/>
      <c r="K150" s="520"/>
      <c r="L150" s="520"/>
      <c r="M150" s="520"/>
      <c r="N150" s="520"/>
      <c r="O150" s="520"/>
      <c r="P150" s="520"/>
      <c r="Q150" s="520"/>
    </row>
    <row r="151" spans="6:17">
      <c r="F151" s="520"/>
      <c r="G151" s="520"/>
      <c r="H151" s="578"/>
      <c r="I151" s="520"/>
      <c r="J151" s="520"/>
      <c r="K151" s="520"/>
      <c r="L151" s="520"/>
      <c r="M151" s="520"/>
      <c r="N151" s="520"/>
      <c r="O151" s="520"/>
      <c r="P151" s="520"/>
      <c r="Q151" s="520"/>
    </row>
    <row r="152" spans="6:17">
      <c r="F152" s="520"/>
      <c r="G152" s="520"/>
      <c r="H152" s="578"/>
      <c r="I152" s="520"/>
      <c r="J152" s="520"/>
      <c r="K152" s="520"/>
      <c r="L152" s="520"/>
      <c r="M152" s="520"/>
      <c r="N152" s="520"/>
      <c r="O152" s="520"/>
      <c r="P152" s="520"/>
      <c r="Q152" s="520"/>
    </row>
    <row r="153" spans="6:17">
      <c r="F153" s="520"/>
      <c r="G153" s="520"/>
      <c r="H153" s="578"/>
      <c r="I153" s="520"/>
      <c r="J153" s="520"/>
      <c r="K153" s="520"/>
      <c r="L153" s="520"/>
      <c r="M153" s="520"/>
      <c r="N153" s="520"/>
      <c r="O153" s="520"/>
      <c r="P153" s="520"/>
      <c r="Q153" s="520"/>
    </row>
    <row r="154" spans="6:17">
      <c r="F154" s="520"/>
      <c r="G154" s="520"/>
      <c r="H154" s="578"/>
      <c r="I154" s="520"/>
      <c r="J154" s="520"/>
      <c r="K154" s="520"/>
      <c r="L154" s="520"/>
      <c r="M154" s="520"/>
      <c r="N154" s="520"/>
      <c r="O154" s="520"/>
      <c r="P154" s="520"/>
      <c r="Q154" s="520"/>
    </row>
    <row r="155" spans="6:17">
      <c r="F155" s="520"/>
      <c r="G155" s="520"/>
      <c r="H155" s="578"/>
      <c r="I155" s="520"/>
      <c r="J155" s="520"/>
      <c r="K155" s="520"/>
      <c r="L155" s="520"/>
      <c r="M155" s="520"/>
      <c r="N155" s="520"/>
      <c r="O155" s="520"/>
      <c r="P155" s="520"/>
      <c r="Q155" s="520"/>
    </row>
    <row r="156" spans="6:17">
      <c r="F156" s="520"/>
      <c r="G156" s="520"/>
      <c r="H156" s="578"/>
      <c r="I156" s="520"/>
      <c r="J156" s="520"/>
      <c r="K156" s="520"/>
      <c r="L156" s="520"/>
      <c r="M156" s="520"/>
      <c r="N156" s="520"/>
      <c r="O156" s="520"/>
      <c r="P156" s="520"/>
      <c r="Q156" s="520"/>
    </row>
    <row r="157" spans="6:17">
      <c r="F157" s="520"/>
      <c r="G157" s="520"/>
      <c r="H157" s="578"/>
      <c r="I157" s="520"/>
      <c r="J157" s="520"/>
      <c r="K157" s="520"/>
      <c r="L157" s="520"/>
      <c r="M157" s="520"/>
      <c r="N157" s="520"/>
      <c r="O157" s="520"/>
      <c r="P157" s="520"/>
      <c r="Q157" s="520"/>
    </row>
    <row r="158" spans="6:17">
      <c r="F158" s="520"/>
      <c r="G158" s="520"/>
      <c r="H158" s="578"/>
      <c r="I158" s="520"/>
      <c r="J158" s="520"/>
      <c r="K158" s="520"/>
      <c r="L158" s="520"/>
      <c r="M158" s="520"/>
      <c r="N158" s="520"/>
      <c r="O158" s="520"/>
      <c r="P158" s="520"/>
      <c r="Q158" s="520"/>
    </row>
    <row r="159" spans="6:17">
      <c r="F159" s="520"/>
      <c r="G159" s="520"/>
      <c r="H159" s="578"/>
      <c r="I159" s="520"/>
      <c r="J159" s="520"/>
      <c r="K159" s="520"/>
      <c r="L159" s="520"/>
      <c r="M159" s="520"/>
      <c r="N159" s="520"/>
      <c r="O159" s="520"/>
      <c r="P159" s="520"/>
      <c r="Q159" s="520"/>
    </row>
    <row r="160" spans="6:17">
      <c r="F160" s="520"/>
      <c r="G160" s="520"/>
      <c r="H160" s="578"/>
      <c r="I160" s="520"/>
      <c r="J160" s="520"/>
      <c r="K160" s="520"/>
      <c r="L160" s="520"/>
      <c r="M160" s="520"/>
      <c r="N160" s="520"/>
      <c r="O160" s="520"/>
      <c r="P160" s="520"/>
      <c r="Q160" s="520"/>
    </row>
    <row r="161" spans="6:17">
      <c r="F161" s="520"/>
      <c r="G161" s="520"/>
      <c r="H161" s="578"/>
      <c r="I161" s="520"/>
      <c r="J161" s="520"/>
      <c r="K161" s="520"/>
      <c r="L161" s="520"/>
      <c r="M161" s="520"/>
      <c r="N161" s="520"/>
      <c r="O161" s="520"/>
      <c r="P161" s="520"/>
      <c r="Q161" s="520"/>
    </row>
    <row r="162" spans="6:17">
      <c r="F162" s="520"/>
      <c r="G162" s="520"/>
      <c r="H162" s="578"/>
      <c r="I162" s="520"/>
      <c r="J162" s="520"/>
      <c r="K162" s="520"/>
      <c r="L162" s="520"/>
      <c r="M162" s="520"/>
      <c r="N162" s="520"/>
      <c r="O162" s="520"/>
      <c r="P162" s="520"/>
      <c r="Q162" s="520"/>
    </row>
    <row r="163" spans="6:17">
      <c r="F163" s="520"/>
      <c r="G163" s="520"/>
      <c r="H163" s="578"/>
      <c r="I163" s="520"/>
      <c r="J163" s="520"/>
      <c r="K163" s="520"/>
      <c r="L163" s="520"/>
      <c r="M163" s="520"/>
      <c r="N163" s="520"/>
      <c r="O163" s="520"/>
      <c r="P163" s="520"/>
      <c r="Q163" s="520"/>
    </row>
    <row r="164" spans="6:17">
      <c r="F164" s="520"/>
      <c r="G164" s="520"/>
      <c r="H164" s="578"/>
      <c r="I164" s="520"/>
      <c r="J164" s="520"/>
      <c r="K164" s="520"/>
      <c r="L164" s="520"/>
      <c r="M164" s="520"/>
      <c r="N164" s="520"/>
      <c r="O164" s="520"/>
      <c r="P164" s="520"/>
      <c r="Q164" s="520"/>
    </row>
    <row r="165" spans="6:17">
      <c r="F165" s="520"/>
      <c r="G165" s="520"/>
      <c r="H165" s="578"/>
      <c r="I165" s="520"/>
      <c r="J165" s="520"/>
      <c r="K165" s="520"/>
      <c r="L165" s="520"/>
      <c r="M165" s="520"/>
      <c r="N165" s="520"/>
      <c r="O165" s="520"/>
      <c r="P165" s="520"/>
      <c r="Q165" s="520"/>
    </row>
    <row r="166" spans="6:17">
      <c r="F166" s="520"/>
      <c r="G166" s="520"/>
      <c r="H166" s="578"/>
      <c r="I166" s="520"/>
      <c r="J166" s="520"/>
      <c r="K166" s="520"/>
      <c r="L166" s="520"/>
      <c r="M166" s="520"/>
      <c r="N166" s="520"/>
      <c r="O166" s="520"/>
      <c r="P166" s="520"/>
      <c r="Q166" s="520"/>
    </row>
    <row r="167" spans="6:17">
      <c r="F167" s="520"/>
      <c r="G167" s="520"/>
      <c r="H167" s="578"/>
      <c r="I167" s="520"/>
      <c r="J167" s="520"/>
      <c r="K167" s="520"/>
      <c r="L167" s="520"/>
      <c r="M167" s="520"/>
      <c r="N167" s="520"/>
      <c r="O167" s="520"/>
      <c r="P167" s="520"/>
      <c r="Q167" s="520"/>
    </row>
    <row r="168" spans="6:17">
      <c r="F168" s="520"/>
      <c r="G168" s="520"/>
      <c r="H168" s="578"/>
      <c r="I168" s="520"/>
      <c r="J168" s="520"/>
      <c r="K168" s="520"/>
      <c r="L168" s="520"/>
      <c r="M168" s="520"/>
      <c r="N168" s="520"/>
      <c r="O168" s="520"/>
      <c r="P168" s="520"/>
      <c r="Q168" s="520"/>
    </row>
    <row r="169" spans="6:17">
      <c r="F169" s="520"/>
      <c r="G169" s="520"/>
      <c r="H169" s="578"/>
      <c r="I169" s="520"/>
      <c r="J169" s="520"/>
      <c r="K169" s="520"/>
      <c r="L169" s="520"/>
      <c r="M169" s="520"/>
      <c r="N169" s="520"/>
      <c r="O169" s="520"/>
      <c r="P169" s="520"/>
      <c r="Q169" s="520"/>
    </row>
    <row r="170" spans="6:17">
      <c r="F170" s="520"/>
      <c r="G170" s="520"/>
      <c r="H170" s="578"/>
      <c r="I170" s="520"/>
      <c r="J170" s="520"/>
      <c r="K170" s="520"/>
      <c r="L170" s="520"/>
      <c r="M170" s="520"/>
      <c r="N170" s="520"/>
      <c r="O170" s="520"/>
      <c r="P170" s="520"/>
      <c r="Q170" s="520"/>
    </row>
    <row r="171" spans="6:17">
      <c r="F171" s="520"/>
      <c r="G171" s="520"/>
      <c r="H171" s="578"/>
      <c r="I171" s="520"/>
      <c r="J171" s="520"/>
      <c r="K171" s="520"/>
      <c r="L171" s="520"/>
      <c r="M171" s="520"/>
      <c r="N171" s="520"/>
      <c r="O171" s="520"/>
      <c r="P171" s="520"/>
      <c r="Q171" s="520"/>
    </row>
    <row r="172" spans="6:17">
      <c r="F172" s="520"/>
      <c r="G172" s="520"/>
      <c r="H172" s="578"/>
      <c r="I172" s="520"/>
      <c r="J172" s="520"/>
      <c r="K172" s="520"/>
      <c r="L172" s="520"/>
      <c r="M172" s="520"/>
      <c r="N172" s="520"/>
      <c r="O172" s="520"/>
      <c r="P172" s="520"/>
      <c r="Q172" s="520"/>
    </row>
    <row r="173" spans="6:17">
      <c r="F173" s="520"/>
      <c r="G173" s="520"/>
      <c r="H173" s="578"/>
      <c r="I173" s="520"/>
      <c r="J173" s="520"/>
      <c r="K173" s="520"/>
      <c r="L173" s="520"/>
      <c r="M173" s="520"/>
      <c r="N173" s="520"/>
      <c r="O173" s="520"/>
      <c r="P173" s="520"/>
      <c r="Q173" s="520"/>
    </row>
    <row r="174" spans="6:17">
      <c r="F174" s="520"/>
      <c r="G174" s="520"/>
      <c r="H174" s="578"/>
      <c r="I174" s="520"/>
      <c r="J174" s="520"/>
      <c r="K174" s="520"/>
      <c r="L174" s="520"/>
      <c r="M174" s="520"/>
      <c r="N174" s="520"/>
      <c r="O174" s="520"/>
      <c r="P174" s="520"/>
      <c r="Q174" s="520"/>
    </row>
    <row r="175" spans="6:17">
      <c r="F175" s="520"/>
      <c r="G175" s="520"/>
      <c r="H175" s="578"/>
      <c r="I175" s="520"/>
      <c r="J175" s="520"/>
      <c r="K175" s="520"/>
      <c r="L175" s="520"/>
      <c r="M175" s="520"/>
      <c r="N175" s="520"/>
      <c r="O175" s="520"/>
      <c r="P175" s="520"/>
      <c r="Q175" s="520"/>
    </row>
    <row r="176" spans="6:17">
      <c r="F176" s="520"/>
      <c r="G176" s="520"/>
      <c r="H176" s="578"/>
      <c r="I176" s="520"/>
      <c r="J176" s="520"/>
      <c r="K176" s="520"/>
      <c r="L176" s="520"/>
      <c r="M176" s="520"/>
      <c r="N176" s="520"/>
      <c r="O176" s="520"/>
      <c r="P176" s="520"/>
      <c r="Q176" s="520"/>
    </row>
    <row r="177" spans="6:17">
      <c r="F177" s="520"/>
      <c r="G177" s="520"/>
      <c r="H177" s="578"/>
      <c r="I177" s="520"/>
      <c r="J177" s="520"/>
      <c r="K177" s="520"/>
      <c r="L177" s="520"/>
      <c r="M177" s="520"/>
      <c r="N177" s="520"/>
      <c r="O177" s="520"/>
      <c r="P177" s="520"/>
      <c r="Q177" s="520"/>
    </row>
    <row r="178" spans="6:17">
      <c r="F178" s="520"/>
      <c r="G178" s="520"/>
      <c r="H178" s="578"/>
      <c r="I178" s="520"/>
      <c r="J178" s="520"/>
      <c r="K178" s="520"/>
      <c r="L178" s="520"/>
      <c r="M178" s="520"/>
      <c r="N178" s="520"/>
      <c r="O178" s="520"/>
      <c r="P178" s="520"/>
      <c r="Q178" s="520"/>
    </row>
    <row r="179" spans="6:17">
      <c r="F179" s="520"/>
      <c r="G179" s="520"/>
      <c r="H179" s="578"/>
      <c r="I179" s="520"/>
      <c r="J179" s="520"/>
      <c r="K179" s="520"/>
      <c r="L179" s="520"/>
      <c r="M179" s="520"/>
      <c r="N179" s="520"/>
      <c r="O179" s="520"/>
      <c r="P179" s="520"/>
      <c r="Q179" s="520"/>
    </row>
    <row r="180" spans="6:17">
      <c r="F180" s="520"/>
      <c r="G180" s="520"/>
      <c r="H180" s="578"/>
      <c r="I180" s="520"/>
      <c r="J180" s="520"/>
      <c r="K180" s="520"/>
      <c r="L180" s="520"/>
      <c r="M180" s="520"/>
      <c r="N180" s="520"/>
      <c r="O180" s="520"/>
      <c r="P180" s="520"/>
      <c r="Q180" s="520"/>
    </row>
    <row r="181" spans="6:17">
      <c r="F181" s="520"/>
      <c r="G181" s="520"/>
      <c r="H181" s="578"/>
      <c r="I181" s="520"/>
      <c r="J181" s="520"/>
      <c r="K181" s="520"/>
      <c r="L181" s="520"/>
      <c r="M181" s="520"/>
      <c r="N181" s="520"/>
      <c r="O181" s="520"/>
      <c r="P181" s="520"/>
      <c r="Q181" s="520"/>
    </row>
    <row r="182" spans="6:17">
      <c r="F182" s="520"/>
      <c r="G182" s="520"/>
      <c r="H182" s="578"/>
      <c r="I182" s="520"/>
      <c r="J182" s="520"/>
      <c r="K182" s="520"/>
      <c r="L182" s="520"/>
      <c r="M182" s="520"/>
      <c r="N182" s="520"/>
      <c r="O182" s="520"/>
      <c r="P182" s="520"/>
      <c r="Q182" s="520"/>
    </row>
    <row r="183" spans="6:17">
      <c r="F183" s="520"/>
      <c r="G183" s="520"/>
      <c r="H183" s="578"/>
      <c r="I183" s="520"/>
      <c r="J183" s="520"/>
      <c r="K183" s="520"/>
      <c r="L183" s="520"/>
      <c r="M183" s="520"/>
      <c r="N183" s="520"/>
      <c r="O183" s="520"/>
      <c r="P183" s="520"/>
      <c r="Q183" s="520"/>
    </row>
    <row r="184" spans="6:17">
      <c r="F184" s="520"/>
      <c r="G184" s="520"/>
      <c r="H184" s="578"/>
      <c r="I184" s="520"/>
      <c r="J184" s="520"/>
      <c r="K184" s="520"/>
      <c r="L184" s="520"/>
      <c r="M184" s="520"/>
      <c r="N184" s="520"/>
      <c r="O184" s="520"/>
      <c r="P184" s="520"/>
      <c r="Q184" s="520"/>
    </row>
    <row r="185" spans="6:17">
      <c r="F185" s="520"/>
      <c r="G185" s="520"/>
      <c r="H185" s="578"/>
      <c r="I185" s="520"/>
      <c r="J185" s="520"/>
      <c r="K185" s="520"/>
      <c r="L185" s="520"/>
      <c r="M185" s="520"/>
      <c r="N185" s="520"/>
      <c r="O185" s="520"/>
      <c r="P185" s="520"/>
      <c r="Q185" s="520"/>
    </row>
    <row r="186" spans="6:17">
      <c r="F186" s="520"/>
      <c r="G186" s="520"/>
      <c r="H186" s="578"/>
      <c r="I186" s="520"/>
      <c r="J186" s="520"/>
      <c r="K186" s="520"/>
      <c r="L186" s="520"/>
      <c r="M186" s="520"/>
      <c r="N186" s="520"/>
      <c r="O186" s="520"/>
      <c r="P186" s="520"/>
      <c r="Q186" s="520"/>
    </row>
    <row r="187" spans="6:17">
      <c r="F187" s="520"/>
      <c r="G187" s="520"/>
      <c r="H187" s="578"/>
      <c r="I187" s="520"/>
      <c r="J187" s="520"/>
      <c r="K187" s="520"/>
      <c r="L187" s="520"/>
      <c r="M187" s="520"/>
      <c r="N187" s="520"/>
      <c r="O187" s="520"/>
      <c r="P187" s="520"/>
      <c r="Q187" s="520"/>
    </row>
    <row r="188" spans="6:17">
      <c r="F188" s="520"/>
      <c r="G188" s="520"/>
      <c r="H188" s="578"/>
      <c r="I188" s="520"/>
      <c r="J188" s="520"/>
      <c r="K188" s="520"/>
      <c r="L188" s="520"/>
      <c r="M188" s="520"/>
      <c r="N188" s="520"/>
      <c r="O188" s="520"/>
      <c r="P188" s="520"/>
      <c r="Q188" s="520"/>
    </row>
    <row r="189" spans="6:17">
      <c r="F189" s="520"/>
      <c r="G189" s="520"/>
      <c r="H189" s="578"/>
      <c r="I189" s="520"/>
      <c r="J189" s="520"/>
      <c r="K189" s="520"/>
      <c r="L189" s="520"/>
      <c r="M189" s="520"/>
      <c r="N189" s="520"/>
      <c r="O189" s="520"/>
      <c r="P189" s="520"/>
      <c r="Q189" s="520"/>
    </row>
    <row r="190" spans="6:17">
      <c r="F190" s="520"/>
      <c r="G190" s="520"/>
      <c r="H190" s="578"/>
      <c r="I190" s="520"/>
      <c r="J190" s="520"/>
      <c r="K190" s="520"/>
      <c r="L190" s="520"/>
      <c r="M190" s="520"/>
      <c r="N190" s="520"/>
      <c r="O190" s="520"/>
      <c r="P190" s="520"/>
      <c r="Q190" s="520"/>
    </row>
    <row r="191" spans="6:17">
      <c r="F191" s="520"/>
      <c r="G191" s="520"/>
      <c r="H191" s="578"/>
      <c r="I191" s="520"/>
      <c r="J191" s="520"/>
      <c r="K191" s="520"/>
      <c r="L191" s="520"/>
      <c r="M191" s="520"/>
      <c r="N191" s="520"/>
      <c r="O191" s="520"/>
      <c r="P191" s="520"/>
      <c r="Q191" s="520"/>
    </row>
    <row r="192" spans="6:17">
      <c r="F192" s="520"/>
      <c r="G192" s="520"/>
      <c r="H192" s="578"/>
      <c r="I192" s="520"/>
      <c r="J192" s="520"/>
      <c r="K192" s="520"/>
      <c r="L192" s="520"/>
      <c r="M192" s="520"/>
      <c r="N192" s="520"/>
      <c r="O192" s="520"/>
      <c r="P192" s="520"/>
      <c r="Q192" s="520"/>
    </row>
    <row r="193" spans="6:17">
      <c r="F193" s="520"/>
      <c r="G193" s="520"/>
      <c r="H193" s="578"/>
      <c r="I193" s="520"/>
      <c r="J193" s="520"/>
      <c r="K193" s="520"/>
      <c r="L193" s="520"/>
      <c r="M193" s="520"/>
      <c r="N193" s="520"/>
      <c r="O193" s="520"/>
      <c r="P193" s="520"/>
      <c r="Q193" s="520"/>
    </row>
    <row r="194" spans="6:17">
      <c r="F194" s="520"/>
      <c r="G194" s="520"/>
      <c r="H194" s="578"/>
      <c r="I194" s="520"/>
      <c r="J194" s="520"/>
      <c r="K194" s="520"/>
      <c r="L194" s="520"/>
      <c r="M194" s="520"/>
      <c r="N194" s="520"/>
      <c r="O194" s="520"/>
      <c r="P194" s="520"/>
      <c r="Q194" s="520"/>
    </row>
    <row r="195" spans="6:17">
      <c r="F195" s="520"/>
      <c r="G195" s="520"/>
      <c r="H195" s="578"/>
      <c r="I195" s="520"/>
      <c r="J195" s="520"/>
      <c r="K195" s="520"/>
      <c r="L195" s="520"/>
      <c r="M195" s="520"/>
      <c r="N195" s="520"/>
      <c r="O195" s="520"/>
      <c r="P195" s="520"/>
      <c r="Q195" s="520"/>
    </row>
    <row r="196" spans="6:17">
      <c r="F196" s="520"/>
      <c r="G196" s="520"/>
      <c r="H196" s="578"/>
      <c r="I196" s="520"/>
      <c r="J196" s="520"/>
      <c r="K196" s="520"/>
      <c r="L196" s="520"/>
      <c r="M196" s="520"/>
      <c r="N196" s="520"/>
      <c r="O196" s="520"/>
      <c r="P196" s="520"/>
      <c r="Q196" s="520"/>
    </row>
    <row r="197" spans="6:17">
      <c r="F197" s="520"/>
      <c r="G197" s="520"/>
      <c r="H197" s="578"/>
      <c r="I197" s="520"/>
      <c r="J197" s="520"/>
      <c r="K197" s="520"/>
      <c r="L197" s="520"/>
      <c r="M197" s="520"/>
      <c r="N197" s="520"/>
      <c r="O197" s="520"/>
      <c r="P197" s="520"/>
      <c r="Q197" s="520"/>
    </row>
    <row r="198" spans="6:17">
      <c r="F198" s="520"/>
      <c r="G198" s="520"/>
      <c r="H198" s="578"/>
      <c r="I198" s="520"/>
      <c r="J198" s="520"/>
      <c r="K198" s="520"/>
      <c r="L198" s="520"/>
      <c r="M198" s="520"/>
      <c r="N198" s="520"/>
      <c r="O198" s="520"/>
      <c r="P198" s="520"/>
      <c r="Q198" s="520"/>
    </row>
    <row r="199" spans="6:17">
      <c r="F199" s="520"/>
      <c r="G199" s="520"/>
      <c r="H199" s="578"/>
      <c r="I199" s="520"/>
      <c r="J199" s="520"/>
      <c r="K199" s="520"/>
      <c r="L199" s="520"/>
      <c r="M199" s="520"/>
      <c r="N199" s="520"/>
      <c r="O199" s="520"/>
      <c r="P199" s="520"/>
      <c r="Q199" s="520"/>
    </row>
    <row r="200" spans="6:17">
      <c r="F200" s="520"/>
      <c r="G200" s="520"/>
      <c r="H200" s="578"/>
      <c r="I200" s="520"/>
      <c r="J200" s="520"/>
      <c r="K200" s="520"/>
      <c r="L200" s="520"/>
      <c r="M200" s="520"/>
      <c r="N200" s="520"/>
      <c r="O200" s="520"/>
      <c r="P200" s="520"/>
      <c r="Q200" s="520"/>
    </row>
    <row r="201" spans="6:17">
      <c r="F201" s="520"/>
      <c r="G201" s="520"/>
      <c r="H201" s="578"/>
      <c r="I201" s="520"/>
      <c r="J201" s="520"/>
      <c r="K201" s="520"/>
      <c r="L201" s="520"/>
      <c r="M201" s="520"/>
      <c r="N201" s="520"/>
      <c r="O201" s="520"/>
      <c r="P201" s="520"/>
      <c r="Q201" s="520"/>
    </row>
    <row r="202" spans="6:17">
      <c r="F202" s="520"/>
      <c r="G202" s="520"/>
      <c r="H202" s="578"/>
      <c r="I202" s="520"/>
      <c r="J202" s="520"/>
      <c r="K202" s="520"/>
      <c r="L202" s="520"/>
      <c r="M202" s="520"/>
      <c r="N202" s="520"/>
      <c r="O202" s="520"/>
      <c r="P202" s="520"/>
      <c r="Q202" s="520"/>
    </row>
    <row r="203" spans="6:17">
      <c r="F203" s="520"/>
      <c r="G203" s="520"/>
      <c r="H203" s="578"/>
      <c r="I203" s="520"/>
      <c r="J203" s="520"/>
      <c r="K203" s="520"/>
      <c r="L203" s="520"/>
      <c r="M203" s="520"/>
      <c r="N203" s="520"/>
      <c r="O203" s="520"/>
      <c r="P203" s="520"/>
      <c r="Q203" s="520"/>
    </row>
    <row r="204" spans="6:17">
      <c r="F204" s="520"/>
      <c r="G204" s="520"/>
      <c r="H204" s="578"/>
      <c r="I204" s="520"/>
      <c r="J204" s="520"/>
      <c r="K204" s="520"/>
      <c r="L204" s="520"/>
      <c r="M204" s="520"/>
      <c r="N204" s="520"/>
      <c r="O204" s="520"/>
      <c r="P204" s="520"/>
      <c r="Q204" s="520"/>
    </row>
    <row r="205" spans="6:17">
      <c r="F205" s="520"/>
      <c r="G205" s="520"/>
      <c r="H205" s="578"/>
      <c r="I205" s="520"/>
      <c r="J205" s="520"/>
      <c r="K205" s="520"/>
      <c r="L205" s="520"/>
      <c r="M205" s="520"/>
      <c r="N205" s="520"/>
      <c r="O205" s="520"/>
      <c r="P205" s="520"/>
      <c r="Q205" s="520"/>
    </row>
    <row r="206" spans="6:17">
      <c r="F206" s="520"/>
      <c r="G206" s="520"/>
      <c r="H206" s="578"/>
      <c r="I206" s="520"/>
      <c r="J206" s="520"/>
      <c r="K206" s="520"/>
      <c r="L206" s="520"/>
      <c r="M206" s="520"/>
      <c r="N206" s="520"/>
      <c r="O206" s="520"/>
      <c r="P206" s="520"/>
      <c r="Q206" s="520"/>
    </row>
    <row r="207" spans="6:17">
      <c r="F207" s="520"/>
      <c r="G207" s="520"/>
      <c r="H207" s="578"/>
      <c r="I207" s="520"/>
      <c r="J207" s="520"/>
      <c r="K207" s="520"/>
      <c r="L207" s="520"/>
      <c r="M207" s="520"/>
      <c r="N207" s="520"/>
      <c r="O207" s="520"/>
      <c r="P207" s="520"/>
      <c r="Q207" s="520"/>
    </row>
    <row r="208" spans="6:17">
      <c r="F208" s="520"/>
      <c r="G208" s="520"/>
      <c r="H208" s="578"/>
      <c r="I208" s="520"/>
      <c r="J208" s="520"/>
      <c r="K208" s="520"/>
      <c r="L208" s="520"/>
      <c r="M208" s="520"/>
      <c r="N208" s="520"/>
      <c r="O208" s="520"/>
      <c r="P208" s="520"/>
      <c r="Q208" s="520"/>
    </row>
    <row r="209" spans="6:17">
      <c r="F209" s="520"/>
      <c r="G209" s="520"/>
      <c r="H209" s="578"/>
      <c r="I209" s="520"/>
      <c r="J209" s="520"/>
      <c r="K209" s="520"/>
      <c r="L209" s="520"/>
      <c r="M209" s="520"/>
      <c r="N209" s="520"/>
      <c r="O209" s="520"/>
      <c r="P209" s="520"/>
      <c r="Q209" s="520"/>
    </row>
    <row r="210" spans="6:17">
      <c r="F210" s="520"/>
      <c r="G210" s="520"/>
      <c r="H210" s="578"/>
      <c r="I210" s="520"/>
      <c r="J210" s="520"/>
      <c r="K210" s="520"/>
      <c r="L210" s="520"/>
      <c r="M210" s="520"/>
      <c r="N210" s="520"/>
      <c r="O210" s="520"/>
      <c r="P210" s="520"/>
      <c r="Q210" s="520"/>
    </row>
    <row r="211" spans="6:17">
      <c r="F211" s="520"/>
      <c r="G211" s="520"/>
      <c r="H211" s="578"/>
      <c r="I211" s="520"/>
      <c r="J211" s="520"/>
      <c r="K211" s="520"/>
      <c r="L211" s="520"/>
      <c r="M211" s="520"/>
      <c r="N211" s="520"/>
      <c r="O211" s="520"/>
      <c r="P211" s="520"/>
      <c r="Q211" s="520"/>
    </row>
    <row r="212" spans="6:17">
      <c r="F212" s="520"/>
      <c r="G212" s="520"/>
      <c r="H212" s="578"/>
      <c r="I212" s="520"/>
      <c r="J212" s="520"/>
      <c r="K212" s="520"/>
      <c r="L212" s="520"/>
      <c r="M212" s="520"/>
      <c r="N212" s="520"/>
      <c r="O212" s="520"/>
      <c r="P212" s="520"/>
      <c r="Q212" s="520"/>
    </row>
    <row r="213" spans="6:17">
      <c r="F213" s="520"/>
      <c r="G213" s="520"/>
      <c r="H213" s="578"/>
      <c r="I213" s="520"/>
      <c r="J213" s="520"/>
      <c r="K213" s="520"/>
      <c r="L213" s="520"/>
      <c r="M213" s="520"/>
      <c r="N213" s="520"/>
      <c r="O213" s="520"/>
      <c r="P213" s="520"/>
      <c r="Q213" s="520"/>
    </row>
    <row r="214" spans="6:17">
      <c r="F214" s="520"/>
      <c r="G214" s="520"/>
      <c r="H214" s="578"/>
      <c r="I214" s="520"/>
      <c r="J214" s="520"/>
      <c r="K214" s="520"/>
      <c r="L214" s="520"/>
      <c r="M214" s="520"/>
      <c r="N214" s="520"/>
      <c r="O214" s="520"/>
      <c r="P214" s="520"/>
      <c r="Q214" s="520"/>
    </row>
    <row r="215" spans="6:17">
      <c r="F215" s="520"/>
      <c r="G215" s="520"/>
      <c r="H215" s="578"/>
      <c r="I215" s="520"/>
      <c r="J215" s="520"/>
      <c r="K215" s="520"/>
      <c r="L215" s="520"/>
      <c r="M215" s="520"/>
      <c r="N215" s="520"/>
      <c r="O215" s="520"/>
      <c r="P215" s="520"/>
      <c r="Q215" s="520"/>
    </row>
    <row r="216" spans="6:17">
      <c r="F216" s="520"/>
      <c r="G216" s="520"/>
      <c r="H216" s="578"/>
      <c r="I216" s="520"/>
      <c r="J216" s="520"/>
      <c r="K216" s="520"/>
      <c r="L216" s="520"/>
      <c r="M216" s="520"/>
      <c r="N216" s="520"/>
      <c r="O216" s="520"/>
      <c r="P216" s="520"/>
      <c r="Q216" s="520"/>
    </row>
    <row r="217" spans="6:17">
      <c r="F217" s="520"/>
      <c r="G217" s="520"/>
      <c r="H217" s="578"/>
      <c r="I217" s="520"/>
      <c r="J217" s="520"/>
      <c r="K217" s="520"/>
      <c r="L217" s="520"/>
      <c r="M217" s="520"/>
      <c r="N217" s="520"/>
      <c r="O217" s="520"/>
      <c r="P217" s="520"/>
      <c r="Q217" s="520"/>
    </row>
    <row r="218" spans="6:17">
      <c r="F218" s="520"/>
      <c r="G218" s="520"/>
      <c r="H218" s="578"/>
      <c r="I218" s="520"/>
      <c r="J218" s="520"/>
      <c r="K218" s="520"/>
      <c r="L218" s="520"/>
      <c r="M218" s="520"/>
      <c r="N218" s="520"/>
      <c r="O218" s="520"/>
      <c r="P218" s="520"/>
      <c r="Q218" s="520"/>
    </row>
    <row r="219" spans="6:17">
      <c r="F219" s="520"/>
      <c r="G219" s="520"/>
      <c r="H219" s="578"/>
      <c r="I219" s="520"/>
      <c r="J219" s="520"/>
      <c r="K219" s="520"/>
      <c r="L219" s="520"/>
      <c r="M219" s="520"/>
      <c r="N219" s="520"/>
      <c r="O219" s="520"/>
      <c r="P219" s="520"/>
      <c r="Q219" s="520"/>
    </row>
    <row r="220" spans="6:17">
      <c r="F220" s="520"/>
      <c r="G220" s="520"/>
      <c r="H220" s="578"/>
      <c r="I220" s="520"/>
      <c r="J220" s="520"/>
      <c r="K220" s="520"/>
      <c r="L220" s="520"/>
      <c r="M220" s="520"/>
      <c r="N220" s="520"/>
      <c r="O220" s="520"/>
      <c r="P220" s="520"/>
      <c r="Q220" s="520"/>
    </row>
    <row r="221" spans="6:17">
      <c r="F221" s="520"/>
      <c r="G221" s="520"/>
      <c r="H221" s="578"/>
      <c r="I221" s="520"/>
      <c r="J221" s="520"/>
      <c r="K221" s="520"/>
      <c r="L221" s="520"/>
      <c r="M221" s="520"/>
      <c r="N221" s="520"/>
      <c r="O221" s="520"/>
      <c r="P221" s="520"/>
      <c r="Q221" s="520"/>
    </row>
    <row r="222" spans="6:17">
      <c r="F222" s="520"/>
      <c r="G222" s="520"/>
      <c r="H222" s="578"/>
      <c r="I222" s="520"/>
      <c r="J222" s="520"/>
      <c r="K222" s="520"/>
      <c r="L222" s="520"/>
      <c r="M222" s="520"/>
      <c r="N222" s="520"/>
      <c r="O222" s="520"/>
      <c r="P222" s="520"/>
      <c r="Q222" s="520"/>
    </row>
    <row r="223" spans="6:17">
      <c r="F223" s="520"/>
      <c r="G223" s="520"/>
      <c r="H223" s="578"/>
      <c r="I223" s="520"/>
      <c r="J223" s="520"/>
      <c r="K223" s="520"/>
      <c r="L223" s="520"/>
      <c r="M223" s="520"/>
      <c r="N223" s="520"/>
      <c r="O223" s="520"/>
      <c r="P223" s="520"/>
      <c r="Q223" s="520"/>
    </row>
    <row r="224" spans="6:17">
      <c r="F224" s="520"/>
      <c r="G224" s="520"/>
      <c r="H224" s="578"/>
      <c r="I224" s="520"/>
      <c r="J224" s="520"/>
      <c r="K224" s="520"/>
      <c r="L224" s="520"/>
      <c r="M224" s="520"/>
      <c r="N224" s="520"/>
      <c r="O224" s="520"/>
      <c r="P224" s="520"/>
      <c r="Q224" s="520"/>
    </row>
    <row r="225" spans="6:17">
      <c r="F225" s="520"/>
      <c r="G225" s="520"/>
      <c r="H225" s="578"/>
      <c r="I225" s="520"/>
      <c r="J225" s="520"/>
      <c r="K225" s="520"/>
      <c r="L225" s="520"/>
      <c r="M225" s="520"/>
      <c r="N225" s="520"/>
      <c r="O225" s="520"/>
      <c r="P225" s="520"/>
      <c r="Q225" s="520"/>
    </row>
    <row r="226" spans="6:17">
      <c r="F226" s="520"/>
      <c r="G226" s="520"/>
      <c r="H226" s="578"/>
      <c r="I226" s="520"/>
      <c r="J226" s="520"/>
      <c r="K226" s="520"/>
      <c r="L226" s="520"/>
      <c r="M226" s="520"/>
      <c r="N226" s="520"/>
      <c r="O226" s="520"/>
      <c r="P226" s="520"/>
      <c r="Q226" s="520"/>
    </row>
    <row r="227" spans="6:17">
      <c r="F227" s="520"/>
      <c r="G227" s="520"/>
      <c r="H227" s="578"/>
      <c r="I227" s="520"/>
      <c r="J227" s="520"/>
      <c r="K227" s="520"/>
      <c r="L227" s="520"/>
      <c r="M227" s="520"/>
      <c r="N227" s="520"/>
      <c r="O227" s="520"/>
      <c r="P227" s="520"/>
      <c r="Q227" s="520"/>
    </row>
    <row r="228" spans="6:17">
      <c r="F228" s="520"/>
      <c r="G228" s="520"/>
      <c r="H228" s="578"/>
      <c r="I228" s="520"/>
      <c r="J228" s="520"/>
      <c r="K228" s="520"/>
      <c r="L228" s="520"/>
      <c r="M228" s="520"/>
      <c r="N228" s="520"/>
      <c r="O228" s="520"/>
      <c r="P228" s="520"/>
      <c r="Q228" s="520"/>
    </row>
    <row r="229" spans="6:17">
      <c r="F229" s="520"/>
      <c r="G229" s="520"/>
      <c r="H229" s="578"/>
      <c r="I229" s="520"/>
      <c r="J229" s="520"/>
      <c r="K229" s="520"/>
      <c r="L229" s="520"/>
      <c r="M229" s="520"/>
      <c r="N229" s="520"/>
      <c r="O229" s="520"/>
      <c r="P229" s="520"/>
      <c r="Q229" s="520"/>
    </row>
    <row r="230" spans="6:17">
      <c r="F230" s="520"/>
      <c r="G230" s="520"/>
      <c r="H230" s="578"/>
      <c r="I230" s="520"/>
      <c r="J230" s="520"/>
      <c r="K230" s="520"/>
      <c r="L230" s="520"/>
      <c r="M230" s="520"/>
      <c r="N230" s="520"/>
      <c r="O230" s="520"/>
      <c r="P230" s="520"/>
      <c r="Q230" s="520"/>
    </row>
    <row r="231" spans="6:17">
      <c r="F231" s="520"/>
      <c r="G231" s="520"/>
      <c r="H231" s="578"/>
      <c r="I231" s="520"/>
      <c r="J231" s="520"/>
      <c r="K231" s="520"/>
      <c r="L231" s="520"/>
      <c r="M231" s="520"/>
      <c r="N231" s="520"/>
      <c r="O231" s="520"/>
      <c r="P231" s="520"/>
      <c r="Q231" s="520"/>
    </row>
    <row r="232" spans="6:17">
      <c r="F232" s="520"/>
      <c r="G232" s="520"/>
      <c r="H232" s="578"/>
      <c r="I232" s="520"/>
      <c r="J232" s="520"/>
      <c r="K232" s="520"/>
      <c r="L232" s="520"/>
      <c r="M232" s="520"/>
      <c r="N232" s="520"/>
      <c r="O232" s="520"/>
      <c r="P232" s="520"/>
      <c r="Q232" s="520"/>
    </row>
    <row r="233" spans="6:17">
      <c r="F233" s="520"/>
      <c r="G233" s="520"/>
      <c r="H233" s="578"/>
      <c r="I233" s="520"/>
      <c r="J233" s="520"/>
      <c r="K233" s="520"/>
      <c r="L233" s="520"/>
      <c r="M233" s="520"/>
      <c r="N233" s="520"/>
      <c r="O233" s="520"/>
      <c r="P233" s="520"/>
      <c r="Q233" s="520"/>
    </row>
    <row r="234" spans="6:17">
      <c r="F234" s="520"/>
      <c r="G234" s="520"/>
      <c r="H234" s="578"/>
      <c r="I234" s="520"/>
      <c r="J234" s="520"/>
      <c r="K234" s="520"/>
      <c r="L234" s="520"/>
      <c r="M234" s="520"/>
      <c r="N234" s="520"/>
      <c r="O234" s="520"/>
      <c r="P234" s="520"/>
      <c r="Q234" s="520"/>
    </row>
    <row r="235" spans="6:17">
      <c r="F235" s="520"/>
      <c r="G235" s="520"/>
      <c r="H235" s="578"/>
      <c r="I235" s="520"/>
      <c r="J235" s="520"/>
      <c r="K235" s="520"/>
      <c r="L235" s="520"/>
      <c r="M235" s="520"/>
      <c r="N235" s="520"/>
      <c r="O235" s="520"/>
      <c r="P235" s="520"/>
      <c r="Q235" s="520"/>
    </row>
    <row r="236" spans="6:17">
      <c r="F236" s="520"/>
      <c r="G236" s="520"/>
      <c r="H236" s="578"/>
      <c r="I236" s="520"/>
      <c r="J236" s="520"/>
      <c r="K236" s="520"/>
      <c r="L236" s="520"/>
      <c r="M236" s="520"/>
      <c r="N236" s="520"/>
      <c r="O236" s="520"/>
      <c r="P236" s="520"/>
      <c r="Q236" s="520"/>
    </row>
    <row r="237" spans="6:17">
      <c r="F237" s="520"/>
      <c r="G237" s="520"/>
      <c r="H237" s="578"/>
      <c r="I237" s="520"/>
      <c r="J237" s="520"/>
      <c r="K237" s="520"/>
      <c r="L237" s="520"/>
      <c r="M237" s="520"/>
      <c r="N237" s="520"/>
      <c r="O237" s="520"/>
      <c r="P237" s="520"/>
      <c r="Q237" s="520"/>
    </row>
    <row r="238" spans="6:17">
      <c r="F238" s="520"/>
      <c r="G238" s="520"/>
      <c r="H238" s="578"/>
      <c r="I238" s="520"/>
      <c r="J238" s="520"/>
      <c r="K238" s="520"/>
      <c r="L238" s="520"/>
      <c r="M238" s="520"/>
      <c r="N238" s="520"/>
      <c r="O238" s="520"/>
      <c r="P238" s="520"/>
      <c r="Q238" s="520"/>
    </row>
    <row r="239" spans="6:17">
      <c r="F239" s="520"/>
      <c r="G239" s="520"/>
      <c r="H239" s="578"/>
      <c r="I239" s="520"/>
      <c r="J239" s="520"/>
      <c r="K239" s="520"/>
      <c r="L239" s="520"/>
      <c r="M239" s="520"/>
      <c r="N239" s="520"/>
      <c r="O239" s="520"/>
      <c r="P239" s="520"/>
      <c r="Q239" s="520"/>
    </row>
    <row r="240" spans="6:17">
      <c r="F240" s="520"/>
      <c r="G240" s="520"/>
      <c r="H240" s="578"/>
      <c r="I240" s="520"/>
      <c r="J240" s="520"/>
      <c r="K240" s="520"/>
      <c r="L240" s="520"/>
      <c r="M240" s="520"/>
      <c r="N240" s="520"/>
      <c r="O240" s="520"/>
      <c r="P240" s="520"/>
      <c r="Q240" s="520"/>
    </row>
    <row r="241" spans="6:17">
      <c r="F241" s="520"/>
      <c r="G241" s="520"/>
      <c r="H241" s="578"/>
      <c r="I241" s="520"/>
      <c r="J241" s="520"/>
      <c r="K241" s="520"/>
      <c r="L241" s="520"/>
      <c r="M241" s="520"/>
      <c r="N241" s="520"/>
      <c r="O241" s="520"/>
      <c r="P241" s="520"/>
      <c r="Q241" s="520"/>
    </row>
    <row r="242" spans="6:17">
      <c r="F242" s="520"/>
      <c r="G242" s="520"/>
      <c r="H242" s="578"/>
      <c r="I242" s="520"/>
      <c r="J242" s="520"/>
      <c r="K242" s="520"/>
      <c r="L242" s="520"/>
      <c r="M242" s="520"/>
      <c r="N242" s="520"/>
      <c r="O242" s="520"/>
      <c r="P242" s="520"/>
      <c r="Q242" s="520"/>
    </row>
    <row r="243" spans="6:17">
      <c r="F243" s="520"/>
      <c r="G243" s="520"/>
      <c r="H243" s="578"/>
      <c r="I243" s="520"/>
      <c r="J243" s="520"/>
      <c r="K243" s="520"/>
      <c r="L243" s="520"/>
      <c r="M243" s="520"/>
      <c r="N243" s="520"/>
      <c r="O243" s="520"/>
      <c r="P243" s="520"/>
      <c r="Q243" s="520"/>
    </row>
    <row r="244" spans="6:17">
      <c r="F244" s="520"/>
      <c r="G244" s="520"/>
      <c r="H244" s="578"/>
      <c r="I244" s="520"/>
      <c r="J244" s="520"/>
      <c r="K244" s="520"/>
      <c r="L244" s="520"/>
      <c r="M244" s="520"/>
      <c r="N244" s="520"/>
      <c r="O244" s="520"/>
      <c r="P244" s="520"/>
      <c r="Q244" s="520"/>
    </row>
    <row r="245" spans="6:17">
      <c r="F245" s="520"/>
      <c r="G245" s="520"/>
      <c r="H245" s="578"/>
      <c r="I245" s="520"/>
      <c r="J245" s="520"/>
      <c r="K245" s="520"/>
      <c r="L245" s="520"/>
      <c r="M245" s="520"/>
      <c r="N245" s="520"/>
      <c r="O245" s="520"/>
      <c r="P245" s="520"/>
      <c r="Q245" s="520"/>
    </row>
    <row r="246" spans="6:17">
      <c r="F246" s="520"/>
      <c r="G246" s="520"/>
      <c r="H246" s="578"/>
      <c r="I246" s="520"/>
      <c r="J246" s="520"/>
      <c r="K246" s="520"/>
      <c r="L246" s="520"/>
      <c r="M246" s="520"/>
      <c r="N246" s="520"/>
      <c r="O246" s="520"/>
      <c r="P246" s="520"/>
      <c r="Q246" s="520"/>
    </row>
    <row r="247" spans="6:17">
      <c r="F247" s="520"/>
      <c r="G247" s="520"/>
      <c r="H247" s="578"/>
      <c r="I247" s="520"/>
      <c r="J247" s="520"/>
      <c r="K247" s="520"/>
      <c r="L247" s="520"/>
      <c r="M247" s="520"/>
      <c r="N247" s="520"/>
      <c r="O247" s="520"/>
      <c r="P247" s="520"/>
      <c r="Q247" s="520"/>
    </row>
    <row r="248" spans="6:17">
      <c r="F248" s="520"/>
      <c r="G248" s="520"/>
      <c r="H248" s="578"/>
      <c r="I248" s="520"/>
      <c r="J248" s="520"/>
      <c r="K248" s="520"/>
      <c r="L248" s="520"/>
      <c r="M248" s="520"/>
      <c r="N248" s="520"/>
      <c r="O248" s="520"/>
      <c r="P248" s="520"/>
      <c r="Q248" s="520"/>
    </row>
    <row r="249" spans="6:17">
      <c r="F249" s="520"/>
      <c r="G249" s="520"/>
      <c r="H249" s="578"/>
      <c r="I249" s="520"/>
      <c r="J249" s="520"/>
      <c r="K249" s="520"/>
      <c r="L249" s="520"/>
      <c r="M249" s="520"/>
      <c r="N249" s="520"/>
      <c r="O249" s="520"/>
      <c r="P249" s="520"/>
      <c r="Q249" s="520"/>
    </row>
    <row r="250" spans="6:17">
      <c r="F250" s="520"/>
      <c r="G250" s="520"/>
      <c r="H250" s="578"/>
      <c r="I250" s="520"/>
      <c r="J250" s="520"/>
      <c r="K250" s="520"/>
      <c r="L250" s="520"/>
      <c r="M250" s="520"/>
      <c r="N250" s="520"/>
      <c r="O250" s="520"/>
      <c r="P250" s="520"/>
      <c r="Q250" s="520"/>
    </row>
    <row r="251" spans="6:17">
      <c r="F251" s="520"/>
      <c r="G251" s="520"/>
      <c r="H251" s="578"/>
      <c r="I251" s="520"/>
      <c r="J251" s="520"/>
      <c r="K251" s="520"/>
      <c r="L251" s="520"/>
      <c r="M251" s="520"/>
      <c r="N251" s="520"/>
      <c r="O251" s="520"/>
      <c r="P251" s="520"/>
      <c r="Q251" s="520"/>
    </row>
    <row r="252" spans="6:17">
      <c r="F252" s="520"/>
      <c r="G252" s="520"/>
      <c r="H252" s="578"/>
      <c r="I252" s="520"/>
      <c r="J252" s="520"/>
      <c r="K252" s="520"/>
      <c r="L252" s="520"/>
      <c r="M252" s="520"/>
      <c r="N252" s="520"/>
      <c r="O252" s="520"/>
      <c r="P252" s="520"/>
      <c r="Q252" s="520"/>
    </row>
    <row r="253" spans="6:17">
      <c r="F253" s="520"/>
      <c r="G253" s="520"/>
      <c r="H253" s="578"/>
      <c r="I253" s="520"/>
      <c r="J253" s="520"/>
      <c r="K253" s="520"/>
      <c r="L253" s="520"/>
      <c r="M253" s="520"/>
      <c r="N253" s="520"/>
      <c r="O253" s="520"/>
      <c r="P253" s="520"/>
      <c r="Q253" s="520"/>
    </row>
    <row r="254" spans="6:17">
      <c r="F254" s="520"/>
      <c r="G254" s="520"/>
      <c r="H254" s="578"/>
      <c r="I254" s="520"/>
      <c r="J254" s="520"/>
      <c r="K254" s="520"/>
      <c r="L254" s="520"/>
      <c r="M254" s="520"/>
      <c r="N254" s="520"/>
      <c r="O254" s="520"/>
      <c r="P254" s="520"/>
      <c r="Q254" s="520"/>
    </row>
    <row r="255" spans="6:17">
      <c r="F255" s="520"/>
      <c r="G255" s="520"/>
      <c r="H255" s="578"/>
      <c r="I255" s="520"/>
      <c r="J255" s="520"/>
      <c r="K255" s="520"/>
      <c r="L255" s="520"/>
      <c r="M255" s="520"/>
      <c r="N255" s="520"/>
      <c r="O255" s="520"/>
      <c r="P255" s="520"/>
      <c r="Q255" s="520"/>
    </row>
    <row r="256" spans="6:17">
      <c r="F256" s="520"/>
      <c r="G256" s="520"/>
      <c r="H256" s="578"/>
      <c r="I256" s="520"/>
      <c r="J256" s="520"/>
      <c r="K256" s="520"/>
      <c r="L256" s="520"/>
      <c r="M256" s="520"/>
      <c r="N256" s="520"/>
      <c r="O256" s="520"/>
      <c r="P256" s="520"/>
      <c r="Q256" s="520"/>
    </row>
    <row r="257" spans="6:17">
      <c r="F257" s="520"/>
      <c r="G257" s="520"/>
      <c r="H257" s="578"/>
      <c r="I257" s="520"/>
      <c r="J257" s="520"/>
      <c r="K257" s="520"/>
      <c r="L257" s="520"/>
      <c r="M257" s="520"/>
      <c r="N257" s="520"/>
      <c r="O257" s="520"/>
      <c r="P257" s="520"/>
      <c r="Q257" s="520"/>
    </row>
    <row r="258" spans="6:17">
      <c r="F258" s="520"/>
      <c r="G258" s="520"/>
      <c r="H258" s="578"/>
      <c r="I258" s="520"/>
      <c r="J258" s="520"/>
      <c r="K258" s="520"/>
      <c r="L258" s="520"/>
      <c r="M258" s="520"/>
      <c r="N258" s="520"/>
      <c r="O258" s="520"/>
      <c r="P258" s="520"/>
      <c r="Q258" s="520"/>
    </row>
    <row r="259" spans="6:17">
      <c r="F259" s="520"/>
      <c r="G259" s="520"/>
      <c r="H259" s="578"/>
      <c r="I259" s="520"/>
      <c r="J259" s="520"/>
      <c r="K259" s="520"/>
      <c r="L259" s="520"/>
      <c r="M259" s="520"/>
      <c r="N259" s="520"/>
      <c r="O259" s="520"/>
      <c r="P259" s="520"/>
      <c r="Q259" s="520"/>
    </row>
    <row r="260" spans="6:17">
      <c r="F260" s="520"/>
      <c r="G260" s="520"/>
      <c r="H260" s="578"/>
      <c r="I260" s="520"/>
      <c r="J260" s="520"/>
      <c r="K260" s="520"/>
      <c r="L260" s="520"/>
      <c r="M260" s="520"/>
      <c r="N260" s="520"/>
      <c r="O260" s="520"/>
      <c r="P260" s="520"/>
      <c r="Q260" s="520"/>
    </row>
    <row r="261" spans="6:17">
      <c r="F261" s="520"/>
      <c r="G261" s="520"/>
      <c r="H261" s="578"/>
      <c r="I261" s="520"/>
      <c r="J261" s="520"/>
      <c r="K261" s="520"/>
      <c r="L261" s="520"/>
      <c r="M261" s="520"/>
      <c r="N261" s="520"/>
      <c r="O261" s="520"/>
      <c r="P261" s="520"/>
      <c r="Q261" s="520"/>
    </row>
    <row r="262" spans="6:17">
      <c r="F262" s="520"/>
      <c r="G262" s="520"/>
      <c r="H262" s="578"/>
      <c r="I262" s="520"/>
      <c r="J262" s="520"/>
      <c r="K262" s="520"/>
      <c r="L262" s="520"/>
      <c r="M262" s="520"/>
      <c r="N262" s="520"/>
      <c r="O262" s="520"/>
      <c r="P262" s="520"/>
      <c r="Q262" s="520"/>
    </row>
    <row r="263" spans="6:17">
      <c r="F263" s="520"/>
      <c r="G263" s="520"/>
      <c r="H263" s="578"/>
      <c r="I263" s="520"/>
      <c r="J263" s="520"/>
      <c r="K263" s="520"/>
      <c r="L263" s="520"/>
      <c r="M263" s="520"/>
      <c r="N263" s="520"/>
      <c r="O263" s="520"/>
      <c r="P263" s="520"/>
      <c r="Q263" s="520"/>
    </row>
    <row r="264" spans="6:17">
      <c r="F264" s="520"/>
      <c r="G264" s="520"/>
      <c r="H264" s="578"/>
      <c r="I264" s="520"/>
      <c r="J264" s="520"/>
      <c r="K264" s="520"/>
      <c r="L264" s="520"/>
      <c r="M264" s="520"/>
      <c r="N264" s="520"/>
      <c r="O264" s="520"/>
      <c r="P264" s="520"/>
      <c r="Q264" s="520"/>
    </row>
    <row r="265" spans="6:17">
      <c r="F265" s="520"/>
      <c r="G265" s="520"/>
      <c r="H265" s="578"/>
      <c r="I265" s="520"/>
      <c r="J265" s="520"/>
      <c r="K265" s="520"/>
      <c r="L265" s="520"/>
      <c r="M265" s="520"/>
      <c r="N265" s="520"/>
      <c r="O265" s="520"/>
      <c r="P265" s="520"/>
      <c r="Q265" s="520"/>
    </row>
    <row r="266" spans="6:17">
      <c r="F266" s="520"/>
      <c r="G266" s="520"/>
      <c r="H266" s="578"/>
      <c r="I266" s="520"/>
      <c r="J266" s="520"/>
      <c r="K266" s="520"/>
      <c r="L266" s="520"/>
      <c r="M266" s="520"/>
      <c r="N266" s="520"/>
      <c r="O266" s="520"/>
      <c r="P266" s="520"/>
      <c r="Q266" s="520"/>
    </row>
    <row r="267" spans="6:17">
      <c r="F267" s="520"/>
      <c r="G267" s="520"/>
      <c r="H267" s="578"/>
      <c r="I267" s="520"/>
      <c r="J267" s="520"/>
      <c r="K267" s="520"/>
      <c r="L267" s="520"/>
      <c r="M267" s="520"/>
      <c r="N267" s="520"/>
      <c r="O267" s="520"/>
      <c r="P267" s="520"/>
      <c r="Q267" s="520"/>
    </row>
    <row r="268" spans="6:17">
      <c r="F268" s="520"/>
      <c r="G268" s="520"/>
      <c r="H268" s="578"/>
      <c r="I268" s="520"/>
      <c r="J268" s="520"/>
      <c r="K268" s="520"/>
      <c r="L268" s="520"/>
      <c r="M268" s="520"/>
      <c r="N268" s="520"/>
      <c r="O268" s="520"/>
      <c r="P268" s="520"/>
      <c r="Q268" s="520"/>
    </row>
    <row r="269" spans="6:17">
      <c r="F269" s="520"/>
      <c r="G269" s="520"/>
      <c r="H269" s="578"/>
      <c r="I269" s="520"/>
      <c r="J269" s="520"/>
      <c r="K269" s="520"/>
      <c r="L269" s="520"/>
      <c r="M269" s="520"/>
      <c r="N269" s="520"/>
      <c r="O269" s="520"/>
      <c r="P269" s="520"/>
      <c r="Q269" s="520"/>
    </row>
    <row r="270" spans="6:17">
      <c r="F270" s="520"/>
      <c r="G270" s="520"/>
      <c r="H270" s="578"/>
      <c r="I270" s="520"/>
      <c r="J270" s="520"/>
      <c r="K270" s="520"/>
      <c r="L270" s="520"/>
      <c r="M270" s="520"/>
      <c r="N270" s="520"/>
      <c r="O270" s="520"/>
      <c r="P270" s="520"/>
      <c r="Q270" s="520"/>
    </row>
    <row r="271" spans="6:17">
      <c r="F271" s="520"/>
      <c r="G271" s="520"/>
      <c r="H271" s="578"/>
      <c r="I271" s="520"/>
      <c r="J271" s="520"/>
      <c r="K271" s="520"/>
      <c r="L271" s="520"/>
      <c r="M271" s="520"/>
      <c r="N271" s="520"/>
      <c r="O271" s="520"/>
      <c r="P271" s="520"/>
      <c r="Q271" s="520"/>
    </row>
    <row r="272" spans="6:17">
      <c r="F272" s="520"/>
      <c r="G272" s="520"/>
      <c r="H272" s="578"/>
      <c r="I272" s="520"/>
      <c r="J272" s="520"/>
      <c r="K272" s="520"/>
      <c r="L272" s="520"/>
      <c r="M272" s="520"/>
      <c r="N272" s="520"/>
      <c r="O272" s="520"/>
      <c r="P272" s="520"/>
      <c r="Q272" s="520"/>
    </row>
    <row r="273" spans="6:17">
      <c r="F273" s="520"/>
      <c r="G273" s="520"/>
      <c r="H273" s="578"/>
      <c r="I273" s="520"/>
      <c r="J273" s="520"/>
      <c r="K273" s="520"/>
      <c r="L273" s="520"/>
      <c r="M273" s="520"/>
      <c r="N273" s="520"/>
      <c r="O273" s="520"/>
      <c r="P273" s="520"/>
      <c r="Q273" s="520"/>
    </row>
    <row r="274" spans="6:17">
      <c r="F274" s="520"/>
      <c r="G274" s="520"/>
      <c r="H274" s="578"/>
      <c r="I274" s="520"/>
      <c r="J274" s="520"/>
      <c r="K274" s="520"/>
      <c r="L274" s="520"/>
      <c r="M274" s="520"/>
      <c r="N274" s="520"/>
      <c r="O274" s="520"/>
      <c r="P274" s="520"/>
      <c r="Q274" s="520"/>
    </row>
    <row r="275" spans="6:17">
      <c r="F275" s="520"/>
      <c r="G275" s="520"/>
      <c r="H275" s="578"/>
      <c r="I275" s="520"/>
      <c r="J275" s="520"/>
      <c r="K275" s="520"/>
      <c r="L275" s="520"/>
      <c r="M275" s="520"/>
      <c r="N275" s="520"/>
      <c r="O275" s="520"/>
      <c r="P275" s="520"/>
      <c r="Q275" s="520"/>
    </row>
    <row r="276" spans="6:17">
      <c r="F276" s="520"/>
      <c r="G276" s="520"/>
      <c r="H276" s="578"/>
      <c r="I276" s="520"/>
      <c r="J276" s="520"/>
      <c r="K276" s="520"/>
      <c r="L276" s="520"/>
      <c r="M276" s="520"/>
      <c r="N276" s="520"/>
      <c r="O276" s="520"/>
      <c r="P276" s="520"/>
      <c r="Q276" s="520"/>
    </row>
    <row r="277" spans="6:17">
      <c r="F277" s="520"/>
      <c r="G277" s="520"/>
      <c r="H277" s="578"/>
      <c r="I277" s="520"/>
      <c r="J277" s="520"/>
      <c r="K277" s="520"/>
      <c r="L277" s="520"/>
      <c r="M277" s="520"/>
      <c r="N277" s="520"/>
      <c r="O277" s="520"/>
      <c r="P277" s="520"/>
      <c r="Q277" s="520"/>
    </row>
    <row r="278" spans="6:17">
      <c r="F278" s="520"/>
      <c r="G278" s="520"/>
      <c r="H278" s="578"/>
      <c r="I278" s="520"/>
      <c r="J278" s="520"/>
      <c r="K278" s="520"/>
      <c r="L278" s="520"/>
      <c r="M278" s="520"/>
      <c r="N278" s="520"/>
      <c r="O278" s="520"/>
      <c r="P278" s="520"/>
      <c r="Q278" s="520"/>
    </row>
    <row r="279" spans="6:17">
      <c r="F279" s="520"/>
      <c r="G279" s="520"/>
      <c r="H279" s="578"/>
      <c r="I279" s="520"/>
      <c r="J279" s="520"/>
      <c r="K279" s="520"/>
      <c r="L279" s="520"/>
      <c r="M279" s="520"/>
      <c r="N279" s="520"/>
      <c r="O279" s="520"/>
      <c r="P279" s="520"/>
      <c r="Q279" s="520"/>
    </row>
    <row r="280" spans="6:17">
      <c r="F280" s="520"/>
      <c r="G280" s="520"/>
      <c r="H280" s="578"/>
      <c r="I280" s="520"/>
      <c r="J280" s="520"/>
      <c r="K280" s="520"/>
      <c r="L280" s="520"/>
      <c r="M280" s="520"/>
      <c r="N280" s="520"/>
      <c r="O280" s="520"/>
      <c r="P280" s="520"/>
      <c r="Q280" s="520"/>
    </row>
    <row r="281" spans="6:17">
      <c r="F281" s="520"/>
      <c r="G281" s="520"/>
      <c r="H281" s="578"/>
      <c r="I281" s="520"/>
      <c r="J281" s="520"/>
      <c r="K281" s="520"/>
      <c r="L281" s="520"/>
      <c r="M281" s="520"/>
      <c r="N281" s="520"/>
      <c r="O281" s="520"/>
      <c r="P281" s="520"/>
      <c r="Q281" s="520"/>
    </row>
    <row r="282" spans="6:17">
      <c r="F282" s="520"/>
      <c r="G282" s="520"/>
      <c r="H282" s="578"/>
      <c r="I282" s="520"/>
      <c r="J282" s="520"/>
      <c r="K282" s="520"/>
      <c r="L282" s="520"/>
      <c r="M282" s="520"/>
      <c r="N282" s="520"/>
      <c r="O282" s="520"/>
      <c r="P282" s="520"/>
      <c r="Q282" s="520"/>
    </row>
    <row r="283" spans="6:17">
      <c r="F283" s="520"/>
      <c r="G283" s="520"/>
      <c r="H283" s="578"/>
      <c r="I283" s="520"/>
      <c r="J283" s="520"/>
      <c r="K283" s="520"/>
      <c r="L283" s="520"/>
      <c r="M283" s="520"/>
      <c r="N283" s="520"/>
      <c r="O283" s="520"/>
      <c r="P283" s="520"/>
      <c r="Q283" s="520"/>
    </row>
    <row r="284" spans="6:17">
      <c r="F284" s="520"/>
      <c r="G284" s="520"/>
      <c r="H284" s="578"/>
      <c r="I284" s="520"/>
      <c r="J284" s="520"/>
      <c r="K284" s="520"/>
      <c r="L284" s="520"/>
      <c r="M284" s="520"/>
      <c r="N284" s="520"/>
      <c r="O284" s="520"/>
      <c r="P284" s="520"/>
      <c r="Q284" s="520"/>
    </row>
    <row r="285" spans="6:17">
      <c r="F285" s="520"/>
      <c r="G285" s="520"/>
      <c r="H285" s="578"/>
      <c r="I285" s="520"/>
      <c r="J285" s="520"/>
      <c r="K285" s="520"/>
      <c r="L285" s="520"/>
      <c r="M285" s="520"/>
      <c r="N285" s="520"/>
      <c r="O285" s="520"/>
      <c r="P285" s="520"/>
      <c r="Q285" s="520"/>
    </row>
    <row r="286" spans="6:17">
      <c r="F286" s="520"/>
      <c r="G286" s="520"/>
      <c r="H286" s="578"/>
      <c r="I286" s="520"/>
      <c r="J286" s="520"/>
      <c r="K286" s="520"/>
      <c r="L286" s="520"/>
      <c r="M286" s="520"/>
      <c r="N286" s="520"/>
      <c r="O286" s="520"/>
      <c r="P286" s="520"/>
      <c r="Q286" s="520"/>
    </row>
    <row r="287" spans="6:17">
      <c r="F287" s="520"/>
      <c r="G287" s="520"/>
      <c r="H287" s="578"/>
      <c r="I287" s="520"/>
      <c r="J287" s="520"/>
      <c r="K287" s="520"/>
      <c r="L287" s="520"/>
      <c r="M287" s="520"/>
      <c r="N287" s="520"/>
      <c r="O287" s="520"/>
      <c r="P287" s="520"/>
      <c r="Q287" s="520"/>
    </row>
    <row r="288" spans="6:17">
      <c r="F288" s="520"/>
      <c r="G288" s="520"/>
      <c r="H288" s="578"/>
      <c r="I288" s="520"/>
      <c r="J288" s="520"/>
      <c r="K288" s="520"/>
      <c r="L288" s="520"/>
      <c r="M288" s="520"/>
      <c r="N288" s="520"/>
      <c r="O288" s="520"/>
      <c r="P288" s="520"/>
      <c r="Q288" s="520"/>
    </row>
    <row r="289" spans="6:17">
      <c r="F289" s="520"/>
      <c r="G289" s="520"/>
      <c r="H289" s="578"/>
      <c r="I289" s="520"/>
      <c r="J289" s="520"/>
      <c r="K289" s="520"/>
      <c r="L289" s="520"/>
      <c r="M289" s="520"/>
      <c r="N289" s="520"/>
      <c r="O289" s="520"/>
      <c r="P289" s="520"/>
      <c r="Q289" s="520"/>
    </row>
    <row r="290" spans="6:17">
      <c r="F290" s="520"/>
      <c r="G290" s="520"/>
      <c r="H290" s="578"/>
      <c r="I290" s="520"/>
      <c r="J290" s="520"/>
      <c r="K290" s="520"/>
      <c r="L290" s="520"/>
      <c r="M290" s="520"/>
      <c r="N290" s="520"/>
      <c r="O290" s="520"/>
      <c r="P290" s="520"/>
      <c r="Q290" s="520"/>
    </row>
    <row r="291" spans="6:17">
      <c r="F291" s="520"/>
      <c r="G291" s="520"/>
      <c r="H291" s="578"/>
      <c r="I291" s="520"/>
      <c r="J291" s="520"/>
      <c r="K291" s="520"/>
      <c r="L291" s="520"/>
      <c r="M291" s="520"/>
      <c r="N291" s="520"/>
      <c r="O291" s="520"/>
      <c r="P291" s="520"/>
      <c r="Q291" s="520"/>
    </row>
    <row r="292" spans="6:17">
      <c r="F292" s="520"/>
      <c r="G292" s="520"/>
      <c r="H292" s="578"/>
      <c r="I292" s="520"/>
      <c r="J292" s="520"/>
      <c r="K292" s="520"/>
      <c r="L292" s="520"/>
      <c r="M292" s="520"/>
      <c r="N292" s="520"/>
      <c r="O292" s="520"/>
      <c r="P292" s="520"/>
      <c r="Q292" s="520"/>
    </row>
    <row r="293" spans="6:17">
      <c r="F293" s="520"/>
      <c r="G293" s="520"/>
      <c r="H293" s="578"/>
      <c r="I293" s="520"/>
      <c r="J293" s="520"/>
      <c r="K293" s="520"/>
      <c r="L293" s="520"/>
      <c r="M293" s="520"/>
      <c r="N293" s="520"/>
      <c r="O293" s="520"/>
      <c r="P293" s="520"/>
      <c r="Q293" s="520"/>
    </row>
    <row r="294" spans="6:17">
      <c r="F294" s="520"/>
      <c r="G294" s="520"/>
      <c r="H294" s="578"/>
      <c r="I294" s="520"/>
      <c r="J294" s="520"/>
      <c r="K294" s="520"/>
      <c r="L294" s="520"/>
      <c r="M294" s="520"/>
      <c r="N294" s="520"/>
      <c r="O294" s="520"/>
      <c r="P294" s="520"/>
      <c r="Q294" s="520"/>
    </row>
    <row r="295" spans="6:17">
      <c r="F295" s="520"/>
      <c r="G295" s="520"/>
      <c r="H295" s="578"/>
      <c r="I295" s="520"/>
      <c r="J295" s="520"/>
      <c r="K295" s="520"/>
      <c r="L295" s="520"/>
      <c r="M295" s="520"/>
      <c r="N295" s="520"/>
      <c r="O295" s="520"/>
      <c r="P295" s="520"/>
      <c r="Q295" s="520"/>
    </row>
    <row r="296" spans="6:17">
      <c r="F296" s="520"/>
      <c r="G296" s="520"/>
      <c r="H296" s="578"/>
      <c r="I296" s="520"/>
      <c r="J296" s="520"/>
      <c r="K296" s="520"/>
      <c r="L296" s="520"/>
      <c r="M296" s="520"/>
      <c r="N296" s="520"/>
      <c r="O296" s="520"/>
      <c r="P296" s="520"/>
      <c r="Q296" s="520"/>
    </row>
    <row r="297" spans="6:17">
      <c r="F297" s="520"/>
      <c r="G297" s="520"/>
      <c r="H297" s="578"/>
      <c r="I297" s="520"/>
      <c r="J297" s="520"/>
      <c r="K297" s="520"/>
      <c r="L297" s="520"/>
      <c r="M297" s="520"/>
      <c r="N297" s="520"/>
      <c r="O297" s="520"/>
      <c r="P297" s="520"/>
      <c r="Q297" s="520"/>
    </row>
    <row r="298" spans="6:17">
      <c r="F298" s="520"/>
      <c r="G298" s="520"/>
      <c r="H298" s="578"/>
      <c r="I298" s="520"/>
      <c r="J298" s="520"/>
      <c r="K298" s="520"/>
      <c r="L298" s="520"/>
      <c r="M298" s="520"/>
      <c r="N298" s="520"/>
      <c r="O298" s="520"/>
      <c r="P298" s="520"/>
      <c r="Q298" s="520"/>
    </row>
    <row r="299" spans="6:17">
      <c r="F299" s="520"/>
      <c r="G299" s="520"/>
      <c r="H299" s="578"/>
      <c r="I299" s="520"/>
      <c r="J299" s="520"/>
      <c r="K299" s="520"/>
      <c r="L299" s="520"/>
      <c r="M299" s="520"/>
      <c r="N299" s="520"/>
      <c r="O299" s="520"/>
      <c r="P299" s="520"/>
      <c r="Q299" s="520"/>
    </row>
    <row r="300" spans="6:17">
      <c r="F300" s="520"/>
      <c r="G300" s="520"/>
      <c r="H300" s="578"/>
      <c r="I300" s="520"/>
      <c r="J300" s="520"/>
      <c r="K300" s="520"/>
      <c r="L300" s="520"/>
      <c r="M300" s="520"/>
      <c r="N300" s="520"/>
      <c r="O300" s="520"/>
      <c r="P300" s="520"/>
      <c r="Q300" s="520"/>
    </row>
    <row r="301" spans="6:17">
      <c r="F301" s="520"/>
      <c r="G301" s="520"/>
      <c r="H301" s="578"/>
      <c r="I301" s="520"/>
      <c r="J301" s="520"/>
      <c r="K301" s="520"/>
      <c r="L301" s="520"/>
      <c r="M301" s="520"/>
      <c r="N301" s="520"/>
      <c r="O301" s="520"/>
      <c r="P301" s="520"/>
      <c r="Q301" s="520"/>
    </row>
    <row r="302" spans="6:17">
      <c r="F302" s="520"/>
      <c r="G302" s="520"/>
      <c r="H302" s="578"/>
      <c r="I302" s="520"/>
      <c r="J302" s="520"/>
      <c r="K302" s="520"/>
      <c r="L302" s="520"/>
      <c r="M302" s="520"/>
      <c r="N302" s="520"/>
      <c r="O302" s="520"/>
      <c r="P302" s="520"/>
      <c r="Q302" s="520"/>
    </row>
    <row r="303" spans="6:17">
      <c r="F303" s="520"/>
      <c r="G303" s="520"/>
      <c r="H303" s="578"/>
      <c r="I303" s="520"/>
      <c r="J303" s="520"/>
      <c r="K303" s="520"/>
      <c r="L303" s="520"/>
      <c r="M303" s="520"/>
      <c r="N303" s="520"/>
      <c r="O303" s="520"/>
      <c r="P303" s="520"/>
      <c r="Q303" s="520"/>
    </row>
    <row r="304" spans="6:17">
      <c r="F304" s="520"/>
      <c r="G304" s="520"/>
      <c r="H304" s="578"/>
      <c r="I304" s="520"/>
      <c r="J304" s="520"/>
      <c r="K304" s="520"/>
      <c r="L304" s="520"/>
      <c r="M304" s="520"/>
      <c r="N304" s="520"/>
      <c r="O304" s="520"/>
      <c r="P304" s="520"/>
      <c r="Q304" s="520"/>
    </row>
    <row r="305" spans="6:17">
      <c r="F305" s="520"/>
      <c r="G305" s="520"/>
      <c r="H305" s="578"/>
      <c r="I305" s="520"/>
      <c r="J305" s="520"/>
      <c r="K305" s="520"/>
      <c r="L305" s="520"/>
      <c r="M305" s="520"/>
      <c r="N305" s="520"/>
      <c r="O305" s="520"/>
      <c r="P305" s="520"/>
      <c r="Q305" s="520"/>
    </row>
    <row r="306" spans="6:17">
      <c r="F306" s="520"/>
      <c r="G306" s="520"/>
      <c r="H306" s="578"/>
      <c r="I306" s="520"/>
      <c r="J306" s="520"/>
      <c r="K306" s="520"/>
      <c r="L306" s="520"/>
      <c r="M306" s="520"/>
      <c r="N306" s="520"/>
      <c r="O306" s="520"/>
      <c r="P306" s="520"/>
      <c r="Q306" s="520"/>
    </row>
    <row r="307" spans="6:17">
      <c r="F307" s="520"/>
      <c r="G307" s="520"/>
      <c r="H307" s="578"/>
      <c r="I307" s="520"/>
      <c r="J307" s="520"/>
      <c r="K307" s="520"/>
      <c r="L307" s="520"/>
      <c r="M307" s="520"/>
      <c r="N307" s="520"/>
      <c r="O307" s="520"/>
      <c r="P307" s="520"/>
      <c r="Q307" s="520"/>
    </row>
    <row r="308" spans="6:17">
      <c r="F308" s="520"/>
      <c r="G308" s="520"/>
      <c r="H308" s="578"/>
      <c r="I308" s="520"/>
      <c r="J308" s="520"/>
      <c r="K308" s="520"/>
      <c r="L308" s="520"/>
      <c r="M308" s="520"/>
      <c r="N308" s="520"/>
      <c r="O308" s="520"/>
      <c r="P308" s="520"/>
      <c r="Q308" s="520"/>
    </row>
    <row r="309" spans="6:17">
      <c r="F309" s="520"/>
      <c r="G309" s="520"/>
      <c r="H309" s="578"/>
      <c r="I309" s="520"/>
      <c r="J309" s="520"/>
      <c r="K309" s="520"/>
      <c r="L309" s="520"/>
      <c r="M309" s="520"/>
      <c r="N309" s="520"/>
      <c r="O309" s="520"/>
      <c r="P309" s="520"/>
      <c r="Q309" s="520"/>
    </row>
    <row r="310" spans="6:17">
      <c r="F310" s="520"/>
      <c r="G310" s="520"/>
      <c r="H310" s="578"/>
      <c r="I310" s="520"/>
      <c r="J310" s="520"/>
      <c r="K310" s="520"/>
      <c r="L310" s="520"/>
      <c r="M310" s="520"/>
      <c r="N310" s="520"/>
      <c r="O310" s="520"/>
      <c r="P310" s="520"/>
      <c r="Q310" s="520"/>
    </row>
    <row r="311" spans="6:17">
      <c r="F311" s="520"/>
      <c r="G311" s="520"/>
      <c r="H311" s="578"/>
      <c r="I311" s="520"/>
      <c r="J311" s="520"/>
      <c r="K311" s="520"/>
      <c r="L311" s="520"/>
      <c r="M311" s="520"/>
      <c r="N311" s="520"/>
      <c r="O311" s="520"/>
      <c r="P311" s="520"/>
      <c r="Q311" s="520"/>
    </row>
    <row r="312" spans="6:17">
      <c r="F312" s="520"/>
      <c r="G312" s="520"/>
      <c r="H312" s="578"/>
      <c r="I312" s="520"/>
      <c r="J312" s="520"/>
      <c r="K312" s="520"/>
      <c r="L312" s="520"/>
      <c r="M312" s="520"/>
      <c r="N312" s="520"/>
      <c r="O312" s="520"/>
      <c r="P312" s="520"/>
      <c r="Q312" s="520"/>
    </row>
    <row r="313" spans="6:17">
      <c r="F313" s="520"/>
      <c r="G313" s="520"/>
      <c r="H313" s="578"/>
      <c r="I313" s="520"/>
      <c r="J313" s="520"/>
      <c r="K313" s="520"/>
      <c r="L313" s="520"/>
      <c r="M313" s="520"/>
      <c r="N313" s="520"/>
      <c r="O313" s="520"/>
      <c r="P313" s="520"/>
      <c r="Q313" s="520"/>
    </row>
    <row r="314" spans="6:17">
      <c r="F314" s="520"/>
      <c r="G314" s="520"/>
      <c r="H314" s="578"/>
      <c r="I314" s="520"/>
      <c r="J314" s="520"/>
      <c r="K314" s="520"/>
      <c r="L314" s="520"/>
      <c r="M314" s="520"/>
      <c r="N314" s="520"/>
      <c r="O314" s="520"/>
      <c r="P314" s="520"/>
      <c r="Q314" s="520"/>
    </row>
    <row r="315" spans="6:17">
      <c r="F315" s="520"/>
      <c r="G315" s="520"/>
      <c r="H315" s="578"/>
      <c r="I315" s="520"/>
      <c r="J315" s="520"/>
      <c r="K315" s="520"/>
      <c r="L315" s="520"/>
      <c r="M315" s="520"/>
      <c r="N315" s="520"/>
      <c r="O315" s="520"/>
      <c r="P315" s="520"/>
      <c r="Q315" s="520"/>
    </row>
    <row r="316" spans="6:17">
      <c r="F316" s="520"/>
      <c r="G316" s="520"/>
      <c r="H316" s="578"/>
      <c r="I316" s="520"/>
      <c r="J316" s="520"/>
      <c r="K316" s="520"/>
      <c r="L316" s="520"/>
      <c r="M316" s="520"/>
      <c r="N316" s="520"/>
      <c r="O316" s="520"/>
      <c r="P316" s="520"/>
      <c r="Q316" s="520"/>
    </row>
    <row r="317" spans="6:17">
      <c r="F317" s="520"/>
      <c r="G317" s="520"/>
      <c r="H317" s="578"/>
      <c r="I317" s="520"/>
      <c r="J317" s="520"/>
      <c r="K317" s="520"/>
      <c r="L317" s="520"/>
      <c r="M317" s="520"/>
      <c r="N317" s="520"/>
      <c r="O317" s="520"/>
      <c r="P317" s="520"/>
      <c r="Q317" s="520"/>
    </row>
    <row r="318" spans="6:17">
      <c r="F318" s="520"/>
      <c r="G318" s="520"/>
      <c r="H318" s="578"/>
      <c r="I318" s="520"/>
      <c r="J318" s="520"/>
      <c r="K318" s="520"/>
      <c r="L318" s="520"/>
      <c r="M318" s="520"/>
      <c r="N318" s="520"/>
      <c r="O318" s="520"/>
      <c r="P318" s="520"/>
      <c r="Q318" s="520"/>
    </row>
    <row r="319" spans="6:17">
      <c r="F319" s="520"/>
      <c r="G319" s="520"/>
      <c r="H319" s="578"/>
      <c r="I319" s="520"/>
      <c r="J319" s="520"/>
      <c r="K319" s="520"/>
      <c r="L319" s="520"/>
      <c r="M319" s="520"/>
      <c r="N319" s="520"/>
      <c r="O319" s="520"/>
      <c r="P319" s="520"/>
      <c r="Q319" s="520"/>
    </row>
    <row r="320" spans="6:17">
      <c r="F320" s="520"/>
      <c r="G320" s="520"/>
      <c r="H320" s="578"/>
      <c r="I320" s="520"/>
      <c r="J320" s="520"/>
      <c r="K320" s="520"/>
      <c r="L320" s="520"/>
      <c r="M320" s="520"/>
      <c r="N320" s="520"/>
      <c r="O320" s="520"/>
      <c r="P320" s="520"/>
      <c r="Q320" s="520"/>
    </row>
    <row r="321" spans="6:17">
      <c r="F321" s="520"/>
      <c r="G321" s="520"/>
      <c r="H321" s="578"/>
      <c r="I321" s="520"/>
      <c r="J321" s="520"/>
      <c r="K321" s="520"/>
      <c r="L321" s="520"/>
      <c r="M321" s="520"/>
      <c r="N321" s="520"/>
      <c r="O321" s="520"/>
      <c r="P321" s="520"/>
      <c r="Q321" s="520"/>
    </row>
    <row r="322" spans="6:17">
      <c r="F322" s="520"/>
      <c r="G322" s="520"/>
      <c r="H322" s="578"/>
      <c r="I322" s="520"/>
      <c r="J322" s="520"/>
      <c r="K322" s="520"/>
      <c r="L322" s="520"/>
      <c r="M322" s="520"/>
      <c r="N322" s="520"/>
      <c r="O322" s="520"/>
      <c r="P322" s="520"/>
      <c r="Q322" s="520"/>
    </row>
    <row r="323" spans="6:17">
      <c r="F323" s="520"/>
      <c r="G323" s="520"/>
      <c r="H323" s="578"/>
      <c r="I323" s="520"/>
      <c r="J323" s="520"/>
      <c r="K323" s="520"/>
      <c r="L323" s="520"/>
      <c r="M323" s="520"/>
      <c r="N323" s="520"/>
      <c r="O323" s="520"/>
      <c r="P323" s="520"/>
      <c r="Q323" s="520"/>
    </row>
    <row r="324" spans="6:17">
      <c r="F324" s="520"/>
      <c r="G324" s="520"/>
      <c r="H324" s="578"/>
      <c r="I324" s="520"/>
      <c r="J324" s="520"/>
      <c r="K324" s="520"/>
      <c r="L324" s="520"/>
      <c r="M324" s="520"/>
      <c r="N324" s="520"/>
      <c r="O324" s="520"/>
      <c r="P324" s="520"/>
      <c r="Q324" s="520"/>
    </row>
    <row r="325" spans="6:17">
      <c r="F325" s="520"/>
      <c r="G325" s="520"/>
      <c r="H325" s="578"/>
      <c r="I325" s="520"/>
      <c r="J325" s="520"/>
      <c r="K325" s="520"/>
      <c r="L325" s="520"/>
      <c r="M325" s="520"/>
      <c r="N325" s="520"/>
      <c r="O325" s="520"/>
      <c r="P325" s="520"/>
      <c r="Q325" s="520"/>
    </row>
    <row r="326" spans="6:17">
      <c r="F326" s="520"/>
      <c r="G326" s="520"/>
      <c r="H326" s="578"/>
      <c r="I326" s="520"/>
      <c r="J326" s="520"/>
      <c r="K326" s="520"/>
      <c r="L326" s="520"/>
      <c r="M326" s="520"/>
      <c r="N326" s="520"/>
      <c r="O326" s="520"/>
      <c r="P326" s="520"/>
      <c r="Q326" s="520"/>
    </row>
    <row r="327" spans="6:17">
      <c r="F327" s="520"/>
      <c r="G327" s="520"/>
      <c r="H327" s="578"/>
      <c r="I327" s="520"/>
      <c r="J327" s="520"/>
      <c r="K327" s="520"/>
      <c r="L327" s="520"/>
      <c r="M327" s="520"/>
      <c r="N327" s="520"/>
      <c r="O327" s="520"/>
      <c r="P327" s="520"/>
      <c r="Q327" s="520"/>
    </row>
    <row r="328" spans="6:17">
      <c r="F328" s="520"/>
      <c r="G328" s="520"/>
      <c r="H328" s="578"/>
      <c r="I328" s="520"/>
      <c r="J328" s="520"/>
      <c r="K328" s="520"/>
      <c r="L328" s="520"/>
      <c r="M328" s="520"/>
      <c r="N328" s="520"/>
      <c r="O328" s="520"/>
      <c r="P328" s="520"/>
      <c r="Q328" s="520"/>
    </row>
    <row r="329" spans="6:17">
      <c r="F329" s="520"/>
      <c r="G329" s="520"/>
      <c r="H329" s="578"/>
      <c r="I329" s="520"/>
      <c r="J329" s="520"/>
      <c r="K329" s="520"/>
      <c r="L329" s="520"/>
      <c r="M329" s="520"/>
      <c r="N329" s="520"/>
      <c r="O329" s="520"/>
      <c r="P329" s="520"/>
      <c r="Q329" s="520"/>
    </row>
    <row r="330" spans="6:17">
      <c r="F330" s="520"/>
      <c r="G330" s="520"/>
      <c r="H330" s="578"/>
      <c r="I330" s="520"/>
      <c r="J330" s="520"/>
      <c r="K330" s="520"/>
      <c r="L330" s="520"/>
      <c r="M330" s="520"/>
      <c r="N330" s="520"/>
      <c r="O330" s="520"/>
      <c r="P330" s="520"/>
      <c r="Q330" s="520"/>
    </row>
    <row r="331" spans="6:17">
      <c r="F331" s="520"/>
      <c r="G331" s="520"/>
      <c r="H331" s="578"/>
      <c r="I331" s="520"/>
      <c r="J331" s="520"/>
      <c r="K331" s="520"/>
      <c r="L331" s="520"/>
      <c r="M331" s="520"/>
      <c r="N331" s="520"/>
      <c r="O331" s="520"/>
      <c r="P331" s="520"/>
      <c r="Q331" s="520"/>
    </row>
    <row r="332" spans="6:17">
      <c r="F332" s="520"/>
      <c r="G332" s="520"/>
      <c r="H332" s="578"/>
      <c r="I332" s="520"/>
      <c r="J332" s="520"/>
      <c r="K332" s="520"/>
      <c r="L332" s="520"/>
      <c r="M332" s="520"/>
      <c r="N332" s="520"/>
      <c r="O332" s="520"/>
      <c r="P332" s="520"/>
      <c r="Q332" s="520"/>
    </row>
    <row r="333" spans="6:17">
      <c r="F333" s="520"/>
      <c r="G333" s="520"/>
      <c r="H333" s="578"/>
      <c r="I333" s="520"/>
      <c r="J333" s="520"/>
      <c r="K333" s="520"/>
      <c r="L333" s="520"/>
      <c r="M333" s="520"/>
      <c r="N333" s="520"/>
      <c r="O333" s="520"/>
      <c r="P333" s="520"/>
      <c r="Q333" s="520"/>
    </row>
    <row r="334" spans="6:17">
      <c r="F334" s="520"/>
      <c r="G334" s="520"/>
      <c r="H334" s="578"/>
      <c r="I334" s="520"/>
      <c r="J334" s="520"/>
      <c r="K334" s="520"/>
      <c r="L334" s="520"/>
      <c r="M334" s="520"/>
      <c r="N334" s="520"/>
      <c r="O334" s="520"/>
      <c r="P334" s="520"/>
      <c r="Q334" s="520"/>
    </row>
    <row r="335" spans="6:17">
      <c r="F335" s="520"/>
      <c r="G335" s="520"/>
      <c r="H335" s="578"/>
      <c r="I335" s="520"/>
      <c r="J335" s="520"/>
      <c r="K335" s="520"/>
      <c r="L335" s="520"/>
      <c r="M335" s="520"/>
      <c r="N335" s="520"/>
      <c r="O335" s="520"/>
      <c r="P335" s="520"/>
      <c r="Q335" s="520"/>
    </row>
    <row r="336" spans="6:17">
      <c r="F336" s="520"/>
      <c r="G336" s="520"/>
      <c r="H336" s="578"/>
      <c r="I336" s="520"/>
      <c r="J336" s="520"/>
      <c r="K336" s="520"/>
      <c r="L336" s="520"/>
      <c r="M336" s="520"/>
      <c r="N336" s="520"/>
      <c r="O336" s="520"/>
      <c r="P336" s="520"/>
      <c r="Q336" s="520"/>
    </row>
    <row r="337" spans="6:17">
      <c r="F337" s="520"/>
      <c r="G337" s="520"/>
      <c r="H337" s="578"/>
      <c r="I337" s="520"/>
      <c r="J337" s="520"/>
      <c r="K337" s="520"/>
      <c r="L337" s="520"/>
      <c r="M337" s="520"/>
      <c r="N337" s="520"/>
      <c r="O337" s="520"/>
      <c r="P337" s="520"/>
      <c r="Q337" s="520"/>
    </row>
    <row r="338" spans="6:17">
      <c r="F338" s="520"/>
      <c r="G338" s="520"/>
      <c r="H338" s="578"/>
      <c r="I338" s="520"/>
      <c r="J338" s="520"/>
      <c r="K338" s="520"/>
      <c r="L338" s="520"/>
      <c r="M338" s="520"/>
      <c r="N338" s="520"/>
      <c r="O338" s="520"/>
      <c r="P338" s="520"/>
      <c r="Q338" s="520"/>
    </row>
    <row r="339" spans="6:17">
      <c r="F339" s="520"/>
      <c r="G339" s="520"/>
      <c r="H339" s="578"/>
      <c r="I339" s="520"/>
      <c r="J339" s="520"/>
      <c r="K339" s="520"/>
      <c r="L339" s="520"/>
      <c r="M339" s="520"/>
      <c r="N339" s="520"/>
      <c r="O339" s="520"/>
      <c r="P339" s="520"/>
      <c r="Q339" s="520"/>
    </row>
    <row r="340" spans="6:17">
      <c r="F340" s="520"/>
      <c r="G340" s="520"/>
      <c r="H340" s="578"/>
      <c r="I340" s="520"/>
      <c r="J340" s="520"/>
      <c r="K340" s="520"/>
      <c r="L340" s="520"/>
      <c r="M340" s="520"/>
      <c r="N340" s="520"/>
      <c r="O340" s="520"/>
      <c r="P340" s="520"/>
      <c r="Q340" s="520"/>
    </row>
    <row r="341" spans="6:17">
      <c r="F341" s="520"/>
      <c r="G341" s="520"/>
      <c r="H341" s="578"/>
      <c r="I341" s="520"/>
      <c r="J341" s="520"/>
      <c r="K341" s="520"/>
      <c r="L341" s="520"/>
      <c r="M341" s="520"/>
      <c r="N341" s="520"/>
      <c r="O341" s="520"/>
      <c r="P341" s="520"/>
      <c r="Q341" s="520"/>
    </row>
    <row r="342" spans="6:17">
      <c r="F342" s="520"/>
      <c r="G342" s="520"/>
      <c r="H342" s="578"/>
      <c r="I342" s="520"/>
      <c r="J342" s="520"/>
      <c r="K342" s="520"/>
      <c r="L342" s="520"/>
      <c r="M342" s="520"/>
      <c r="N342" s="520"/>
      <c r="O342" s="520"/>
      <c r="P342" s="520"/>
      <c r="Q342" s="520"/>
    </row>
    <row r="343" spans="6:17">
      <c r="F343" s="520"/>
      <c r="G343" s="520"/>
      <c r="H343" s="578"/>
      <c r="I343" s="520"/>
      <c r="J343" s="520"/>
      <c r="K343" s="520"/>
      <c r="L343" s="520"/>
      <c r="M343" s="520"/>
      <c r="N343" s="520"/>
      <c r="O343" s="520"/>
      <c r="P343" s="520"/>
      <c r="Q343" s="520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29"/>
  <sheetViews>
    <sheetView zoomScaleNormal="85" workbookViewId="0">
      <pane xSplit="6" ySplit="3" topLeftCell="G4" activePane="bottomRight" state="frozen"/>
      <selection activeCell="D11" sqref="D11"/>
      <selection pane="topRight" activeCell="D11" sqref="D11"/>
      <selection pane="bottomLeft" activeCell="D11" sqref="D11"/>
      <selection pane="bottomRight" activeCell="G4" sqref="G4"/>
    </sheetView>
  </sheetViews>
  <sheetFormatPr defaultColWidth="9.1640625" defaultRowHeight="10.5" outlineLevelCol="1"/>
  <cols>
    <col min="1" max="1" width="32" style="402" customWidth="1"/>
    <col min="2" max="4" width="15.6640625" style="402" customWidth="1"/>
    <col min="5" max="5" width="47.83203125" style="402" customWidth="1" outlineLevel="1"/>
    <col min="6" max="6" width="15.5" style="402" customWidth="1" outlineLevel="1"/>
    <col min="7" max="7" width="14.83203125" style="402" customWidth="1" outlineLevel="1"/>
    <col min="8" max="16384" width="9.1640625" style="402"/>
  </cols>
  <sheetData>
    <row r="1" spans="1:7" ht="26.25" thickBot="1">
      <c r="B1" s="976" t="s">
        <v>1019</v>
      </c>
      <c r="C1" s="619"/>
      <c r="D1" s="976" t="s">
        <v>1019</v>
      </c>
      <c r="F1" s="977" t="s">
        <v>1020</v>
      </c>
      <c r="G1" s="978" t="s">
        <v>384</v>
      </c>
    </row>
    <row r="2" spans="1:7" ht="55.5" customHeight="1" thickBot="1">
      <c r="A2" s="979" t="s">
        <v>76</v>
      </c>
      <c r="B2" s="724" t="s">
        <v>813</v>
      </c>
      <c r="C2" s="620" t="s">
        <v>187</v>
      </c>
      <c r="D2" s="724" t="s">
        <v>814</v>
      </c>
      <c r="E2" s="621" t="s">
        <v>426</v>
      </c>
      <c r="F2" s="725" t="s">
        <v>815</v>
      </c>
      <c r="G2" s="725" t="s">
        <v>854</v>
      </c>
    </row>
    <row r="3" spans="1:7" ht="38.25">
      <c r="A3" s="622" t="s">
        <v>332</v>
      </c>
      <c r="B3" s="623">
        <v>23127394.109999999</v>
      </c>
      <c r="C3" s="623">
        <v>4104352.9453471471</v>
      </c>
      <c r="D3" s="623">
        <f>B3+C3</f>
        <v>27231747.055347145</v>
      </c>
      <c r="E3" s="980" t="s">
        <v>816</v>
      </c>
      <c r="F3" s="624">
        <v>26043071.041666668</v>
      </c>
      <c r="G3" s="624">
        <f>D3-F3</f>
        <v>1188676.0136804767</v>
      </c>
    </row>
    <row r="4" spans="1:7" ht="38.25">
      <c r="A4" s="622" t="s">
        <v>333</v>
      </c>
      <c r="B4" s="624">
        <v>16143245.590000002</v>
      </c>
      <c r="C4" s="582">
        <v>2073770.7188956207</v>
      </c>
      <c r="D4" s="582">
        <f t="shared" ref="D4:D27" si="0">B4+C4</f>
        <v>18217016.308895621</v>
      </c>
      <c r="E4" s="980" t="s">
        <v>816</v>
      </c>
      <c r="F4" s="624">
        <v>16385256.5625</v>
      </c>
      <c r="G4" s="624">
        <f>D4-F4</f>
        <v>1831759.7463956214</v>
      </c>
    </row>
    <row r="5" spans="1:7" ht="12.75">
      <c r="A5" s="622" t="s">
        <v>335</v>
      </c>
      <c r="B5" s="624">
        <v>4763084.3</v>
      </c>
      <c r="C5" s="582">
        <v>0</v>
      </c>
      <c r="D5" s="582">
        <f t="shared" si="0"/>
        <v>4763084.3</v>
      </c>
      <c r="E5" s="980" t="s">
        <v>428</v>
      </c>
      <c r="F5" s="624">
        <v>4137203.9999999986</v>
      </c>
      <c r="G5" s="624">
        <f t="shared" ref="G5:G27" si="1">D5-F5</f>
        <v>625880.30000000121</v>
      </c>
    </row>
    <row r="6" spans="1:7" ht="12.75">
      <c r="A6" s="622" t="s">
        <v>336</v>
      </c>
      <c r="B6" s="624">
        <v>4413567.4699999988</v>
      </c>
      <c r="C6" s="582">
        <v>0</v>
      </c>
      <c r="D6" s="582">
        <f t="shared" si="0"/>
        <v>4413567.4699999988</v>
      </c>
      <c r="E6" s="980" t="s">
        <v>428</v>
      </c>
      <c r="F6" s="624">
        <v>4299468.4200000027</v>
      </c>
      <c r="G6" s="624">
        <f t="shared" si="1"/>
        <v>114099.04999999609</v>
      </c>
    </row>
    <row r="7" spans="1:7" ht="12.75">
      <c r="A7" s="622" t="s">
        <v>183</v>
      </c>
      <c r="B7" s="624">
        <v>2499721.8699999996</v>
      </c>
      <c r="C7" s="582">
        <v>456830.25000000047</v>
      </c>
      <c r="D7" s="582">
        <f t="shared" si="0"/>
        <v>2956552.12</v>
      </c>
      <c r="E7" s="980" t="s">
        <v>429</v>
      </c>
      <c r="F7" s="624">
        <v>2398674.5196370934</v>
      </c>
      <c r="G7" s="624">
        <f t="shared" si="1"/>
        <v>557877.6003629067</v>
      </c>
    </row>
    <row r="8" spans="1:7" ht="12.75">
      <c r="A8" s="622" t="s">
        <v>337</v>
      </c>
      <c r="B8" s="624">
        <v>10335.439999999999</v>
      </c>
      <c r="C8" s="582">
        <v>-10335.439999999999</v>
      </c>
      <c r="D8" s="582">
        <f t="shared" si="0"/>
        <v>0</v>
      </c>
      <c r="E8" s="980" t="s">
        <v>429</v>
      </c>
      <c r="F8" s="624">
        <v>2009671.9599999995</v>
      </c>
      <c r="G8" s="624">
        <f t="shared" si="1"/>
        <v>-2009671.9599999995</v>
      </c>
    </row>
    <row r="9" spans="1:7" ht="12.75">
      <c r="A9" s="622" t="s">
        <v>181</v>
      </c>
      <c r="B9" s="624">
        <v>5169223.7300000153</v>
      </c>
      <c r="C9" s="582">
        <v>0</v>
      </c>
      <c r="D9" s="582">
        <f t="shared" si="0"/>
        <v>5169223.7300000153</v>
      </c>
      <c r="E9" s="980" t="s">
        <v>428</v>
      </c>
      <c r="F9" s="624">
        <v>2446632.0699999994</v>
      </c>
      <c r="G9" s="624">
        <f t="shared" si="1"/>
        <v>2722591.660000016</v>
      </c>
    </row>
    <row r="10" spans="1:7" ht="12.75">
      <c r="A10" s="622" t="s">
        <v>184</v>
      </c>
      <c r="B10" s="624">
        <v>403705.68</v>
      </c>
      <c r="C10" s="582">
        <v>134377.31</v>
      </c>
      <c r="D10" s="582">
        <f t="shared" si="0"/>
        <v>538082.99</v>
      </c>
      <c r="E10" s="980" t="s">
        <v>429</v>
      </c>
      <c r="F10" s="624">
        <v>605326.82861995848</v>
      </c>
      <c r="G10" s="624">
        <f t="shared" si="1"/>
        <v>-67243.838619958493</v>
      </c>
    </row>
    <row r="11" spans="1:7" ht="25.5">
      <c r="A11" s="622" t="s">
        <v>354</v>
      </c>
      <c r="B11" s="624">
        <v>6507378.4500000011</v>
      </c>
      <c r="C11" s="582">
        <v>64733.242371345055</v>
      </c>
      <c r="D11" s="582">
        <f>B11+C11</f>
        <v>6572111.6923713461</v>
      </c>
      <c r="E11" s="980" t="s">
        <v>432</v>
      </c>
      <c r="F11" s="624">
        <v>5127642.4963057162</v>
      </c>
      <c r="G11" s="624">
        <f>D11-F11</f>
        <v>1444469.1960656298</v>
      </c>
    </row>
    <row r="12" spans="1:7" ht="25.5">
      <c r="A12" s="622" t="s">
        <v>186</v>
      </c>
      <c r="B12" s="624">
        <v>10879886.550000001</v>
      </c>
      <c r="C12" s="582">
        <v>256116.05251020892</v>
      </c>
      <c r="D12" s="582">
        <f>B12+C12</f>
        <v>11136002.60251021</v>
      </c>
      <c r="E12" s="980" t="s">
        <v>432</v>
      </c>
      <c r="F12" s="624">
        <v>10958274.128557442</v>
      </c>
      <c r="G12" s="624">
        <f>D12-F12</f>
        <v>177728.47395276837</v>
      </c>
    </row>
    <row r="13" spans="1:7" ht="25.5">
      <c r="A13" s="622" t="s">
        <v>433</v>
      </c>
      <c r="B13" s="624">
        <v>1278119.46</v>
      </c>
      <c r="C13" s="582">
        <v>-145678.81453778734</v>
      </c>
      <c r="D13" s="582">
        <f>B13+C13</f>
        <v>1132440.6454622126</v>
      </c>
      <c r="E13" s="980" t="s">
        <v>432</v>
      </c>
      <c r="F13" s="624">
        <v>1654443.8361614728</v>
      </c>
      <c r="G13" s="624">
        <f>D13-F13</f>
        <v>-522003.19069926022</v>
      </c>
    </row>
    <row r="14" spans="1:7" ht="38.25">
      <c r="A14" s="627" t="s">
        <v>185</v>
      </c>
      <c r="B14" s="624">
        <v>12395839.389999999</v>
      </c>
      <c r="C14" s="582">
        <v>2497202.6852122983</v>
      </c>
      <c r="D14" s="582">
        <f>B14+C14</f>
        <v>14893042.075212296</v>
      </c>
      <c r="E14" s="980" t="s">
        <v>817</v>
      </c>
      <c r="F14" s="624">
        <v>12441420.674401581</v>
      </c>
      <c r="G14" s="624">
        <f>D14-F14</f>
        <v>2451621.4008107148</v>
      </c>
    </row>
    <row r="15" spans="1:7" ht="25.5">
      <c r="A15" s="622" t="s">
        <v>338</v>
      </c>
      <c r="B15" s="624">
        <v>149180.72000000003</v>
      </c>
      <c r="C15" s="582">
        <v>0</v>
      </c>
      <c r="D15" s="582">
        <f>B15+C15</f>
        <v>149180.72000000003</v>
      </c>
      <c r="E15" s="980" t="s">
        <v>427</v>
      </c>
      <c r="F15" s="624">
        <v>150986.29999999996</v>
      </c>
      <c r="G15" s="624">
        <f>D15-F15</f>
        <v>-1805.579999999929</v>
      </c>
    </row>
    <row r="16" spans="1:7" ht="25.5">
      <c r="A16" s="622" t="s">
        <v>334</v>
      </c>
      <c r="B16" s="624">
        <v>4456796.5500000101</v>
      </c>
      <c r="C16" s="582">
        <v>1653961.0999999996</v>
      </c>
      <c r="D16" s="582">
        <f t="shared" si="0"/>
        <v>6110757.6500000097</v>
      </c>
      <c r="E16" s="980" t="s">
        <v>427</v>
      </c>
      <c r="F16" s="624">
        <v>5265599.9999999963</v>
      </c>
      <c r="G16" s="624">
        <f t="shared" si="1"/>
        <v>845157.65000001341</v>
      </c>
    </row>
    <row r="17" spans="1:7" ht="25.5">
      <c r="A17" s="622" t="s">
        <v>430</v>
      </c>
      <c r="B17" s="624">
        <v>6079603.7100000009</v>
      </c>
      <c r="C17" s="582">
        <v>320965.61</v>
      </c>
      <c r="D17" s="582">
        <f t="shared" si="0"/>
        <v>6400569.3200000012</v>
      </c>
      <c r="E17" s="980" t="s">
        <v>427</v>
      </c>
      <c r="F17" s="624">
        <v>5487796.043333333</v>
      </c>
      <c r="G17" s="624">
        <f t="shared" si="1"/>
        <v>912773.27666666824</v>
      </c>
    </row>
    <row r="18" spans="1:7" ht="25.5">
      <c r="A18" s="622" t="s">
        <v>182</v>
      </c>
      <c r="B18" s="624">
        <v>4137387.0900000008</v>
      </c>
      <c r="C18" s="582">
        <v>1078811.4363543312</v>
      </c>
      <c r="D18" s="582">
        <f t="shared" si="0"/>
        <v>5216198.5263543315</v>
      </c>
      <c r="E18" s="980" t="s">
        <v>427</v>
      </c>
      <c r="F18" s="624">
        <v>4090598.5951009556</v>
      </c>
      <c r="G18" s="624">
        <f t="shared" si="1"/>
        <v>1125599.931253376</v>
      </c>
    </row>
    <row r="19" spans="1:7" ht="25.5">
      <c r="A19" s="622" t="s">
        <v>77</v>
      </c>
      <c r="B19" s="624">
        <v>2149800.4599999995</v>
      </c>
      <c r="C19" s="582">
        <v>187571.97999999995</v>
      </c>
      <c r="D19" s="582">
        <f t="shared" si="0"/>
        <v>2337372.4399999995</v>
      </c>
      <c r="E19" s="980" t="s">
        <v>427</v>
      </c>
      <c r="F19" s="624">
        <v>1697256.3599999994</v>
      </c>
      <c r="G19" s="624">
        <f t="shared" si="1"/>
        <v>640116.08000000007</v>
      </c>
    </row>
    <row r="20" spans="1:7" ht="25.5">
      <c r="A20" s="622" t="s">
        <v>78</v>
      </c>
      <c r="B20" s="624">
        <v>3508973.4500000025</v>
      </c>
      <c r="C20" s="582">
        <v>0</v>
      </c>
      <c r="D20" s="582">
        <f t="shared" si="0"/>
        <v>3508973.4500000025</v>
      </c>
      <c r="E20" s="980" t="s">
        <v>427</v>
      </c>
      <c r="F20" s="624">
        <v>2276671.6900000037</v>
      </c>
      <c r="G20" s="624">
        <f t="shared" si="1"/>
        <v>1232301.7599999988</v>
      </c>
    </row>
    <row r="21" spans="1:7" ht="25.5">
      <c r="A21" s="622" t="s">
        <v>124</v>
      </c>
      <c r="B21" s="624">
        <v>8641556.5300000086</v>
      </c>
      <c r="C21" s="582">
        <v>-445718.94404255319</v>
      </c>
      <c r="D21" s="582">
        <f t="shared" si="0"/>
        <v>8195837.5859574554</v>
      </c>
      <c r="E21" s="980" t="s">
        <v>427</v>
      </c>
      <c r="F21" s="624">
        <v>8329521.9533333387</v>
      </c>
      <c r="G21" s="624">
        <f t="shared" si="1"/>
        <v>-133684.36737588327</v>
      </c>
    </row>
    <row r="22" spans="1:7" ht="25.5">
      <c r="A22" s="622" t="s">
        <v>342</v>
      </c>
      <c r="B22" s="624">
        <v>7904641.1899999958</v>
      </c>
      <c r="C22" s="582">
        <v>-184794.3886885246</v>
      </c>
      <c r="D22" s="582">
        <f t="shared" si="0"/>
        <v>7719846.8013114715</v>
      </c>
      <c r="E22" s="980" t="s">
        <v>427</v>
      </c>
      <c r="F22" s="624">
        <v>7025419.5145901712</v>
      </c>
      <c r="G22" s="624">
        <f t="shared" si="1"/>
        <v>694427.28672130033</v>
      </c>
    </row>
    <row r="23" spans="1:7" ht="25.5">
      <c r="A23" s="622" t="s">
        <v>123</v>
      </c>
      <c r="B23" s="624">
        <v>4726636.4699999969</v>
      </c>
      <c r="C23" s="582">
        <v>695333.33333333326</v>
      </c>
      <c r="D23" s="582">
        <f t="shared" si="0"/>
        <v>5421969.80333333</v>
      </c>
      <c r="E23" s="980" t="s">
        <v>427</v>
      </c>
      <c r="F23" s="624">
        <v>4577829.870000002</v>
      </c>
      <c r="G23" s="624">
        <f t="shared" si="1"/>
        <v>844139.93333332799</v>
      </c>
    </row>
    <row r="24" spans="1:7" ht="25.5">
      <c r="A24" s="622" t="s">
        <v>855</v>
      </c>
      <c r="B24" s="624">
        <v>1620957.140000002</v>
      </c>
      <c r="C24" s="582">
        <v>370787.96470588236</v>
      </c>
      <c r="D24" s="582">
        <f t="shared" si="0"/>
        <v>1991745.1047058844</v>
      </c>
      <c r="E24" s="980" t="s">
        <v>427</v>
      </c>
      <c r="F24" s="624">
        <v>1406231.0399999989</v>
      </c>
      <c r="G24" s="624">
        <f t="shared" si="1"/>
        <v>585514.06470588548</v>
      </c>
    </row>
    <row r="25" spans="1:7" ht="12.75">
      <c r="A25" s="622" t="s">
        <v>339</v>
      </c>
      <c r="B25" s="624">
        <v>31426.47</v>
      </c>
      <c r="C25" s="582">
        <v>0</v>
      </c>
      <c r="D25" s="582">
        <f t="shared" si="0"/>
        <v>31426.47</v>
      </c>
      <c r="E25" s="980" t="s">
        <v>428</v>
      </c>
      <c r="F25" s="625">
        <v>90417.64</v>
      </c>
      <c r="G25" s="624">
        <f t="shared" si="1"/>
        <v>-58991.17</v>
      </c>
    </row>
    <row r="26" spans="1:7" ht="25.5">
      <c r="A26" s="626" t="s">
        <v>431</v>
      </c>
      <c r="B26" s="624">
        <v>2911685.1799999997</v>
      </c>
      <c r="C26" s="582">
        <v>0</v>
      </c>
      <c r="D26" s="582">
        <f t="shared" si="0"/>
        <v>2911685.1799999997</v>
      </c>
      <c r="E26" s="980" t="s">
        <v>428</v>
      </c>
      <c r="F26" s="624">
        <v>4179354.34</v>
      </c>
      <c r="G26" s="624">
        <f t="shared" si="1"/>
        <v>-1267669.1600000001</v>
      </c>
    </row>
    <row r="27" spans="1:7" ht="12.75">
      <c r="A27" s="622" t="s">
        <v>434</v>
      </c>
      <c r="B27" s="624">
        <v>0</v>
      </c>
      <c r="C27" s="582">
        <v>0</v>
      </c>
      <c r="D27" s="628">
        <f t="shared" si="0"/>
        <v>0</v>
      </c>
      <c r="E27" s="980" t="s">
        <v>428</v>
      </c>
      <c r="F27" s="625">
        <v>0</v>
      </c>
      <c r="G27" s="624">
        <f t="shared" si="1"/>
        <v>0</v>
      </c>
    </row>
    <row r="28" spans="1:7" ht="17.25" customHeight="1" thickBot="1">
      <c r="A28" s="629" t="s">
        <v>435</v>
      </c>
      <c r="B28" s="726">
        <f>SUM(B3:B27)</f>
        <v>133910147</v>
      </c>
      <c r="C28" s="726">
        <f>SUM(C3:C27)</f>
        <v>13108287.041461302</v>
      </c>
      <c r="D28" s="726">
        <f>SUM(D3:D27)</f>
        <v>147018434.04146132</v>
      </c>
      <c r="F28" s="726">
        <f>SUM(F3:F27)</f>
        <v>133084769.88420774</v>
      </c>
      <c r="G28" s="726">
        <f>SUM(G3:G27)</f>
        <v>13933664.157253597</v>
      </c>
    </row>
    <row r="29" spans="1:7" ht="11.25">
      <c r="C29" s="981">
        <v>0</v>
      </c>
    </row>
  </sheetData>
  <printOptions horizontalCentered="1"/>
  <pageMargins left="0.17" right="0.17" top="1" bottom="0.55000000000000004" header="0.19" footer="0.22"/>
  <pageSetup paperSize="17" scale="66" orientation="landscape" r:id="rId1"/>
  <headerFooter alignWithMargins="0">
    <oddHeader>&amp;L&amp;"Arial,Bold"&amp;12 2016 GRC RJR-2 Attachment 2&amp;C&amp;"Arial,Bold Italic"&amp;14DRAFT&amp;R&amp;12Confidtential per WAC 480-07-160</oddHeader>
    <oddFooter xml:space="preserve">&amp;L&amp;F&amp;C&amp;12&amp;A&amp;R&amp;D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38"/>
  <sheetViews>
    <sheetView zoomScaleNormal="100" workbookViewId="0">
      <pane xSplit="2" ySplit="7" topLeftCell="C8" activePane="bottomRight" state="frozen"/>
      <selection activeCell="D11" sqref="D11"/>
      <selection pane="topRight" activeCell="D11" sqref="D11"/>
      <selection pane="bottomLeft" activeCell="D11" sqref="D11"/>
      <selection pane="bottomRight" activeCell="C8" sqref="C8"/>
    </sheetView>
  </sheetViews>
  <sheetFormatPr defaultColWidth="9.33203125" defaultRowHeight="14.25"/>
  <cols>
    <col min="1" max="1" width="7.5" style="434" customWidth="1"/>
    <col min="2" max="2" width="23" style="434" customWidth="1"/>
    <col min="3" max="17" width="13.6640625" style="434" customWidth="1"/>
    <col min="18" max="18" width="13.1640625" style="434" bestFit="1" customWidth="1"/>
    <col min="19" max="16384" width="9.33203125" style="434"/>
  </cols>
  <sheetData>
    <row r="1" spans="1:18" ht="18">
      <c r="A1" s="449" t="s">
        <v>888</v>
      </c>
      <c r="B1" s="449"/>
      <c r="C1" s="449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spans="1:18" ht="18">
      <c r="A2" s="449" t="s">
        <v>889</v>
      </c>
      <c r="B2" s="449"/>
      <c r="C2" s="449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3" spans="1:18" ht="18">
      <c r="A3" s="449" t="s">
        <v>890</v>
      </c>
      <c r="B3" s="449"/>
      <c r="C3" s="449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</row>
    <row r="4" spans="1:18" ht="18">
      <c r="A4" s="525" t="s">
        <v>891</v>
      </c>
      <c r="B4" s="449"/>
      <c r="C4" s="449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</row>
    <row r="5" spans="1:18" ht="18">
      <c r="A5" s="448" t="s">
        <v>138</v>
      </c>
      <c r="B5" s="449"/>
      <c r="C5" s="449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</row>
    <row r="6" spans="1:18" ht="18">
      <c r="A6" s="489"/>
      <c r="B6" s="524" t="s">
        <v>885</v>
      </c>
      <c r="C6" s="447"/>
      <c r="D6" s="446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686"/>
      <c r="P6" s="444"/>
      <c r="Q6" s="444"/>
    </row>
    <row r="7" spans="1:18" ht="36.75" customHeight="1">
      <c r="A7" s="443"/>
      <c r="B7" s="443"/>
      <c r="C7" s="687">
        <v>43101</v>
      </c>
      <c r="D7" s="687">
        <v>43132</v>
      </c>
      <c r="E7" s="687">
        <v>43160</v>
      </c>
      <c r="F7" s="687">
        <v>43191</v>
      </c>
      <c r="G7" s="688">
        <v>43221</v>
      </c>
      <c r="H7" s="688">
        <v>43252</v>
      </c>
      <c r="I7" s="688">
        <v>43282</v>
      </c>
      <c r="J7" s="688">
        <v>43313</v>
      </c>
      <c r="K7" s="688">
        <v>43344</v>
      </c>
      <c r="L7" s="688">
        <v>43374</v>
      </c>
      <c r="M7" s="688">
        <v>43405</v>
      </c>
      <c r="N7" s="687">
        <v>43435</v>
      </c>
      <c r="O7" s="689" t="s">
        <v>886</v>
      </c>
      <c r="P7" s="707" t="s">
        <v>887</v>
      </c>
      <c r="Q7" s="690" t="s">
        <v>384</v>
      </c>
    </row>
    <row r="8" spans="1:18">
      <c r="A8" s="526">
        <v>501</v>
      </c>
      <c r="B8" s="451" t="s">
        <v>79</v>
      </c>
      <c r="C8" s="500">
        <v>7954.0755079113424</v>
      </c>
      <c r="D8" s="500">
        <v>7363.2799079113538</v>
      </c>
      <c r="E8" s="500">
        <v>7713.1579404113418</v>
      </c>
      <c r="F8" s="500">
        <v>6302.6383569488489</v>
      </c>
      <c r="G8" s="500">
        <v>4430.0677366613481</v>
      </c>
      <c r="H8" s="500">
        <v>3775.436438123847</v>
      </c>
      <c r="I8" s="500">
        <v>6990.9130016613462</v>
      </c>
      <c r="J8" s="500">
        <v>7494.3197454113433</v>
      </c>
      <c r="K8" s="500">
        <v>6918.982530411351</v>
      </c>
      <c r="L8" s="500">
        <v>7587.2982454113417</v>
      </c>
      <c r="M8" s="500">
        <v>7695.7130579113518</v>
      </c>
      <c r="N8" s="500">
        <v>7994.5135829113424</v>
      </c>
      <c r="O8" s="442">
        <f>SUM(C8:N8)</f>
        <v>82220.396051686155</v>
      </c>
      <c r="P8" s="442">
        <v>96576.481258249303</v>
      </c>
      <c r="Q8" s="442">
        <f>O8-P8</f>
        <v>-14356.085206563148</v>
      </c>
    </row>
    <row r="9" spans="1:18">
      <c r="A9" s="526">
        <v>547</v>
      </c>
      <c r="B9" s="451" t="s">
        <v>80</v>
      </c>
      <c r="C9" s="500">
        <v>12627.573677376764</v>
      </c>
      <c r="D9" s="500">
        <v>13758.048801132345</v>
      </c>
      <c r="E9" s="500">
        <v>8721.9367083591187</v>
      </c>
      <c r="F9" s="500">
        <v>6676.3917386500198</v>
      </c>
      <c r="G9" s="500">
        <v>4981.0942779795314</v>
      </c>
      <c r="H9" s="500">
        <v>6638.5091250299265</v>
      </c>
      <c r="I9" s="500">
        <v>12363.202584798077</v>
      </c>
      <c r="J9" s="500">
        <v>16000.714226121961</v>
      </c>
      <c r="K9" s="500">
        <v>15004.651930715738</v>
      </c>
      <c r="L9" s="500">
        <v>13003.565033722118</v>
      </c>
      <c r="M9" s="500">
        <v>10878.965458044819</v>
      </c>
      <c r="N9" s="500">
        <v>13059.716455269736</v>
      </c>
      <c r="O9" s="442">
        <f t="shared" ref="O9:O14" si="0">SUM(C9:N9)</f>
        <v>133714.37001720013</v>
      </c>
      <c r="P9" s="442">
        <v>182223.96325916026</v>
      </c>
      <c r="Q9" s="442">
        <f t="shared" ref="Q9:Q17" si="1">O9-P9</f>
        <v>-48509.59324196013</v>
      </c>
    </row>
    <row r="10" spans="1:18">
      <c r="A10" s="526">
        <v>555</v>
      </c>
      <c r="B10" s="451" t="s">
        <v>133</v>
      </c>
      <c r="C10" s="500">
        <v>51962.71298968239</v>
      </c>
      <c r="D10" s="500">
        <v>42047.986630615909</v>
      </c>
      <c r="E10" s="500">
        <v>45421.334388075615</v>
      </c>
      <c r="F10" s="500">
        <v>35779.182601933258</v>
      </c>
      <c r="G10" s="500">
        <v>33044.75417506641</v>
      </c>
      <c r="H10" s="500">
        <v>28097.165639980478</v>
      </c>
      <c r="I10" s="500">
        <v>24907.091055230791</v>
      </c>
      <c r="J10" s="500">
        <v>21579.527841223971</v>
      </c>
      <c r="K10" s="500">
        <v>26302.36816394428</v>
      </c>
      <c r="L10" s="500">
        <v>33151.565693804776</v>
      </c>
      <c r="M10" s="500">
        <v>46855.305161832061</v>
      </c>
      <c r="N10" s="500">
        <v>61570.794203486337</v>
      </c>
      <c r="O10" s="442">
        <f t="shared" si="0"/>
        <v>450719.78854487627</v>
      </c>
      <c r="P10" s="442">
        <v>410610.64965490426</v>
      </c>
      <c r="Q10" s="442">
        <f t="shared" si="1"/>
        <v>40109.138889972004</v>
      </c>
    </row>
    <row r="11" spans="1:18">
      <c r="A11" s="526">
        <v>557</v>
      </c>
      <c r="B11" s="451" t="s">
        <v>134</v>
      </c>
      <c r="C11" s="500">
        <v>957.42469833333348</v>
      </c>
      <c r="D11" s="500">
        <v>957.42469833333348</v>
      </c>
      <c r="E11" s="500">
        <v>957.42469833333348</v>
      </c>
      <c r="F11" s="500">
        <v>957.42469833333348</v>
      </c>
      <c r="G11" s="500">
        <v>957.42469833333348</v>
      </c>
      <c r="H11" s="500">
        <v>957.42469833333348</v>
      </c>
      <c r="I11" s="500">
        <v>957.42469833333348</v>
      </c>
      <c r="J11" s="500">
        <v>957.42469833333348</v>
      </c>
      <c r="K11" s="500">
        <v>957.42469833333348</v>
      </c>
      <c r="L11" s="500">
        <v>957.42469833333348</v>
      </c>
      <c r="M11" s="500">
        <v>957.42469833333348</v>
      </c>
      <c r="N11" s="500">
        <v>957.42469833333348</v>
      </c>
      <c r="O11" s="442">
        <f t="shared" si="0"/>
        <v>11489.096380000003</v>
      </c>
      <c r="P11" s="442">
        <v>8296.3819999999996</v>
      </c>
      <c r="Q11" s="442">
        <f t="shared" si="1"/>
        <v>3192.7143800000031</v>
      </c>
    </row>
    <row r="12" spans="1:18">
      <c r="A12" s="526">
        <v>565</v>
      </c>
      <c r="B12" s="451" t="s">
        <v>70</v>
      </c>
      <c r="C12" s="500">
        <v>9551.0940678696243</v>
      </c>
      <c r="D12" s="500">
        <v>9636.8347223885849</v>
      </c>
      <c r="E12" s="500">
        <v>9707.9921193051014</v>
      </c>
      <c r="F12" s="500">
        <v>9571.956725003909</v>
      </c>
      <c r="G12" s="500">
        <v>9502.7126138763324</v>
      </c>
      <c r="H12" s="500">
        <v>9276.2638650711506</v>
      </c>
      <c r="I12" s="500">
        <v>9192.4472596638316</v>
      </c>
      <c r="J12" s="500">
        <v>9247.3856895507233</v>
      </c>
      <c r="K12" s="500">
        <v>9167.3796319156845</v>
      </c>
      <c r="L12" s="500">
        <v>9256.9014427575639</v>
      </c>
      <c r="M12" s="500">
        <v>9347.4538844380113</v>
      </c>
      <c r="N12" s="500">
        <v>9451.3742553254942</v>
      </c>
      <c r="O12" s="442">
        <f t="shared" si="0"/>
        <v>112909.79627716601</v>
      </c>
      <c r="P12" s="442">
        <v>110459.73261439716</v>
      </c>
      <c r="Q12" s="442">
        <f t="shared" si="1"/>
        <v>2450.0636627688509</v>
      </c>
    </row>
    <row r="13" spans="1:18">
      <c r="A13" s="526">
        <v>447</v>
      </c>
      <c r="B13" s="451" t="s">
        <v>135</v>
      </c>
      <c r="C13" s="500">
        <v>-2212.2646827376875</v>
      </c>
      <c r="D13" s="500">
        <v>-2143.7735810183112</v>
      </c>
      <c r="E13" s="500">
        <v>-2255.6215476501875</v>
      </c>
      <c r="F13" s="500">
        <v>-1489.6529079564368</v>
      </c>
      <c r="G13" s="500">
        <v>-1521.0121318263118</v>
      </c>
      <c r="H13" s="500">
        <v>-1551.5310497485618</v>
      </c>
      <c r="I13" s="500">
        <v>-5657.1861421126878</v>
      </c>
      <c r="J13" s="500">
        <v>-5576.7981801001924</v>
      </c>
      <c r="K13" s="500">
        <v>-4811.3721958501819</v>
      </c>
      <c r="L13" s="500">
        <v>-924.19795635572439</v>
      </c>
      <c r="M13" s="500">
        <v>-716.00246881268686</v>
      </c>
      <c r="N13" s="500">
        <v>-707.42255342681187</v>
      </c>
      <c r="O13" s="442">
        <f t="shared" si="0"/>
        <v>-29566.835397595783</v>
      </c>
      <c r="P13" s="442">
        <v>-76440.622278505703</v>
      </c>
      <c r="Q13" s="442">
        <f t="shared" si="1"/>
        <v>46873.786880909916</v>
      </c>
    </row>
    <row r="14" spans="1:18">
      <c r="A14" s="526">
        <v>456</v>
      </c>
      <c r="B14" s="451" t="s">
        <v>136</v>
      </c>
      <c r="C14" s="500">
        <v>-2785.1830612948606</v>
      </c>
      <c r="D14" s="500">
        <v>-2490.5550426459022</v>
      </c>
      <c r="E14" s="500">
        <v>-2376.6617075085287</v>
      </c>
      <c r="F14" s="500">
        <v>-763.92760077568914</v>
      </c>
      <c r="G14" s="500">
        <v>-174.6326883708256</v>
      </c>
      <c r="H14" s="500">
        <v>-250.73779290120368</v>
      </c>
      <c r="I14" s="500">
        <v>-168.25415284790978</v>
      </c>
      <c r="J14" s="500">
        <v>-323.71570080415881</v>
      </c>
      <c r="K14" s="500">
        <v>-771.33684941654701</v>
      </c>
      <c r="L14" s="500">
        <v>-1630.6345859582234</v>
      </c>
      <c r="M14" s="500">
        <v>-1778.9425717274971</v>
      </c>
      <c r="N14" s="500">
        <v>-2696.4593480305971</v>
      </c>
      <c r="O14" s="442">
        <f t="shared" si="0"/>
        <v>-16211.041102281946</v>
      </c>
      <c r="P14" s="442">
        <v>-17685.087654533294</v>
      </c>
      <c r="Q14" s="442">
        <f t="shared" si="1"/>
        <v>1474.0465522513477</v>
      </c>
    </row>
    <row r="15" spans="1:18" ht="15" thickBot="1">
      <c r="A15" s="489"/>
      <c r="B15" s="441" t="s">
        <v>356</v>
      </c>
      <c r="C15" s="440">
        <f>SUM(C8:C14)</f>
        <v>78055.433197140912</v>
      </c>
      <c r="D15" s="440">
        <f t="shared" ref="D15:N15" si="2">SUM(D8:D14)</f>
        <v>69129.246136717309</v>
      </c>
      <c r="E15" s="440">
        <f t="shared" si="2"/>
        <v>67889.562599325815</v>
      </c>
      <c r="F15" s="440">
        <f t="shared" si="2"/>
        <v>57034.013612137249</v>
      </c>
      <c r="G15" s="440">
        <f t="shared" si="2"/>
        <v>51220.408681719826</v>
      </c>
      <c r="H15" s="440">
        <f t="shared" si="2"/>
        <v>46942.530923888968</v>
      </c>
      <c r="I15" s="440">
        <f t="shared" si="2"/>
        <v>48585.638304726774</v>
      </c>
      <c r="J15" s="440">
        <f t="shared" si="2"/>
        <v>49378.858319736973</v>
      </c>
      <c r="K15" s="440">
        <f t="shared" si="2"/>
        <v>52768.097910053657</v>
      </c>
      <c r="L15" s="440">
        <f t="shared" si="2"/>
        <v>61401.922571715186</v>
      </c>
      <c r="M15" s="440">
        <f t="shared" si="2"/>
        <v>73239.917220019386</v>
      </c>
      <c r="N15" s="440">
        <f t="shared" si="2"/>
        <v>89629.941293868833</v>
      </c>
      <c r="O15" s="439">
        <f>SUM(O8:O14)</f>
        <v>745275.57077105087</v>
      </c>
      <c r="P15" s="439">
        <f t="shared" ref="P15:Q15" si="3">SUM(P8:P14)</f>
        <v>714041.49885367195</v>
      </c>
      <c r="Q15" s="439">
        <f t="shared" si="3"/>
        <v>31234.071917378846</v>
      </c>
      <c r="R15" s="636"/>
    </row>
    <row r="16" spans="1:18" ht="15" thickTop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691"/>
      <c r="P16" s="692"/>
      <c r="Q16" s="692"/>
      <c r="R16" s="452"/>
    </row>
    <row r="17" spans="1:18" ht="15">
      <c r="A17" s="438"/>
      <c r="B17" s="437" t="s">
        <v>577</v>
      </c>
      <c r="C17" s="436">
        <v>2347334</v>
      </c>
      <c r="D17" s="436">
        <v>2023152</v>
      </c>
      <c r="E17" s="436">
        <v>2120831</v>
      </c>
      <c r="F17" s="436">
        <v>1849726</v>
      </c>
      <c r="G17" s="436">
        <v>1709643</v>
      </c>
      <c r="H17" s="436">
        <v>1653015</v>
      </c>
      <c r="I17" s="436">
        <v>1717662</v>
      </c>
      <c r="J17" s="436">
        <v>1730905</v>
      </c>
      <c r="K17" s="436">
        <v>1672253</v>
      </c>
      <c r="L17" s="436">
        <v>1858747</v>
      </c>
      <c r="M17" s="436">
        <v>2085376</v>
      </c>
      <c r="N17" s="436">
        <v>2503903</v>
      </c>
      <c r="O17" s="573">
        <f>SUM(C17:N17)</f>
        <v>23272547</v>
      </c>
      <c r="P17" s="573">
        <v>22932513</v>
      </c>
      <c r="Q17" s="573">
        <f t="shared" si="1"/>
        <v>340034</v>
      </c>
      <c r="R17" s="452"/>
    </row>
    <row r="18" spans="1:18"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36"/>
    </row>
    <row r="19" spans="1:18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8" ht="13.5" customHeight="1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8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8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8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8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8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8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8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8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8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8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8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8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pageMargins left="0.7" right="0.7" top="0.75" bottom="0.75" header="0.3" footer="0.3"/>
  <pageSetup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zoomScaleNormal="85" workbookViewId="0"/>
  </sheetViews>
  <sheetFormatPr defaultColWidth="9.33203125" defaultRowHeight="15"/>
  <cols>
    <col min="1" max="1" width="9.33203125" style="986"/>
    <col min="2" max="12" width="17.33203125" style="986" bestFit="1" customWidth="1"/>
    <col min="13" max="13" width="12" style="986" bestFit="1" customWidth="1"/>
    <col min="14" max="14" width="9.33203125" style="986"/>
    <col min="15" max="15" width="23.6640625" style="986" bestFit="1" customWidth="1"/>
    <col min="16" max="16384" width="9.33203125" style="986"/>
  </cols>
  <sheetData>
    <row r="1" spans="1:15" ht="18">
      <c r="A1" s="982" t="s">
        <v>403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</row>
    <row r="2" spans="1:15">
      <c r="A2" s="346" t="s">
        <v>404</v>
      </c>
      <c r="B2" s="346" t="s">
        <v>405</v>
      </c>
      <c r="C2" s="346" t="s">
        <v>406</v>
      </c>
      <c r="D2" s="346" t="s">
        <v>407</v>
      </c>
      <c r="E2" s="346" t="s">
        <v>408</v>
      </c>
      <c r="F2" s="346" t="s">
        <v>409</v>
      </c>
      <c r="G2" s="346" t="s">
        <v>410</v>
      </c>
      <c r="H2" s="346" t="s">
        <v>411</v>
      </c>
      <c r="I2" s="346" t="s">
        <v>412</v>
      </c>
      <c r="J2" s="346" t="s">
        <v>413</v>
      </c>
      <c r="K2" s="346" t="s">
        <v>414</v>
      </c>
      <c r="L2" s="346" t="s">
        <v>415</v>
      </c>
      <c r="M2" s="983">
        <v>41998</v>
      </c>
      <c r="N2" s="488"/>
      <c r="O2" s="346" t="s">
        <v>416</v>
      </c>
    </row>
    <row r="3" spans="1:15">
      <c r="A3" s="488" t="s">
        <v>398</v>
      </c>
      <c r="B3" s="436">
        <f>180*31*24</f>
        <v>133920</v>
      </c>
      <c r="C3" s="436">
        <f>280*31*24</f>
        <v>208320</v>
      </c>
      <c r="D3" s="436">
        <f t="shared" ref="D3:L3" si="0">380*31*24</f>
        <v>282720</v>
      </c>
      <c r="E3" s="436">
        <f t="shared" si="0"/>
        <v>282720</v>
      </c>
      <c r="F3" s="436">
        <f t="shared" si="0"/>
        <v>282720</v>
      </c>
      <c r="G3" s="436">
        <f t="shared" si="0"/>
        <v>282720</v>
      </c>
      <c r="H3" s="436">
        <f t="shared" si="0"/>
        <v>282720</v>
      </c>
      <c r="I3" s="436">
        <f t="shared" si="0"/>
        <v>282720</v>
      </c>
      <c r="J3" s="436">
        <f t="shared" si="0"/>
        <v>282720</v>
      </c>
      <c r="K3" s="436">
        <f t="shared" si="0"/>
        <v>282720</v>
      </c>
      <c r="L3" s="436">
        <f t="shared" si="0"/>
        <v>282720</v>
      </c>
      <c r="M3" s="436">
        <f>300*31*24</f>
        <v>223200</v>
      </c>
      <c r="N3" s="436"/>
      <c r="O3" s="488"/>
    </row>
    <row r="4" spans="1:15">
      <c r="A4" s="488" t="s">
        <v>387</v>
      </c>
      <c r="B4" s="436">
        <f>180*31*24</f>
        <v>133920</v>
      </c>
      <c r="C4" s="436">
        <f>280*31*24</f>
        <v>208320</v>
      </c>
      <c r="D4" s="436">
        <f t="shared" ref="D4:K4" si="1">380*31*24</f>
        <v>282720</v>
      </c>
      <c r="E4" s="436">
        <f t="shared" si="1"/>
        <v>282720</v>
      </c>
      <c r="F4" s="436">
        <f t="shared" si="1"/>
        <v>282720</v>
      </c>
      <c r="G4" s="436">
        <f t="shared" si="1"/>
        <v>282720</v>
      </c>
      <c r="H4" s="436">
        <f t="shared" si="1"/>
        <v>282720</v>
      </c>
      <c r="I4" s="436">
        <f t="shared" si="1"/>
        <v>282720</v>
      </c>
      <c r="J4" s="436">
        <f t="shared" si="1"/>
        <v>282720</v>
      </c>
      <c r="K4" s="436">
        <f t="shared" si="1"/>
        <v>282720</v>
      </c>
      <c r="L4" s="436">
        <f>300*31*24</f>
        <v>223200</v>
      </c>
      <c r="M4" s="436"/>
      <c r="N4" s="436"/>
      <c r="O4" s="488"/>
    </row>
    <row r="5" spans="1:15">
      <c r="A5" s="488" t="s">
        <v>388</v>
      </c>
      <c r="B5" s="436">
        <f>180*28*24</f>
        <v>120960</v>
      </c>
      <c r="C5" s="436">
        <f>280*29*24</f>
        <v>194880</v>
      </c>
      <c r="D5" s="436">
        <f>380*28*24</f>
        <v>255360</v>
      </c>
      <c r="E5" s="436">
        <f>380*28*24</f>
        <v>255360</v>
      </c>
      <c r="F5" s="436">
        <f>380*28*24</f>
        <v>255360</v>
      </c>
      <c r="G5" s="436">
        <f>380*29*24</f>
        <v>264480</v>
      </c>
      <c r="H5" s="436">
        <f>380*28*24</f>
        <v>255360</v>
      </c>
      <c r="I5" s="436">
        <f>380*28*24</f>
        <v>255360</v>
      </c>
      <c r="J5" s="436">
        <f>380*28*24</f>
        <v>255360</v>
      </c>
      <c r="K5" s="436">
        <f>380*29*24</f>
        <v>264480</v>
      </c>
      <c r="L5" s="436">
        <f>300*28*24</f>
        <v>201600</v>
      </c>
      <c r="M5" s="436"/>
      <c r="N5" s="436"/>
      <c r="O5" s="488"/>
    </row>
    <row r="6" spans="1:15">
      <c r="A6" s="488" t="s">
        <v>389</v>
      </c>
      <c r="B6" s="436">
        <f>180*31*24</f>
        <v>133920</v>
      </c>
      <c r="C6" s="436">
        <f>280*31*24</f>
        <v>208320</v>
      </c>
      <c r="D6" s="436">
        <f t="shared" ref="D6:K6" si="2">380*31*24</f>
        <v>282720</v>
      </c>
      <c r="E6" s="436">
        <f t="shared" si="2"/>
        <v>282720</v>
      </c>
      <c r="F6" s="436">
        <f t="shared" si="2"/>
        <v>282720</v>
      </c>
      <c r="G6" s="436">
        <f t="shared" si="2"/>
        <v>282720</v>
      </c>
      <c r="H6" s="436">
        <f t="shared" si="2"/>
        <v>282720</v>
      </c>
      <c r="I6" s="436">
        <f t="shared" si="2"/>
        <v>282720</v>
      </c>
      <c r="J6" s="436">
        <f t="shared" si="2"/>
        <v>282720</v>
      </c>
      <c r="K6" s="436">
        <f t="shared" si="2"/>
        <v>282720</v>
      </c>
      <c r="L6" s="436">
        <f>300*31*24</f>
        <v>223200</v>
      </c>
      <c r="M6" s="436"/>
      <c r="N6" s="436"/>
      <c r="O6" s="488"/>
    </row>
    <row r="7" spans="1:15">
      <c r="A7" s="488" t="s">
        <v>390</v>
      </c>
      <c r="B7" s="436">
        <f>180*30*24</f>
        <v>129600</v>
      </c>
      <c r="C7" s="436">
        <f>280*30*24</f>
        <v>201600</v>
      </c>
      <c r="D7" s="436">
        <f t="shared" ref="D7:K7" si="3">380*30*24</f>
        <v>273600</v>
      </c>
      <c r="E7" s="436">
        <f t="shared" si="3"/>
        <v>273600</v>
      </c>
      <c r="F7" s="436">
        <f t="shared" si="3"/>
        <v>273600</v>
      </c>
      <c r="G7" s="436">
        <f t="shared" si="3"/>
        <v>273600</v>
      </c>
      <c r="H7" s="436">
        <f t="shared" si="3"/>
        <v>273600</v>
      </c>
      <c r="I7" s="436">
        <f t="shared" si="3"/>
        <v>273600</v>
      </c>
      <c r="J7" s="436">
        <f t="shared" si="3"/>
        <v>273600</v>
      </c>
      <c r="K7" s="436">
        <f t="shared" si="3"/>
        <v>273600</v>
      </c>
      <c r="L7" s="436">
        <f>300*30*24</f>
        <v>216000</v>
      </c>
      <c r="M7" s="436"/>
      <c r="N7" s="436"/>
      <c r="O7" s="488"/>
    </row>
    <row r="8" spans="1:15">
      <c r="A8" s="488" t="s">
        <v>391</v>
      </c>
      <c r="B8" s="436">
        <f>180*31*24</f>
        <v>133920</v>
      </c>
      <c r="C8" s="436">
        <f>280*31*24</f>
        <v>208320</v>
      </c>
      <c r="D8" s="436">
        <f t="shared" ref="D8:K8" si="4">380*31*24</f>
        <v>282720</v>
      </c>
      <c r="E8" s="436">
        <f t="shared" si="4"/>
        <v>282720</v>
      </c>
      <c r="F8" s="436">
        <f t="shared" si="4"/>
        <v>282720</v>
      </c>
      <c r="G8" s="436">
        <f t="shared" si="4"/>
        <v>282720</v>
      </c>
      <c r="H8" s="436">
        <f t="shared" si="4"/>
        <v>282720</v>
      </c>
      <c r="I8" s="436">
        <f t="shared" si="4"/>
        <v>282720</v>
      </c>
      <c r="J8" s="436">
        <f t="shared" si="4"/>
        <v>282720</v>
      </c>
      <c r="K8" s="436">
        <f t="shared" si="4"/>
        <v>282720</v>
      </c>
      <c r="L8" s="436">
        <f>300*31*24</f>
        <v>223200</v>
      </c>
      <c r="M8" s="436"/>
      <c r="N8" s="436"/>
      <c r="O8" s="488"/>
    </row>
    <row r="9" spans="1:15">
      <c r="A9" s="488" t="s">
        <v>392</v>
      </c>
      <c r="B9" s="436">
        <f>180*30*24</f>
        <v>129600</v>
      </c>
      <c r="C9" s="436">
        <f>280*30*24</f>
        <v>201600</v>
      </c>
      <c r="D9" s="436">
        <f t="shared" ref="D9:K9" si="5">380*30*24</f>
        <v>273600</v>
      </c>
      <c r="E9" s="436">
        <f t="shared" si="5"/>
        <v>273600</v>
      </c>
      <c r="F9" s="436">
        <f t="shared" si="5"/>
        <v>273600</v>
      </c>
      <c r="G9" s="436">
        <f t="shared" si="5"/>
        <v>273600</v>
      </c>
      <c r="H9" s="436">
        <f t="shared" si="5"/>
        <v>273600</v>
      </c>
      <c r="I9" s="436">
        <f t="shared" si="5"/>
        <v>273600</v>
      </c>
      <c r="J9" s="436">
        <f t="shared" si="5"/>
        <v>273600</v>
      </c>
      <c r="K9" s="436">
        <f t="shared" si="5"/>
        <v>273600</v>
      </c>
      <c r="L9" s="436">
        <f>300*30*24</f>
        <v>216000</v>
      </c>
      <c r="M9" s="436"/>
      <c r="N9" s="436"/>
      <c r="O9" s="488"/>
    </row>
    <row r="10" spans="1:15">
      <c r="A10" s="488" t="s">
        <v>393</v>
      </c>
      <c r="B10" s="436">
        <f>180*31*24</f>
        <v>133920</v>
      </c>
      <c r="C10" s="436">
        <f>280*31*24</f>
        <v>208320</v>
      </c>
      <c r="D10" s="436">
        <f t="shared" ref="D10:K11" si="6">380*31*24</f>
        <v>282720</v>
      </c>
      <c r="E10" s="436">
        <f t="shared" si="6"/>
        <v>282720</v>
      </c>
      <c r="F10" s="436">
        <f t="shared" si="6"/>
        <v>282720</v>
      </c>
      <c r="G10" s="436">
        <f t="shared" si="6"/>
        <v>282720</v>
      </c>
      <c r="H10" s="436">
        <f t="shared" si="6"/>
        <v>282720</v>
      </c>
      <c r="I10" s="436">
        <f t="shared" si="6"/>
        <v>282720</v>
      </c>
      <c r="J10" s="436">
        <f t="shared" si="6"/>
        <v>282720</v>
      </c>
      <c r="K10" s="436">
        <f t="shared" si="6"/>
        <v>282720</v>
      </c>
      <c r="L10" s="436">
        <f>300*31*24</f>
        <v>223200</v>
      </c>
      <c r="M10" s="436"/>
      <c r="N10" s="436"/>
      <c r="O10" s="488"/>
    </row>
    <row r="11" spans="1:15">
      <c r="A11" s="488" t="s">
        <v>394</v>
      </c>
      <c r="B11" s="436">
        <f>180*31*24</f>
        <v>133920</v>
      </c>
      <c r="C11" s="436">
        <f>280*31*24</f>
        <v>208320</v>
      </c>
      <c r="D11" s="436">
        <f t="shared" si="6"/>
        <v>282720</v>
      </c>
      <c r="E11" s="436">
        <f t="shared" si="6"/>
        <v>282720</v>
      </c>
      <c r="F11" s="436">
        <f t="shared" si="6"/>
        <v>282720</v>
      </c>
      <c r="G11" s="436">
        <f t="shared" si="6"/>
        <v>282720</v>
      </c>
      <c r="H11" s="436">
        <f t="shared" si="6"/>
        <v>282720</v>
      </c>
      <c r="I11" s="436">
        <f t="shared" si="6"/>
        <v>282720</v>
      </c>
      <c r="J11" s="436">
        <f t="shared" si="6"/>
        <v>282720</v>
      </c>
      <c r="K11" s="436">
        <f t="shared" si="6"/>
        <v>282720</v>
      </c>
      <c r="L11" s="436">
        <f>300*31*24</f>
        <v>223200</v>
      </c>
      <c r="M11" s="436"/>
      <c r="N11" s="436"/>
      <c r="O11" s="488"/>
    </row>
    <row r="12" spans="1:15">
      <c r="A12" s="488" t="s">
        <v>417</v>
      </c>
      <c r="B12" s="436">
        <f>180*30*24</f>
        <v>129600</v>
      </c>
      <c r="C12" s="436">
        <f>280*30*24</f>
        <v>201600</v>
      </c>
      <c r="D12" s="436">
        <f t="shared" ref="D12:K12" si="7">380*30*24</f>
        <v>273600</v>
      </c>
      <c r="E12" s="436">
        <f t="shared" si="7"/>
        <v>273600</v>
      </c>
      <c r="F12" s="436">
        <f t="shared" si="7"/>
        <v>273600</v>
      </c>
      <c r="G12" s="436">
        <f t="shared" si="7"/>
        <v>273600</v>
      </c>
      <c r="H12" s="436">
        <f t="shared" si="7"/>
        <v>273600</v>
      </c>
      <c r="I12" s="436">
        <f t="shared" si="7"/>
        <v>273600</v>
      </c>
      <c r="J12" s="436">
        <f t="shared" si="7"/>
        <v>273600</v>
      </c>
      <c r="K12" s="436">
        <f t="shared" si="7"/>
        <v>273600</v>
      </c>
      <c r="L12" s="436">
        <f>300*30*24</f>
        <v>216000</v>
      </c>
      <c r="M12" s="436"/>
      <c r="N12" s="436"/>
      <c r="O12" s="488"/>
    </row>
    <row r="13" spans="1:15">
      <c r="A13" s="488" t="s">
        <v>396</v>
      </c>
      <c r="B13" s="436">
        <f>180*31*24</f>
        <v>133920</v>
      </c>
      <c r="C13" s="436">
        <f>280*31*24</f>
        <v>208320</v>
      </c>
      <c r="D13" s="436">
        <f t="shared" ref="D13:K13" si="8">380*31*24</f>
        <v>282720</v>
      </c>
      <c r="E13" s="436">
        <f t="shared" si="8"/>
        <v>282720</v>
      </c>
      <c r="F13" s="436">
        <f t="shared" si="8"/>
        <v>282720</v>
      </c>
      <c r="G13" s="436">
        <f t="shared" si="8"/>
        <v>282720</v>
      </c>
      <c r="H13" s="436">
        <f t="shared" si="8"/>
        <v>282720</v>
      </c>
      <c r="I13" s="436">
        <f t="shared" si="8"/>
        <v>282720</v>
      </c>
      <c r="J13" s="436">
        <f t="shared" si="8"/>
        <v>282720</v>
      </c>
      <c r="K13" s="436">
        <f t="shared" si="8"/>
        <v>282720</v>
      </c>
      <c r="L13" s="436">
        <f>300*31*24</f>
        <v>223200</v>
      </c>
      <c r="M13" s="436"/>
      <c r="N13" s="436"/>
      <c r="O13" s="488"/>
    </row>
    <row r="14" spans="1:15">
      <c r="A14" s="488" t="s">
        <v>397</v>
      </c>
      <c r="B14" s="436">
        <f>180*30*24</f>
        <v>129600</v>
      </c>
      <c r="C14" s="436">
        <f>280*30*24</f>
        <v>201600</v>
      </c>
      <c r="D14" s="436">
        <f t="shared" ref="D14:K14" si="9">380*30*24</f>
        <v>273600</v>
      </c>
      <c r="E14" s="436">
        <f t="shared" si="9"/>
        <v>273600</v>
      </c>
      <c r="F14" s="436">
        <f t="shared" si="9"/>
        <v>273600</v>
      </c>
      <c r="G14" s="436">
        <f t="shared" si="9"/>
        <v>273600</v>
      </c>
      <c r="H14" s="436">
        <f t="shared" si="9"/>
        <v>273600</v>
      </c>
      <c r="I14" s="436">
        <f t="shared" si="9"/>
        <v>273600</v>
      </c>
      <c r="J14" s="436">
        <f t="shared" si="9"/>
        <v>273600</v>
      </c>
      <c r="K14" s="436">
        <f t="shared" si="9"/>
        <v>273600</v>
      </c>
      <c r="L14" s="436">
        <f>300*30*24</f>
        <v>216000</v>
      </c>
      <c r="M14" s="436"/>
      <c r="N14" s="436"/>
      <c r="O14" s="488"/>
    </row>
    <row r="15" spans="1:15" ht="15.75" thickBot="1">
      <c r="A15" s="488"/>
      <c r="B15" s="984">
        <f t="shared" ref="B15:M15" si="10">SUM(B3:B14)</f>
        <v>1576800</v>
      </c>
      <c r="C15" s="984">
        <f t="shared" si="10"/>
        <v>2459520</v>
      </c>
      <c r="D15" s="984">
        <f t="shared" si="10"/>
        <v>3328800</v>
      </c>
      <c r="E15" s="984">
        <f t="shared" si="10"/>
        <v>3328800</v>
      </c>
      <c r="F15" s="984">
        <f t="shared" si="10"/>
        <v>3328800</v>
      </c>
      <c r="G15" s="984">
        <f t="shared" si="10"/>
        <v>3337920</v>
      </c>
      <c r="H15" s="984">
        <f t="shared" si="10"/>
        <v>3328800</v>
      </c>
      <c r="I15" s="984">
        <f t="shared" si="10"/>
        <v>3328800</v>
      </c>
      <c r="J15" s="984">
        <f t="shared" si="10"/>
        <v>3328800</v>
      </c>
      <c r="K15" s="984">
        <f t="shared" si="10"/>
        <v>3337920</v>
      </c>
      <c r="L15" s="984">
        <f t="shared" si="10"/>
        <v>2687520</v>
      </c>
      <c r="M15" s="984">
        <f t="shared" si="10"/>
        <v>223200</v>
      </c>
      <c r="N15" s="488"/>
      <c r="O15" s="632">
        <f>SUM(B15:M15)</f>
        <v>33595680</v>
      </c>
    </row>
    <row r="16" spans="1:15" ht="15.75" thickTop="1">
      <c r="A16" s="488" t="s">
        <v>418</v>
      </c>
      <c r="B16" s="436">
        <f>+B15/(365*24)</f>
        <v>180</v>
      </c>
      <c r="C16" s="436">
        <f>+C15/(366*24)</f>
        <v>280</v>
      </c>
      <c r="D16" s="436">
        <f>+D15/(365*24)</f>
        <v>380</v>
      </c>
      <c r="E16" s="436">
        <f>+E15/(365*24)</f>
        <v>380</v>
      </c>
      <c r="F16" s="436">
        <f>+F15/(365*24)</f>
        <v>380</v>
      </c>
      <c r="G16" s="436">
        <f>+G15/(366*24)</f>
        <v>380</v>
      </c>
      <c r="H16" s="436">
        <f>+H15/(365*24)</f>
        <v>380</v>
      </c>
      <c r="I16" s="436">
        <f>+I15/(365*24)</f>
        <v>380</v>
      </c>
      <c r="J16" s="436">
        <f>+J15/(365*24)</f>
        <v>380</v>
      </c>
      <c r="K16" s="436">
        <f>+K15/(366*24)</f>
        <v>380</v>
      </c>
      <c r="L16" s="436">
        <f>+L15/(365*24)</f>
        <v>306.79452054794518</v>
      </c>
      <c r="M16" s="488"/>
      <c r="N16" s="488"/>
      <c r="O16" s="488"/>
    </row>
    <row r="17" spans="1:15">
      <c r="A17" s="488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</row>
    <row r="18" spans="1:15">
      <c r="A18" s="346" t="s">
        <v>419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</row>
    <row r="19" spans="1:15">
      <c r="A19" s="488" t="s">
        <v>398</v>
      </c>
      <c r="B19" s="987">
        <f t="shared" ref="B19:M19" si="11">+B3*1.49</f>
        <v>199540.8</v>
      </c>
      <c r="C19" s="987">
        <f t="shared" si="11"/>
        <v>310396.79999999999</v>
      </c>
      <c r="D19" s="987">
        <f t="shared" si="11"/>
        <v>421252.8</v>
      </c>
      <c r="E19" s="987">
        <f t="shared" si="11"/>
        <v>421252.8</v>
      </c>
      <c r="F19" s="987">
        <f t="shared" si="11"/>
        <v>421252.8</v>
      </c>
      <c r="G19" s="987">
        <f t="shared" si="11"/>
        <v>421252.8</v>
      </c>
      <c r="H19" s="987">
        <f t="shared" si="11"/>
        <v>421252.8</v>
      </c>
      <c r="I19" s="987">
        <f t="shared" si="11"/>
        <v>421252.8</v>
      </c>
      <c r="J19" s="987">
        <f t="shared" si="11"/>
        <v>421252.8</v>
      </c>
      <c r="K19" s="987">
        <f t="shared" si="11"/>
        <v>421252.8</v>
      </c>
      <c r="L19" s="987">
        <f t="shared" si="11"/>
        <v>421252.8</v>
      </c>
      <c r="M19" s="987">
        <f t="shared" si="11"/>
        <v>332568</v>
      </c>
    </row>
    <row r="20" spans="1:15">
      <c r="A20" s="488" t="s">
        <v>387</v>
      </c>
      <c r="B20" s="987">
        <f t="shared" ref="B20:L20" si="12">+B4*1.49</f>
        <v>199540.8</v>
      </c>
      <c r="C20" s="987">
        <f t="shared" si="12"/>
        <v>310396.79999999999</v>
      </c>
      <c r="D20" s="987">
        <f t="shared" si="12"/>
        <v>421252.8</v>
      </c>
      <c r="E20" s="987">
        <f t="shared" si="12"/>
        <v>421252.8</v>
      </c>
      <c r="F20" s="987">
        <f t="shared" si="12"/>
        <v>421252.8</v>
      </c>
      <c r="G20" s="987">
        <f t="shared" si="12"/>
        <v>421252.8</v>
      </c>
      <c r="H20" s="987">
        <f t="shared" si="12"/>
        <v>421252.8</v>
      </c>
      <c r="I20" s="987">
        <f t="shared" si="12"/>
        <v>421252.8</v>
      </c>
      <c r="J20" s="987">
        <f t="shared" si="12"/>
        <v>421252.8</v>
      </c>
      <c r="K20" s="987">
        <f t="shared" si="12"/>
        <v>421252.8</v>
      </c>
      <c r="L20" s="987">
        <f t="shared" si="12"/>
        <v>332568</v>
      </c>
      <c r="M20" s="987"/>
    </row>
    <row r="21" spans="1:15">
      <c r="A21" s="488" t="s">
        <v>388</v>
      </c>
      <c r="B21" s="987">
        <f t="shared" ref="B21:L21" si="13">+B5*1.49</f>
        <v>180230.39999999999</v>
      </c>
      <c r="C21" s="987">
        <f t="shared" si="13"/>
        <v>290371.20000000001</v>
      </c>
      <c r="D21" s="987">
        <f t="shared" si="13"/>
        <v>380486.40000000002</v>
      </c>
      <c r="E21" s="987">
        <f t="shared" si="13"/>
        <v>380486.40000000002</v>
      </c>
      <c r="F21" s="987">
        <f t="shared" si="13"/>
        <v>380486.40000000002</v>
      </c>
      <c r="G21" s="987">
        <f t="shared" si="13"/>
        <v>394075.2</v>
      </c>
      <c r="H21" s="987">
        <f t="shared" si="13"/>
        <v>380486.40000000002</v>
      </c>
      <c r="I21" s="987">
        <f t="shared" si="13"/>
        <v>380486.40000000002</v>
      </c>
      <c r="J21" s="987">
        <f t="shared" si="13"/>
        <v>380486.40000000002</v>
      </c>
      <c r="K21" s="987">
        <f t="shared" si="13"/>
        <v>394075.2</v>
      </c>
      <c r="L21" s="987">
        <f t="shared" si="13"/>
        <v>300384</v>
      </c>
      <c r="M21" s="987"/>
    </row>
    <row r="22" spans="1:15">
      <c r="A22" s="488" t="s">
        <v>389</v>
      </c>
      <c r="B22" s="987">
        <f t="shared" ref="B22:L22" si="14">+B6*1.49</f>
        <v>199540.8</v>
      </c>
      <c r="C22" s="987">
        <f t="shared" si="14"/>
        <v>310396.79999999999</v>
      </c>
      <c r="D22" s="987">
        <f t="shared" si="14"/>
        <v>421252.8</v>
      </c>
      <c r="E22" s="987">
        <f t="shared" si="14"/>
        <v>421252.8</v>
      </c>
      <c r="F22" s="987">
        <f t="shared" si="14"/>
        <v>421252.8</v>
      </c>
      <c r="G22" s="987">
        <f t="shared" si="14"/>
        <v>421252.8</v>
      </c>
      <c r="H22" s="987">
        <f t="shared" si="14"/>
        <v>421252.8</v>
      </c>
      <c r="I22" s="987">
        <f t="shared" si="14"/>
        <v>421252.8</v>
      </c>
      <c r="J22" s="987">
        <f t="shared" si="14"/>
        <v>421252.8</v>
      </c>
      <c r="K22" s="987">
        <f t="shared" si="14"/>
        <v>421252.8</v>
      </c>
      <c r="L22" s="987">
        <f t="shared" si="14"/>
        <v>332568</v>
      </c>
      <c r="M22" s="987"/>
    </row>
    <row r="23" spans="1:15">
      <c r="A23" s="488" t="s">
        <v>390</v>
      </c>
      <c r="B23" s="987">
        <f t="shared" ref="B23:L23" si="15">+B7*1.49</f>
        <v>193104</v>
      </c>
      <c r="C23" s="987">
        <f t="shared" si="15"/>
        <v>300384</v>
      </c>
      <c r="D23" s="987">
        <f t="shared" si="15"/>
        <v>407664</v>
      </c>
      <c r="E23" s="987">
        <f t="shared" si="15"/>
        <v>407664</v>
      </c>
      <c r="F23" s="987">
        <f t="shared" si="15"/>
        <v>407664</v>
      </c>
      <c r="G23" s="987">
        <f t="shared" si="15"/>
        <v>407664</v>
      </c>
      <c r="H23" s="987">
        <f t="shared" si="15"/>
        <v>407664</v>
      </c>
      <c r="I23" s="987">
        <f t="shared" si="15"/>
        <v>407664</v>
      </c>
      <c r="J23" s="987">
        <f t="shared" si="15"/>
        <v>407664</v>
      </c>
      <c r="K23" s="987">
        <f t="shared" si="15"/>
        <v>407664</v>
      </c>
      <c r="L23" s="987">
        <f t="shared" si="15"/>
        <v>321840</v>
      </c>
      <c r="M23" s="987"/>
    </row>
    <row r="24" spans="1:15">
      <c r="A24" s="488" t="s">
        <v>391</v>
      </c>
      <c r="B24" s="987">
        <f t="shared" ref="B24:L24" si="16">+B8*1.49</f>
        <v>199540.8</v>
      </c>
      <c r="C24" s="987">
        <f t="shared" si="16"/>
        <v>310396.79999999999</v>
      </c>
      <c r="D24" s="987">
        <f t="shared" si="16"/>
        <v>421252.8</v>
      </c>
      <c r="E24" s="987">
        <f t="shared" si="16"/>
        <v>421252.8</v>
      </c>
      <c r="F24" s="987">
        <f t="shared" si="16"/>
        <v>421252.8</v>
      </c>
      <c r="G24" s="987">
        <f t="shared" si="16"/>
        <v>421252.8</v>
      </c>
      <c r="H24" s="987">
        <f t="shared" si="16"/>
        <v>421252.8</v>
      </c>
      <c r="I24" s="987">
        <f t="shared" si="16"/>
        <v>421252.8</v>
      </c>
      <c r="J24" s="987">
        <f t="shared" si="16"/>
        <v>421252.8</v>
      </c>
      <c r="K24" s="987">
        <f t="shared" si="16"/>
        <v>421252.8</v>
      </c>
      <c r="L24" s="987">
        <f t="shared" si="16"/>
        <v>332568</v>
      </c>
      <c r="M24" s="987"/>
    </row>
    <row r="25" spans="1:15">
      <c r="A25" s="488" t="s">
        <v>392</v>
      </c>
      <c r="B25" s="987">
        <f t="shared" ref="B25:L25" si="17">+B9*1.49</f>
        <v>193104</v>
      </c>
      <c r="C25" s="987">
        <f t="shared" si="17"/>
        <v>300384</v>
      </c>
      <c r="D25" s="987">
        <f t="shared" si="17"/>
        <v>407664</v>
      </c>
      <c r="E25" s="987">
        <f t="shared" si="17"/>
        <v>407664</v>
      </c>
      <c r="F25" s="987">
        <f t="shared" si="17"/>
        <v>407664</v>
      </c>
      <c r="G25" s="987">
        <f t="shared" si="17"/>
        <v>407664</v>
      </c>
      <c r="H25" s="987">
        <f t="shared" si="17"/>
        <v>407664</v>
      </c>
      <c r="I25" s="987">
        <f t="shared" si="17"/>
        <v>407664</v>
      </c>
      <c r="J25" s="987">
        <f t="shared" si="17"/>
        <v>407664</v>
      </c>
      <c r="K25" s="987">
        <f t="shared" si="17"/>
        <v>407664</v>
      </c>
      <c r="L25" s="987">
        <f t="shared" si="17"/>
        <v>321840</v>
      </c>
      <c r="M25" s="987"/>
    </row>
    <row r="26" spans="1:15">
      <c r="A26" s="488" t="s">
        <v>393</v>
      </c>
      <c r="B26" s="987">
        <f t="shared" ref="B26:L26" si="18">+B10*1.49</f>
        <v>199540.8</v>
      </c>
      <c r="C26" s="987">
        <f t="shared" si="18"/>
        <v>310396.79999999999</v>
      </c>
      <c r="D26" s="987">
        <f t="shared" si="18"/>
        <v>421252.8</v>
      </c>
      <c r="E26" s="987">
        <f t="shared" si="18"/>
        <v>421252.8</v>
      </c>
      <c r="F26" s="987">
        <f t="shared" si="18"/>
        <v>421252.8</v>
      </c>
      <c r="G26" s="987">
        <f t="shared" si="18"/>
        <v>421252.8</v>
      </c>
      <c r="H26" s="987">
        <f t="shared" si="18"/>
        <v>421252.8</v>
      </c>
      <c r="I26" s="987">
        <f t="shared" si="18"/>
        <v>421252.8</v>
      </c>
      <c r="J26" s="987">
        <f t="shared" si="18"/>
        <v>421252.8</v>
      </c>
      <c r="K26" s="987">
        <f t="shared" si="18"/>
        <v>421252.8</v>
      </c>
      <c r="L26" s="987">
        <f t="shared" si="18"/>
        <v>332568</v>
      </c>
      <c r="M26" s="987"/>
    </row>
    <row r="27" spans="1:15">
      <c r="A27" s="488" t="s">
        <v>394</v>
      </c>
      <c r="B27" s="987">
        <f t="shared" ref="B27:L27" si="19">+B11*1.49</f>
        <v>199540.8</v>
      </c>
      <c r="C27" s="987">
        <f t="shared" si="19"/>
        <v>310396.79999999999</v>
      </c>
      <c r="D27" s="987">
        <f t="shared" si="19"/>
        <v>421252.8</v>
      </c>
      <c r="E27" s="987">
        <f t="shared" si="19"/>
        <v>421252.8</v>
      </c>
      <c r="F27" s="987">
        <f t="shared" si="19"/>
        <v>421252.8</v>
      </c>
      <c r="G27" s="987">
        <f t="shared" si="19"/>
        <v>421252.8</v>
      </c>
      <c r="H27" s="987">
        <f t="shared" si="19"/>
        <v>421252.8</v>
      </c>
      <c r="I27" s="987">
        <f t="shared" si="19"/>
        <v>421252.8</v>
      </c>
      <c r="J27" s="987">
        <f t="shared" si="19"/>
        <v>421252.8</v>
      </c>
      <c r="K27" s="987">
        <f t="shared" si="19"/>
        <v>421252.8</v>
      </c>
      <c r="L27" s="987">
        <f t="shared" si="19"/>
        <v>332568</v>
      </c>
      <c r="M27" s="987"/>
    </row>
    <row r="28" spans="1:15">
      <c r="A28" s="488" t="s">
        <v>417</v>
      </c>
      <c r="B28" s="987">
        <f t="shared" ref="B28:L28" si="20">+B12*1.49</f>
        <v>193104</v>
      </c>
      <c r="C28" s="987">
        <f t="shared" si="20"/>
        <v>300384</v>
      </c>
      <c r="D28" s="987">
        <f t="shared" si="20"/>
        <v>407664</v>
      </c>
      <c r="E28" s="987">
        <f t="shared" si="20"/>
        <v>407664</v>
      </c>
      <c r="F28" s="987">
        <f t="shared" si="20"/>
        <v>407664</v>
      </c>
      <c r="G28" s="987">
        <f t="shared" si="20"/>
        <v>407664</v>
      </c>
      <c r="H28" s="987">
        <f t="shared" si="20"/>
        <v>407664</v>
      </c>
      <c r="I28" s="987">
        <f t="shared" si="20"/>
        <v>407664</v>
      </c>
      <c r="J28" s="987">
        <f t="shared" si="20"/>
        <v>407664</v>
      </c>
      <c r="K28" s="987">
        <f t="shared" si="20"/>
        <v>407664</v>
      </c>
      <c r="L28" s="987">
        <f t="shared" si="20"/>
        <v>321840</v>
      </c>
      <c r="M28" s="987"/>
    </row>
    <row r="29" spans="1:15">
      <c r="A29" s="488" t="s">
        <v>396</v>
      </c>
      <c r="B29" s="987">
        <f t="shared" ref="B29:L29" si="21">+B13*1.49</f>
        <v>199540.8</v>
      </c>
      <c r="C29" s="987">
        <f t="shared" si="21"/>
        <v>310396.79999999999</v>
      </c>
      <c r="D29" s="987">
        <f t="shared" si="21"/>
        <v>421252.8</v>
      </c>
      <c r="E29" s="987">
        <f t="shared" si="21"/>
        <v>421252.8</v>
      </c>
      <c r="F29" s="987">
        <f t="shared" si="21"/>
        <v>421252.8</v>
      </c>
      <c r="G29" s="987">
        <f t="shared" si="21"/>
        <v>421252.8</v>
      </c>
      <c r="H29" s="987">
        <f t="shared" si="21"/>
        <v>421252.8</v>
      </c>
      <c r="I29" s="987">
        <f t="shared" si="21"/>
        <v>421252.8</v>
      </c>
      <c r="J29" s="987">
        <f t="shared" si="21"/>
        <v>421252.8</v>
      </c>
      <c r="K29" s="987">
        <f t="shared" si="21"/>
        <v>421252.8</v>
      </c>
      <c r="L29" s="987">
        <f t="shared" si="21"/>
        <v>332568</v>
      </c>
      <c r="M29" s="987"/>
    </row>
    <row r="30" spans="1:15">
      <c r="A30" s="488" t="s">
        <v>397</v>
      </c>
      <c r="B30" s="987">
        <f t="shared" ref="B30:L30" si="22">+B14*1.49</f>
        <v>193104</v>
      </c>
      <c r="C30" s="987">
        <f t="shared" si="22"/>
        <v>300384</v>
      </c>
      <c r="D30" s="987">
        <f t="shared" si="22"/>
        <v>407664</v>
      </c>
      <c r="E30" s="987">
        <f t="shared" si="22"/>
        <v>407664</v>
      </c>
      <c r="F30" s="987">
        <f t="shared" si="22"/>
        <v>407664</v>
      </c>
      <c r="G30" s="987">
        <f t="shared" si="22"/>
        <v>407664</v>
      </c>
      <c r="H30" s="987">
        <f t="shared" si="22"/>
        <v>407664</v>
      </c>
      <c r="I30" s="987">
        <f t="shared" si="22"/>
        <v>407664</v>
      </c>
      <c r="J30" s="987">
        <f t="shared" si="22"/>
        <v>407664</v>
      </c>
      <c r="K30" s="987">
        <f t="shared" si="22"/>
        <v>407664</v>
      </c>
      <c r="L30" s="987">
        <f t="shared" si="22"/>
        <v>321840</v>
      </c>
      <c r="M30" s="987"/>
    </row>
    <row r="31" spans="1:15" ht="15.75" thickBot="1">
      <c r="A31" s="488"/>
      <c r="B31" s="450">
        <f t="shared" ref="B31:M31" si="23">SUM(B19:B30)</f>
        <v>2349432</v>
      </c>
      <c r="C31" s="450">
        <f t="shared" si="23"/>
        <v>3664684.8</v>
      </c>
      <c r="D31" s="450">
        <f t="shared" si="23"/>
        <v>4959912</v>
      </c>
      <c r="E31" s="450">
        <f t="shared" si="23"/>
        <v>4959912</v>
      </c>
      <c r="F31" s="450">
        <f t="shared" si="23"/>
        <v>4959912</v>
      </c>
      <c r="G31" s="450">
        <f t="shared" si="23"/>
        <v>4973500.8</v>
      </c>
      <c r="H31" s="450">
        <f t="shared" si="23"/>
        <v>4959912</v>
      </c>
      <c r="I31" s="450">
        <f t="shared" si="23"/>
        <v>4959912</v>
      </c>
      <c r="J31" s="450">
        <f t="shared" si="23"/>
        <v>4959912</v>
      </c>
      <c r="K31" s="450">
        <f t="shared" si="23"/>
        <v>4973500.8</v>
      </c>
      <c r="L31" s="450">
        <f t="shared" si="23"/>
        <v>4004404.8</v>
      </c>
      <c r="M31" s="450">
        <f t="shared" si="23"/>
        <v>332568</v>
      </c>
    </row>
    <row r="32" spans="1:15" ht="15.75" thickTop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</row>
    <row r="33" spans="1:13">
      <c r="A33" s="488" t="s">
        <v>853</v>
      </c>
      <c r="B33" s="488"/>
      <c r="C33" s="488"/>
      <c r="D33" s="488"/>
      <c r="E33" s="987">
        <f>SUM(E20:E30,F19)</f>
        <v>4959911.9999999991</v>
      </c>
      <c r="F33" s="488"/>
      <c r="G33" s="488"/>
      <c r="H33" s="488"/>
      <c r="I33" s="488"/>
      <c r="J33" s="488"/>
      <c r="K33" s="488"/>
      <c r="L33" s="488"/>
      <c r="M33" s="488"/>
    </row>
    <row r="34" spans="1:13">
      <c r="A34" s="488"/>
      <c r="B34" s="488"/>
      <c r="C34" s="488"/>
      <c r="D34" s="488"/>
      <c r="E34" s="319"/>
      <c r="F34" s="488"/>
      <c r="G34" s="488"/>
      <c r="H34" s="488"/>
      <c r="I34" s="488"/>
      <c r="J34" s="488"/>
      <c r="K34" s="488"/>
      <c r="L34" s="488"/>
      <c r="M34" s="488"/>
    </row>
    <row r="35" spans="1:13">
      <c r="A35" s="488"/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</row>
    <row r="36" spans="1:13">
      <c r="A36" s="488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</row>
    <row r="37" spans="1:13">
      <c r="A37" s="488"/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</row>
    <row r="38" spans="1:13">
      <c r="A38" s="488"/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</row>
  </sheetData>
  <pageMargins left="0.7" right="0.7" top="0.75" bottom="0.75" header="0.3" footer="0.3"/>
  <pageSetup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23"/>
  <sheetViews>
    <sheetView topLeftCell="B1" zoomScaleNormal="85" workbookViewId="0">
      <pane ySplit="7" topLeftCell="A8" activePane="bottomLeft" state="frozen"/>
      <selection activeCell="D11" sqref="D11"/>
      <selection pane="bottomLeft" activeCell="M11" sqref="M11"/>
    </sheetView>
  </sheetViews>
  <sheetFormatPr defaultColWidth="9.1640625" defaultRowHeight="12.75"/>
  <cols>
    <col min="1" max="1" width="9.1640625" style="350"/>
    <col min="2" max="2" width="63" style="350" customWidth="1"/>
    <col min="3" max="3" width="18.5" style="350" customWidth="1"/>
    <col min="4" max="4" width="19.6640625" style="350" customWidth="1"/>
    <col min="5" max="6" width="18.5" style="350" customWidth="1"/>
    <col min="7" max="7" width="9.1640625" style="350"/>
    <col min="8" max="8" width="13.33203125" style="350" customWidth="1"/>
    <col min="9" max="9" width="12.1640625" style="350" customWidth="1"/>
    <col min="10" max="10" width="12.33203125" style="350" customWidth="1"/>
    <col min="11" max="11" width="13.6640625" style="350" bestFit="1" customWidth="1"/>
    <col min="12" max="12" width="13.5" style="350" customWidth="1"/>
    <col min="13" max="13" width="14.83203125" style="350" bestFit="1" customWidth="1"/>
    <col min="14" max="16384" width="9.1640625" style="350"/>
  </cols>
  <sheetData>
    <row r="1" spans="1:13" s="365" customFormat="1">
      <c r="A1" s="1099" t="s">
        <v>374</v>
      </c>
      <c r="B1" s="1099"/>
      <c r="C1" s="1099"/>
      <c r="D1" s="1099"/>
      <c r="E1" s="1099"/>
      <c r="F1" s="1099"/>
    </row>
    <row r="2" spans="1:13" s="365" customFormat="1">
      <c r="A2" s="1099" t="s">
        <v>513</v>
      </c>
      <c r="B2" s="1099"/>
      <c r="C2" s="1099"/>
      <c r="D2" s="1099"/>
      <c r="E2" s="1099"/>
      <c r="F2" s="1099"/>
    </row>
    <row r="3" spans="1:13" s="365" customFormat="1">
      <c r="A3" s="1099" t="s">
        <v>514</v>
      </c>
      <c r="B3" s="1099"/>
      <c r="C3" s="1099"/>
      <c r="D3" s="1099"/>
      <c r="E3" s="1099"/>
      <c r="F3" s="1099"/>
    </row>
    <row r="4" spans="1:13" s="365" customFormat="1">
      <c r="A4" s="1099" t="s">
        <v>882</v>
      </c>
      <c r="B4" s="1099"/>
      <c r="C4" s="1099"/>
      <c r="D4" s="1099"/>
      <c r="E4" s="1099"/>
      <c r="F4" s="1099"/>
      <c r="H4" s="451" t="s">
        <v>1161</v>
      </c>
    </row>
    <row r="5" spans="1:13">
      <c r="A5"/>
      <c r="B5"/>
      <c r="C5"/>
      <c r="D5"/>
      <c r="E5"/>
      <c r="F5"/>
    </row>
    <row r="7" spans="1:13" ht="38.25">
      <c r="A7" s="380" t="s">
        <v>65</v>
      </c>
      <c r="B7" s="380" t="s">
        <v>375</v>
      </c>
      <c r="C7" s="380" t="s">
        <v>982</v>
      </c>
      <c r="D7" s="380" t="s">
        <v>515</v>
      </c>
      <c r="E7" s="380" t="s">
        <v>516</v>
      </c>
      <c r="F7" s="380" t="s">
        <v>517</v>
      </c>
      <c r="H7" s="560" t="s">
        <v>698</v>
      </c>
      <c r="I7" s="561" t="s">
        <v>699</v>
      </c>
      <c r="J7" s="561" t="s">
        <v>700</v>
      </c>
      <c r="K7" s="561" t="s">
        <v>701</v>
      </c>
      <c r="L7" s="561" t="s">
        <v>702</v>
      </c>
      <c r="M7" s="561" t="s">
        <v>703</v>
      </c>
    </row>
    <row r="8" spans="1:13">
      <c r="A8" s="381"/>
      <c r="B8" s="382"/>
      <c r="H8" s="562" t="s">
        <v>704</v>
      </c>
      <c r="I8" s="563" t="s">
        <v>705</v>
      </c>
      <c r="J8" s="563" t="s">
        <v>706</v>
      </c>
      <c r="K8" s="563" t="s">
        <v>707</v>
      </c>
      <c r="L8" s="563" t="s">
        <v>708</v>
      </c>
      <c r="M8" s="563"/>
    </row>
    <row r="9" spans="1:13">
      <c r="A9" s="383"/>
      <c r="B9" s="384" t="s">
        <v>518</v>
      </c>
      <c r="C9" s="349"/>
      <c r="D9" s="349"/>
      <c r="E9" s="349"/>
      <c r="F9" s="349"/>
      <c r="G9" s="349"/>
      <c r="H9" s="564"/>
      <c r="I9" s="340"/>
      <c r="J9" s="340"/>
      <c r="K9" s="340"/>
      <c r="L9" s="340"/>
      <c r="M9" s="340"/>
    </row>
    <row r="10" spans="1:13">
      <c r="A10" s="383" t="s">
        <v>519</v>
      </c>
      <c r="B10" s="384" t="s">
        <v>520</v>
      </c>
      <c r="C10" s="416">
        <f>+'[51]Transmission Plant'!C10</f>
        <v>10247</v>
      </c>
      <c r="D10" s="633">
        <f>+'[51]Transmission Plant'!D10</f>
        <v>0</v>
      </c>
      <c r="E10" s="633">
        <f>+'[51]Transmission Plant'!E10</f>
        <v>10247</v>
      </c>
      <c r="F10" s="633">
        <f>+'[51]Transmission Plant'!F10</f>
        <v>0</v>
      </c>
      <c r="G10" s="349"/>
      <c r="H10" s="564"/>
      <c r="I10" s="340"/>
      <c r="J10" s="340"/>
      <c r="K10" s="340"/>
      <c r="L10" s="340"/>
      <c r="M10" s="363">
        <f>E10+L10</f>
        <v>10247</v>
      </c>
    </row>
    <row r="11" spans="1:13">
      <c r="A11" s="383" t="s">
        <v>521</v>
      </c>
      <c r="B11" s="384" t="s">
        <v>44</v>
      </c>
      <c r="C11" s="633">
        <f>+'[51]Transmission Plant'!C11</f>
        <v>685927</v>
      </c>
      <c r="D11" s="633">
        <f>+'[51]Transmission Plant'!D11</f>
        <v>485789</v>
      </c>
      <c r="E11" s="633">
        <f>+'[51]Transmission Plant'!E11</f>
        <v>200138</v>
      </c>
      <c r="F11" s="633">
        <f>+'[51]Transmission Plant'!F11</f>
        <v>13032.599999999999</v>
      </c>
      <c r="G11" s="349"/>
      <c r="H11" s="766">
        <f>+'[51]Transmission Plant'!H11</f>
        <v>1.9E-2</v>
      </c>
      <c r="I11" s="766">
        <f>+'[51]Transmission Plant'!I11</f>
        <v>1.100217969328833E-2</v>
      </c>
      <c r="J11" s="565">
        <f>I11/H11</f>
        <v>0.57906208912043844</v>
      </c>
      <c r="K11" s="566">
        <f>F11*J11</f>
        <v>7546.6845826710251</v>
      </c>
      <c r="L11" s="566">
        <f>K11-F11</f>
        <v>-5485.9154173289735</v>
      </c>
      <c r="M11" s="566">
        <f>E11-L11</f>
        <v>205623.91541732897</v>
      </c>
    </row>
    <row r="12" spans="1:13">
      <c r="A12" s="383" t="s">
        <v>522</v>
      </c>
      <c r="B12" s="384" t="s">
        <v>54</v>
      </c>
      <c r="C12" s="633">
        <f>+'[51]Transmission Plant'!C12</f>
        <v>0</v>
      </c>
      <c r="D12" s="633">
        <f>+'[51]Transmission Plant'!D12</f>
        <v>0</v>
      </c>
      <c r="E12" s="633">
        <f>+'[51]Transmission Plant'!E12</f>
        <v>0</v>
      </c>
      <c r="F12" s="633">
        <f>+'[51]Transmission Plant'!F12</f>
        <v>0</v>
      </c>
      <c r="G12" s="349"/>
      <c r="H12" s="766">
        <f>+'[51]Transmission Plant'!H12</f>
        <v>1.7000000000000001E-2</v>
      </c>
      <c r="I12" s="766">
        <f>+'[51]Transmission Plant'!I12</f>
        <v>1.5237296061526625E-2</v>
      </c>
      <c r="J12" s="565">
        <f t="shared" ref="J12:J17" si="0">I12/H12</f>
        <v>0.89631153303097788</v>
      </c>
      <c r="K12" s="566">
        <f t="shared" ref="K12:K17" si="1">F12*J12</f>
        <v>0</v>
      </c>
      <c r="L12" s="566">
        <f t="shared" ref="L12:L17" si="2">K12-F12</f>
        <v>0</v>
      </c>
      <c r="M12" s="566">
        <f t="shared" ref="M12:M17" si="3">E12-L12</f>
        <v>0</v>
      </c>
    </row>
    <row r="13" spans="1:13">
      <c r="A13" s="383" t="s">
        <v>523</v>
      </c>
      <c r="B13" s="384" t="s">
        <v>524</v>
      </c>
      <c r="C13" s="633">
        <f>+'[51]Transmission Plant'!C13</f>
        <v>1231131</v>
      </c>
      <c r="D13" s="633">
        <f>+'[51]Transmission Plant'!D13</f>
        <v>1126752</v>
      </c>
      <c r="E13" s="633">
        <f>+'[51]Transmission Plant'!E13</f>
        <v>104379</v>
      </c>
      <c r="F13" s="633">
        <f>+'[51]Transmission Plant'!F13</f>
        <v>25976.880000000001</v>
      </c>
      <c r="G13" s="349"/>
      <c r="H13" s="766">
        <f>+'[51]Transmission Plant'!H13</f>
        <v>2.1100000000000001E-2</v>
      </c>
      <c r="I13" s="766">
        <f>+'[51]Transmission Plant'!I13</f>
        <v>2.3063769121861685E-2</v>
      </c>
      <c r="J13" s="565">
        <f t="shared" si="0"/>
        <v>1.0930696266285158</v>
      </c>
      <c r="K13" s="566">
        <f t="shared" si="1"/>
        <v>28394.538522573759</v>
      </c>
      <c r="L13" s="566">
        <f t="shared" si="2"/>
        <v>2417.6585225737581</v>
      </c>
      <c r="M13" s="566">
        <f t="shared" si="3"/>
        <v>101961.34147742623</v>
      </c>
    </row>
    <row r="14" spans="1:13">
      <c r="A14" s="383" t="s">
        <v>525</v>
      </c>
      <c r="B14" s="384" t="s">
        <v>526</v>
      </c>
      <c r="C14" s="633">
        <f>+'[51]Transmission Plant'!C14</f>
        <v>14574175</v>
      </c>
      <c r="D14" s="633">
        <f>+'[51]Transmission Plant'!D14</f>
        <v>10479101</v>
      </c>
      <c r="E14" s="633">
        <f>+'[51]Transmission Plant'!E14</f>
        <v>4095074</v>
      </c>
      <c r="F14" s="633">
        <f>+'[51]Transmission Plant'!F14</f>
        <v>243388.68</v>
      </c>
      <c r="G14" s="349"/>
      <c r="H14" s="766">
        <f>+'[51]Transmission Plant'!H14</f>
        <v>1.67E-2</v>
      </c>
      <c r="I14" s="766">
        <f>+'[51]Transmission Plant'!I14</f>
        <v>1.254568132840889E-2</v>
      </c>
      <c r="J14" s="565">
        <f t="shared" si="0"/>
        <v>0.75123840289873589</v>
      </c>
      <c r="K14" s="566">
        <f t="shared" si="1"/>
        <v>182842.92324683149</v>
      </c>
      <c r="L14" s="566">
        <f t="shared" si="2"/>
        <v>-60545.756753168505</v>
      </c>
      <c r="M14" s="566">
        <f t="shared" si="3"/>
        <v>4155619.7567531685</v>
      </c>
    </row>
    <row r="15" spans="1:13">
      <c r="A15" s="383" t="s">
        <v>527</v>
      </c>
      <c r="B15" s="384" t="s">
        <v>528</v>
      </c>
      <c r="C15" s="633">
        <f>+'[51]Transmission Plant'!C15</f>
        <v>49007</v>
      </c>
      <c r="D15" s="633">
        <f>+'[51]Transmission Plant'!D15</f>
        <v>57496</v>
      </c>
      <c r="E15" s="633">
        <f>+'[51]Transmission Plant'!E15</f>
        <v>-8489</v>
      </c>
      <c r="F15" s="633">
        <f>+'[51]Transmission Plant'!F15</f>
        <v>1480.08</v>
      </c>
      <c r="G15" s="349"/>
      <c r="H15" s="766">
        <f>+'[51]Transmission Plant'!H15</f>
        <v>3.0200000000000001E-2</v>
      </c>
      <c r="I15" s="766">
        <f>+'[51]Transmission Plant'!I15</f>
        <v>3.0389125381143935E-2</v>
      </c>
      <c r="J15" s="565">
        <f t="shared" si="0"/>
        <v>1.0062624298392031</v>
      </c>
      <c r="K15" s="566">
        <f t="shared" si="1"/>
        <v>1489.3488971564077</v>
      </c>
      <c r="L15" s="566">
        <f t="shared" si="2"/>
        <v>9.2688971564077747</v>
      </c>
      <c r="M15" s="566">
        <f t="shared" si="3"/>
        <v>-8498.2688971564075</v>
      </c>
    </row>
    <row r="16" spans="1:13">
      <c r="A16" s="383" t="s">
        <v>529</v>
      </c>
      <c r="B16" s="384" t="s">
        <v>530</v>
      </c>
      <c r="C16" s="633">
        <f>+'[51]Transmission Plant'!C16</f>
        <v>13158153</v>
      </c>
      <c r="D16" s="633">
        <f>+'[51]Transmission Plant'!D16</f>
        <v>10527572</v>
      </c>
      <c r="E16" s="633">
        <f>+'[51]Transmission Plant'!E16</f>
        <v>2630581</v>
      </c>
      <c r="F16" s="633">
        <f>+'[51]Transmission Plant'!F16</f>
        <v>277636.92000000004</v>
      </c>
      <c r="G16" s="349"/>
      <c r="H16" s="766">
        <f>+'[51]Transmission Plant'!H16</f>
        <v>2.1100000000000001E-2</v>
      </c>
      <c r="I16" s="766">
        <f>+'[51]Transmission Plant'!I16</f>
        <v>1.2887099980659764E-2</v>
      </c>
      <c r="J16" s="565">
        <f t="shared" si="0"/>
        <v>0.61076303225875661</v>
      </c>
      <c r="K16" s="566">
        <f t="shared" si="1"/>
        <v>169570.36712618187</v>
      </c>
      <c r="L16" s="566">
        <f t="shared" si="2"/>
        <v>-108066.55287381817</v>
      </c>
      <c r="M16" s="566">
        <f t="shared" si="3"/>
        <v>2738647.5528738182</v>
      </c>
    </row>
    <row r="17" spans="1:13">
      <c r="A17" s="383" t="s">
        <v>531</v>
      </c>
      <c r="B17" s="384" t="s">
        <v>532</v>
      </c>
      <c r="C17" s="633">
        <f>+'[51]Transmission Plant'!C17</f>
        <v>113968</v>
      </c>
      <c r="D17" s="633">
        <f>+'[51]Transmission Plant'!D17</f>
        <v>76959</v>
      </c>
      <c r="E17" s="633">
        <f>+'[51]Transmission Plant'!E17</f>
        <v>37009</v>
      </c>
      <c r="F17" s="633">
        <f>+'[51]Transmission Plant'!F17</f>
        <v>1629.72</v>
      </c>
      <c r="G17" s="349"/>
      <c r="H17" s="766">
        <f>+'[51]Transmission Plant'!H17</f>
        <v>1.43E-2</v>
      </c>
      <c r="I17" s="766">
        <v>1.4</v>
      </c>
      <c r="J17" s="565">
        <f t="shared" si="0"/>
        <v>97.902097902097893</v>
      </c>
      <c r="K17" s="566">
        <f t="shared" si="1"/>
        <v>159553.00699300697</v>
      </c>
      <c r="L17" s="566">
        <f t="shared" si="2"/>
        <v>157923.28699300697</v>
      </c>
      <c r="M17" s="566">
        <f t="shared" si="3"/>
        <v>-120914.28699300697</v>
      </c>
    </row>
    <row r="18" spans="1:13">
      <c r="A18" s="383"/>
      <c r="B18" s="385" t="s">
        <v>533</v>
      </c>
      <c r="C18" s="392">
        <f>SUM(C10:C17)</f>
        <v>29822608</v>
      </c>
      <c r="D18" s="392">
        <f>SUM(D10:D17)</f>
        <v>22753669</v>
      </c>
      <c r="E18" s="392">
        <f>SUM(E10:E17)</f>
        <v>7068939</v>
      </c>
      <c r="F18" s="392">
        <f>SUM(F10:F17)</f>
        <v>563144.88</v>
      </c>
      <c r="G18" s="349"/>
      <c r="H18" s="767"/>
      <c r="I18" s="340"/>
      <c r="J18" s="565"/>
      <c r="K18" s="567">
        <f>SUM(K10:K17)</f>
        <v>549396.86936842161</v>
      </c>
      <c r="L18" s="567">
        <f>SUM(L10:L17)</f>
        <v>-13748.010631578509</v>
      </c>
      <c r="M18" s="567">
        <f>SUM(M10:M17)</f>
        <v>7082687.010631578</v>
      </c>
    </row>
    <row r="19" spans="1:13">
      <c r="A19" s="383"/>
      <c r="B19" s="384"/>
      <c r="C19" s="392"/>
      <c r="D19" s="392"/>
      <c r="E19" s="392"/>
      <c r="F19" s="392"/>
      <c r="G19" s="349"/>
      <c r="H19" s="767"/>
      <c r="I19" s="340"/>
      <c r="J19" s="565"/>
      <c r="K19" s="340"/>
      <c r="L19" s="340"/>
      <c r="M19" s="340"/>
    </row>
    <row r="20" spans="1:13">
      <c r="A20" s="383"/>
      <c r="B20" s="384" t="s">
        <v>534</v>
      </c>
      <c r="C20" s="391"/>
      <c r="D20" s="391"/>
      <c r="E20" s="391"/>
      <c r="F20" s="391"/>
      <c r="G20" s="349"/>
      <c r="H20" s="767"/>
      <c r="I20" s="340"/>
      <c r="J20" s="565"/>
      <c r="K20" s="340"/>
      <c r="L20" s="340"/>
      <c r="M20" s="340"/>
    </row>
    <row r="21" spans="1:13">
      <c r="A21" s="383" t="s">
        <v>519</v>
      </c>
      <c r="B21" s="384" t="s">
        <v>520</v>
      </c>
      <c r="C21" s="417">
        <f>+'[51]Transmission Plant'!C21</f>
        <v>0</v>
      </c>
      <c r="D21" s="633">
        <f>+'[51]Transmission Plant'!D21</f>
        <v>0</v>
      </c>
      <c r="E21" s="633">
        <f>+'[51]Transmission Plant'!E21</f>
        <v>0</v>
      </c>
      <c r="F21" s="633">
        <f>+'[51]Transmission Plant'!F21</f>
        <v>0</v>
      </c>
      <c r="G21" s="349"/>
      <c r="H21" s="767"/>
      <c r="I21" s="340"/>
      <c r="J21" s="565"/>
      <c r="K21" s="340"/>
      <c r="L21" s="340"/>
      <c r="M21" s="566">
        <f t="shared" ref="M21:M28" si="4">E21-L21</f>
        <v>0</v>
      </c>
    </row>
    <row r="22" spans="1:13">
      <c r="A22" s="383" t="s">
        <v>521</v>
      </c>
      <c r="B22" s="384" t="s">
        <v>44</v>
      </c>
      <c r="C22" s="633">
        <f>+'[51]Transmission Plant'!C22</f>
        <v>1071124</v>
      </c>
      <c r="D22" s="633">
        <f>+'[51]Transmission Plant'!D22</f>
        <v>746914</v>
      </c>
      <c r="E22" s="633">
        <f>+'[51]Transmission Plant'!E22</f>
        <v>324210</v>
      </c>
      <c r="F22" s="633">
        <f>+'[51]Transmission Plant'!F22</f>
        <v>20351.400000000001</v>
      </c>
      <c r="G22" s="349"/>
      <c r="H22" s="766">
        <f>+'[51]Transmission Plant'!H22</f>
        <v>1.9E-2</v>
      </c>
      <c r="I22" s="766">
        <f>+'[51]Transmission Plant'!I22</f>
        <v>1.100217969328833E-2</v>
      </c>
      <c r="J22" s="565">
        <f t="shared" ref="J22:J28" si="5">I22/H22</f>
        <v>0.57906208912043844</v>
      </c>
      <c r="K22" s="566">
        <f t="shared" ref="K22:K28" si="6">F22*J22</f>
        <v>11784.724200525692</v>
      </c>
      <c r="L22" s="566">
        <f t="shared" ref="L22:L28" si="7">K22-F22</f>
        <v>-8566.6757994743093</v>
      </c>
      <c r="M22" s="566">
        <f t="shared" si="4"/>
        <v>332776.67579947429</v>
      </c>
    </row>
    <row r="23" spans="1:13">
      <c r="A23" s="383" t="s">
        <v>522</v>
      </c>
      <c r="B23" s="384" t="s">
        <v>54</v>
      </c>
      <c r="C23" s="633">
        <f>+'[51]Transmission Plant'!C23</f>
        <v>488761</v>
      </c>
      <c r="D23" s="633">
        <f>+'[51]Transmission Plant'!D23</f>
        <v>337569</v>
      </c>
      <c r="E23" s="633">
        <f>+'[51]Transmission Plant'!E23</f>
        <v>151192</v>
      </c>
      <c r="F23" s="633">
        <f>+'[51]Transmission Plant'!F23</f>
        <v>8308.92</v>
      </c>
      <c r="G23" s="349"/>
      <c r="H23" s="766">
        <f>+'[51]Transmission Plant'!H23</f>
        <v>1.7000000000000001E-2</v>
      </c>
      <c r="I23" s="766">
        <f>+'[51]Transmission Plant'!I23</f>
        <v>1.5237296061526625E-2</v>
      </c>
      <c r="J23" s="565">
        <f t="shared" si="5"/>
        <v>0.89631153303097788</v>
      </c>
      <c r="K23" s="566">
        <f t="shared" si="6"/>
        <v>7447.3808230317527</v>
      </c>
      <c r="L23" s="566">
        <f t="shared" si="7"/>
        <v>-861.53917696824738</v>
      </c>
      <c r="M23" s="566">
        <f t="shared" si="4"/>
        <v>152053.53917696825</v>
      </c>
    </row>
    <row r="24" spans="1:13">
      <c r="A24" s="383" t="s">
        <v>523</v>
      </c>
      <c r="B24" s="384" t="s">
        <v>524</v>
      </c>
      <c r="C24" s="633">
        <f>+'[51]Transmission Plant'!C24</f>
        <v>22715632</v>
      </c>
      <c r="D24" s="633">
        <f>+'[51]Transmission Plant'!D24</f>
        <v>13333439</v>
      </c>
      <c r="E24" s="633">
        <f>+'[51]Transmission Plant'!E24</f>
        <v>9382193</v>
      </c>
      <c r="F24" s="633">
        <f>+'[51]Transmission Plant'!F24</f>
        <v>479299.87</v>
      </c>
      <c r="G24" s="349"/>
      <c r="H24" s="766">
        <f>+'[51]Transmission Plant'!H24</f>
        <v>2.1100000000000001E-2</v>
      </c>
      <c r="I24" s="766">
        <f>+'[51]Transmission Plant'!I24</f>
        <v>2.3063769121861685E-2</v>
      </c>
      <c r="J24" s="565">
        <f t="shared" si="5"/>
        <v>1.0930696266285158</v>
      </c>
      <c r="K24" s="566">
        <f t="shared" si="6"/>
        <v>523908.12994399614</v>
      </c>
      <c r="L24" s="566">
        <f t="shared" si="7"/>
        <v>44608.259943996149</v>
      </c>
      <c r="M24" s="566">
        <f t="shared" si="4"/>
        <v>9337584.7400560044</v>
      </c>
    </row>
    <row r="25" spans="1:13">
      <c r="A25" s="383" t="s">
        <v>525</v>
      </c>
      <c r="B25" s="384" t="s">
        <v>526</v>
      </c>
      <c r="C25" s="633">
        <f>+'[51]Transmission Plant'!C25</f>
        <v>20589451</v>
      </c>
      <c r="D25" s="633">
        <f>+'[51]Transmission Plant'!D25</f>
        <v>14535807</v>
      </c>
      <c r="E25" s="633">
        <f>+'[51]Transmission Plant'!E25</f>
        <v>6053644</v>
      </c>
      <c r="F25" s="633">
        <f>+'[51]Transmission Plant'!F25</f>
        <v>343843.8</v>
      </c>
      <c r="G25" s="349"/>
      <c r="H25" s="766">
        <f>+'[51]Transmission Plant'!H25</f>
        <v>1.67E-2</v>
      </c>
      <c r="I25" s="766">
        <f>+'[51]Transmission Plant'!I25</f>
        <v>1.254568132840889E-2</v>
      </c>
      <c r="J25" s="565">
        <f t="shared" si="5"/>
        <v>0.75123840289873589</v>
      </c>
      <c r="K25" s="566">
        <f t="shared" si="6"/>
        <v>258308.66715863236</v>
      </c>
      <c r="L25" s="566">
        <f t="shared" si="7"/>
        <v>-85535.132841367624</v>
      </c>
      <c r="M25" s="566">
        <f t="shared" si="4"/>
        <v>6139179.1328413673</v>
      </c>
    </row>
    <row r="26" spans="1:13">
      <c r="A26" s="383" t="s">
        <v>527</v>
      </c>
      <c r="B26" s="384" t="s">
        <v>528</v>
      </c>
      <c r="C26" s="633">
        <f>+'[51]Transmission Plant'!C26</f>
        <v>88692</v>
      </c>
      <c r="D26" s="633">
        <f>+'[51]Transmission Plant'!D26</f>
        <v>49679</v>
      </c>
      <c r="E26" s="633">
        <f>+'[51]Transmission Plant'!E26</f>
        <v>39013</v>
      </c>
      <c r="F26" s="633">
        <f>+'[51]Transmission Plant'!F26</f>
        <v>2678.52</v>
      </c>
      <c r="G26" s="349"/>
      <c r="H26" s="766">
        <f>+'[51]Transmission Plant'!H26</f>
        <v>3.0200000000000001E-2</v>
      </c>
      <c r="I26" s="766">
        <f>+'[51]Transmission Plant'!I26</f>
        <v>3.0389125381143935E-2</v>
      </c>
      <c r="J26" s="565">
        <f t="shared" si="5"/>
        <v>1.0062624298392031</v>
      </c>
      <c r="K26" s="566">
        <f t="shared" si="6"/>
        <v>2695.2940435729024</v>
      </c>
      <c r="L26" s="566">
        <f t="shared" si="7"/>
        <v>16.774043572902428</v>
      </c>
      <c r="M26" s="566">
        <f t="shared" si="4"/>
        <v>38996.225956427101</v>
      </c>
    </row>
    <row r="27" spans="1:13">
      <c r="A27" s="383" t="s">
        <v>529</v>
      </c>
      <c r="B27" s="384" t="s">
        <v>530</v>
      </c>
      <c r="C27" s="633">
        <f>+'[51]Transmission Plant'!C27</f>
        <v>20000813</v>
      </c>
      <c r="D27" s="633">
        <f>+'[51]Transmission Plant'!D27</f>
        <v>15747431</v>
      </c>
      <c r="E27" s="633">
        <f>+'[51]Transmission Plant'!E27</f>
        <v>4253382</v>
      </c>
      <c r="F27" s="633">
        <f>+'[51]Transmission Plant'!F27</f>
        <v>422017.19999999995</v>
      </c>
      <c r="G27" s="349"/>
      <c r="H27" s="766">
        <f>+'[51]Transmission Plant'!H27</f>
        <v>2.1100000000000001E-2</v>
      </c>
      <c r="I27" s="766">
        <f>+'[51]Transmission Plant'!I27</f>
        <v>1.2887099980659764E-2</v>
      </c>
      <c r="J27" s="565">
        <f t="shared" si="5"/>
        <v>0.61076303225875661</v>
      </c>
      <c r="K27" s="566">
        <f t="shared" si="6"/>
        <v>257752.5047373501</v>
      </c>
      <c r="L27" s="566">
        <f t="shared" si="7"/>
        <v>-164264.69526264985</v>
      </c>
      <c r="M27" s="566">
        <f t="shared" si="4"/>
        <v>4417646.69526265</v>
      </c>
    </row>
    <row r="28" spans="1:13">
      <c r="A28" s="383" t="s">
        <v>531</v>
      </c>
      <c r="B28" s="384" t="s">
        <v>532</v>
      </c>
      <c r="C28" s="633">
        <f>+'[51]Transmission Plant'!C28</f>
        <v>331427</v>
      </c>
      <c r="D28" s="633">
        <f>+'[51]Transmission Plant'!D28</f>
        <v>221395</v>
      </c>
      <c r="E28" s="633">
        <f>+'[51]Transmission Plant'!E28</f>
        <v>110032</v>
      </c>
      <c r="F28" s="633">
        <f>+'[51]Transmission Plant'!F28</f>
        <v>4739.3999999999996</v>
      </c>
      <c r="G28" s="349"/>
      <c r="H28" s="766">
        <f>+'[51]Transmission Plant'!H28</f>
        <v>1.43E-2</v>
      </c>
      <c r="I28" s="766">
        <f>+'[51]Transmission Plant'!I28</f>
        <v>1.3996513005442461E-2</v>
      </c>
      <c r="J28" s="565">
        <f t="shared" si="5"/>
        <v>0.97877713324772453</v>
      </c>
      <c r="K28" s="566">
        <f t="shared" si="6"/>
        <v>4638.8163453142652</v>
      </c>
      <c r="L28" s="566">
        <f t="shared" si="7"/>
        <v>-100.58365468573447</v>
      </c>
      <c r="M28" s="566">
        <f t="shared" si="4"/>
        <v>110132.58365468573</v>
      </c>
    </row>
    <row r="29" spans="1:13">
      <c r="A29" s="383"/>
      <c r="B29" s="385" t="s">
        <v>535</v>
      </c>
      <c r="C29" s="392">
        <f>SUM(C21:C28)</f>
        <v>65285900</v>
      </c>
      <c r="D29" s="392">
        <f>SUM(D21:D28)</f>
        <v>44972234</v>
      </c>
      <c r="E29" s="392">
        <f>SUM(E21:E28)</f>
        <v>20313666</v>
      </c>
      <c r="F29" s="392">
        <f>SUM(F21:F28)</f>
        <v>1281239.1099999999</v>
      </c>
      <c r="G29" s="349"/>
      <c r="H29" s="767"/>
      <c r="I29" s="340"/>
      <c r="J29" s="565"/>
      <c r="K29" s="567">
        <f>SUM(K21:K28)</f>
        <v>1066535.5172524233</v>
      </c>
      <c r="L29" s="567">
        <f>SUM(L21:L28)</f>
        <v>-214703.59274757671</v>
      </c>
      <c r="M29" s="567">
        <f>SUM(M21:M28)</f>
        <v>20528369.592747577</v>
      </c>
    </row>
    <row r="30" spans="1:13">
      <c r="A30" s="383"/>
      <c r="B30" s="386"/>
      <c r="C30" s="392"/>
      <c r="D30" s="392"/>
      <c r="E30" s="392"/>
      <c r="F30" s="392"/>
      <c r="G30" s="349"/>
      <c r="H30" s="767"/>
      <c r="I30" s="340"/>
      <c r="J30" s="565"/>
      <c r="K30" s="340"/>
      <c r="L30" s="340"/>
      <c r="M30" s="340"/>
    </row>
    <row r="31" spans="1:13">
      <c r="A31" s="383"/>
      <c r="B31" s="384" t="s">
        <v>536</v>
      </c>
      <c r="C31" s="391"/>
      <c r="D31" s="391"/>
      <c r="E31" s="391"/>
      <c r="F31" s="391"/>
      <c r="G31" s="349"/>
      <c r="H31" s="767"/>
      <c r="I31" s="340"/>
      <c r="J31" s="565"/>
      <c r="K31" s="340"/>
      <c r="L31" s="340"/>
      <c r="M31" s="340"/>
    </row>
    <row r="32" spans="1:13">
      <c r="A32" s="383" t="s">
        <v>519</v>
      </c>
      <c r="B32" s="384" t="s">
        <v>520</v>
      </c>
      <c r="C32" s="633">
        <f>+'[51]Transmission Plant'!C32</f>
        <v>1769178</v>
      </c>
      <c r="D32" s="633">
        <f>+'[51]Transmission Plant'!D32</f>
        <v>0</v>
      </c>
      <c r="E32" s="633">
        <f>+'[51]Transmission Plant'!E32</f>
        <v>1769178</v>
      </c>
      <c r="F32" s="633">
        <f>+'[51]Transmission Plant'!F32</f>
        <v>0</v>
      </c>
      <c r="G32" s="383"/>
      <c r="H32" s="767"/>
      <c r="I32" s="340"/>
      <c r="J32" s="565"/>
      <c r="K32" s="340"/>
      <c r="L32" s="340"/>
      <c r="M32" s="566">
        <f t="shared" ref="M32:M39" si="8">E32-L32</f>
        <v>1769178</v>
      </c>
    </row>
    <row r="33" spans="1:13">
      <c r="A33" s="383" t="s">
        <v>521</v>
      </c>
      <c r="B33" s="384" t="s">
        <v>44</v>
      </c>
      <c r="C33" s="633">
        <f>+'[51]Transmission Plant'!C33</f>
        <v>0</v>
      </c>
      <c r="D33" s="633">
        <f>+'[51]Transmission Plant'!D33</f>
        <v>0</v>
      </c>
      <c r="E33" s="633">
        <f>+'[51]Transmission Plant'!E33</f>
        <v>0</v>
      </c>
      <c r="F33" s="633">
        <f>+'[51]Transmission Plant'!F33</f>
        <v>0</v>
      </c>
      <c r="G33" s="383"/>
      <c r="H33" s="766">
        <f>+'[51]Transmission Plant'!H33</f>
        <v>1.9E-2</v>
      </c>
      <c r="I33" s="766">
        <f>+'[51]Transmission Plant'!I33</f>
        <v>1.100217969328833E-2</v>
      </c>
      <c r="J33" s="565">
        <f t="shared" ref="J33:J39" si="9">I33/H33</f>
        <v>0.57906208912043844</v>
      </c>
      <c r="K33" s="566">
        <f t="shared" ref="K33:K39" si="10">F33*J33</f>
        <v>0</v>
      </c>
      <c r="L33" s="566">
        <f t="shared" ref="L33:L39" si="11">K33-F33</f>
        <v>0</v>
      </c>
      <c r="M33" s="566">
        <f t="shared" si="8"/>
        <v>0</v>
      </c>
    </row>
    <row r="34" spans="1:13">
      <c r="A34" s="383" t="s">
        <v>522</v>
      </c>
      <c r="B34" s="384" t="s">
        <v>54</v>
      </c>
      <c r="C34" s="633">
        <f>+'[51]Transmission Plant'!C34</f>
        <v>1276264</v>
      </c>
      <c r="D34" s="633">
        <f>+'[51]Transmission Plant'!D34</f>
        <v>517034</v>
      </c>
      <c r="E34" s="633">
        <f>+'[51]Transmission Plant'!E34</f>
        <v>759230</v>
      </c>
      <c r="F34" s="633">
        <f>+'[51]Transmission Plant'!F34</f>
        <v>21696.48</v>
      </c>
      <c r="G34" s="383"/>
      <c r="H34" s="766">
        <f>+'[51]Transmission Plant'!H34</f>
        <v>1.7000000000000001E-2</v>
      </c>
      <c r="I34" s="766">
        <f>+'[51]Transmission Plant'!I34</f>
        <v>1.5237296061526625E-2</v>
      </c>
      <c r="J34" s="565">
        <f t="shared" si="9"/>
        <v>0.89631153303097788</v>
      </c>
      <c r="K34" s="566">
        <f t="shared" si="10"/>
        <v>19446.805250175952</v>
      </c>
      <c r="L34" s="566">
        <f t="shared" si="11"/>
        <v>-2249.6747498240475</v>
      </c>
      <c r="M34" s="566">
        <f t="shared" si="8"/>
        <v>761479.6747498241</v>
      </c>
    </row>
    <row r="35" spans="1:13">
      <c r="A35" s="383" t="s">
        <v>523</v>
      </c>
      <c r="B35" s="384" t="s">
        <v>524</v>
      </c>
      <c r="C35" s="633">
        <f>+'[51]Transmission Plant'!C35</f>
        <v>38758572</v>
      </c>
      <c r="D35" s="633">
        <f>+'[51]Transmission Plant'!D35</f>
        <v>16468450</v>
      </c>
      <c r="E35" s="633">
        <f>+'[51]Transmission Plant'!E35</f>
        <v>22290122</v>
      </c>
      <c r="F35" s="633">
        <f>+'[51]Transmission Plant'!F35</f>
        <v>817805.88</v>
      </c>
      <c r="G35" s="383"/>
      <c r="H35" s="766">
        <f>+'[51]Transmission Plant'!H35</f>
        <v>2.1100000000000001E-2</v>
      </c>
      <c r="I35" s="766">
        <f>+'[51]Transmission Plant'!I35</f>
        <v>2.3063769121861685E-2</v>
      </c>
      <c r="J35" s="565">
        <f t="shared" si="9"/>
        <v>1.0930696266285158</v>
      </c>
      <c r="K35" s="566">
        <f t="shared" si="10"/>
        <v>893918.7679062048</v>
      </c>
      <c r="L35" s="566">
        <f t="shared" si="11"/>
        <v>76112.887906204793</v>
      </c>
      <c r="M35" s="566">
        <f t="shared" si="8"/>
        <v>22214009.112093795</v>
      </c>
    </row>
    <row r="36" spans="1:13">
      <c r="A36" s="383" t="s">
        <v>525</v>
      </c>
      <c r="B36" s="384" t="s">
        <v>526</v>
      </c>
      <c r="C36" s="633">
        <f>+'[51]Transmission Plant'!C36</f>
        <v>22781417</v>
      </c>
      <c r="D36" s="633">
        <f>+'[51]Transmission Plant'!D36</f>
        <v>9322700</v>
      </c>
      <c r="E36" s="633">
        <f>+'[51]Transmission Plant'!E36</f>
        <v>13458717</v>
      </c>
      <c r="F36" s="633">
        <f>+'[51]Transmission Plant'!F36</f>
        <v>380449.56</v>
      </c>
      <c r="G36" s="383"/>
      <c r="H36" s="766">
        <f>+'[51]Transmission Plant'!H36</f>
        <v>1.67E-2</v>
      </c>
      <c r="I36" s="766">
        <f>+'[51]Transmission Plant'!I36</f>
        <v>1.254568132840889E-2</v>
      </c>
      <c r="J36" s="565">
        <f t="shared" si="9"/>
        <v>0.75123840289873589</v>
      </c>
      <c r="K36" s="566">
        <f t="shared" si="10"/>
        <v>285808.31983792677</v>
      </c>
      <c r="L36" s="566">
        <f t="shared" si="11"/>
        <v>-94641.240162073227</v>
      </c>
      <c r="M36" s="566">
        <f t="shared" si="8"/>
        <v>13553358.240162073</v>
      </c>
    </row>
    <row r="37" spans="1:13">
      <c r="A37" s="383" t="s">
        <v>527</v>
      </c>
      <c r="B37" s="384" t="s">
        <v>528</v>
      </c>
      <c r="C37" s="633">
        <f>+'[51]Transmission Plant'!C37</f>
        <v>204200</v>
      </c>
      <c r="D37" s="633">
        <f>+'[51]Transmission Plant'!D37</f>
        <v>105497</v>
      </c>
      <c r="E37" s="633">
        <f>+'[51]Transmission Plant'!E37</f>
        <v>98703</v>
      </c>
      <c r="F37" s="633">
        <f>+'[51]Transmission Plant'!F37</f>
        <v>6166.92</v>
      </c>
      <c r="G37" s="383"/>
      <c r="H37" s="766">
        <f>+'[51]Transmission Plant'!H37</f>
        <v>3.0200000000000001E-2</v>
      </c>
      <c r="I37" s="766">
        <f>+'[51]Transmission Plant'!I37</f>
        <v>3.0389125381143935E-2</v>
      </c>
      <c r="J37" s="565">
        <f t="shared" si="9"/>
        <v>1.0062624298392031</v>
      </c>
      <c r="K37" s="566">
        <f t="shared" si="10"/>
        <v>6205.5399038239784</v>
      </c>
      <c r="L37" s="566">
        <f t="shared" si="11"/>
        <v>38.619903823978348</v>
      </c>
      <c r="M37" s="566">
        <f t="shared" si="8"/>
        <v>98664.380096176028</v>
      </c>
    </row>
    <row r="38" spans="1:13">
      <c r="A38" s="383" t="s">
        <v>529</v>
      </c>
      <c r="B38" s="384" t="s">
        <v>530</v>
      </c>
      <c r="C38" s="633">
        <f>+'[51]Transmission Plant'!C38</f>
        <v>23640685</v>
      </c>
      <c r="D38" s="633">
        <f>+'[51]Transmission Plant'!D38</f>
        <v>12763954</v>
      </c>
      <c r="E38" s="633">
        <f>+'[51]Transmission Plant'!E38</f>
        <v>10876731</v>
      </c>
      <c r="F38" s="633">
        <f>+'[51]Transmission Plant'!F38</f>
        <v>498818.4</v>
      </c>
      <c r="G38" s="383"/>
      <c r="H38" s="766">
        <f>+'[51]Transmission Plant'!H38</f>
        <v>2.1100000000000001E-2</v>
      </c>
      <c r="I38" s="766">
        <f>+'[51]Transmission Plant'!I38</f>
        <v>1.2887099980659764E-2</v>
      </c>
      <c r="J38" s="565">
        <f t="shared" si="9"/>
        <v>0.61076303225875661</v>
      </c>
      <c r="K38" s="566">
        <f t="shared" si="10"/>
        <v>304659.83853046136</v>
      </c>
      <c r="L38" s="566">
        <f t="shared" si="11"/>
        <v>-194158.56146953866</v>
      </c>
      <c r="M38" s="566">
        <f t="shared" si="8"/>
        <v>11070889.561469538</v>
      </c>
    </row>
    <row r="39" spans="1:13">
      <c r="A39" s="383" t="s">
        <v>531</v>
      </c>
      <c r="B39" s="384" t="s">
        <v>532</v>
      </c>
      <c r="C39" s="633">
        <f>+'[51]Transmission Plant'!C39</f>
        <v>74854</v>
      </c>
      <c r="D39" s="633">
        <f>+'[51]Transmission Plant'!D39</f>
        <v>15257</v>
      </c>
      <c r="E39" s="633">
        <f>+'[51]Transmission Plant'!E39</f>
        <v>59597</v>
      </c>
      <c r="F39" s="633">
        <f>+'[51]Transmission Plant'!F39</f>
        <v>1070.4000000000001</v>
      </c>
      <c r="G39" s="383"/>
      <c r="H39" s="766">
        <f>+'[51]Transmission Plant'!H39</f>
        <v>1.43E-2</v>
      </c>
      <c r="I39" s="766">
        <f>+'[51]Transmission Plant'!I39</f>
        <v>1.3996513005442461E-2</v>
      </c>
      <c r="J39" s="565">
        <f t="shared" si="9"/>
        <v>0.97877713324772453</v>
      </c>
      <c r="K39" s="566">
        <f t="shared" si="10"/>
        <v>1047.6830434283645</v>
      </c>
      <c r="L39" s="566">
        <f t="shared" si="11"/>
        <v>-22.716956571635592</v>
      </c>
      <c r="M39" s="566">
        <f t="shared" si="8"/>
        <v>59619.716956571632</v>
      </c>
    </row>
    <row r="40" spans="1:13">
      <c r="A40" s="383"/>
      <c r="B40" s="385" t="s">
        <v>537</v>
      </c>
      <c r="C40" s="392">
        <f>SUM(C32:C39)</f>
        <v>88505170</v>
      </c>
      <c r="D40" s="392">
        <f>SUM(D32:D39)</f>
        <v>39192892</v>
      </c>
      <c r="E40" s="392">
        <f>SUM(E32:E39)</f>
        <v>49312278</v>
      </c>
      <c r="F40" s="392">
        <f>SUM(F32:F39)</f>
        <v>1726007.6399999997</v>
      </c>
      <c r="G40" s="349"/>
      <c r="H40" s="767"/>
      <c r="I40" s="340"/>
      <c r="J40" s="565"/>
      <c r="K40" s="567">
        <f>SUM(K32:K39)</f>
        <v>1511086.9544720212</v>
      </c>
      <c r="L40" s="567">
        <f>SUM(L32:L39)</f>
        <v>-214920.68552797881</v>
      </c>
      <c r="M40" s="567">
        <f>SUM(M32:M39)</f>
        <v>49527198.68552798</v>
      </c>
    </row>
    <row r="41" spans="1:13">
      <c r="A41" s="383"/>
      <c r="B41" s="386"/>
      <c r="C41" s="392"/>
      <c r="D41" s="392"/>
      <c r="E41" s="392"/>
      <c r="F41" s="392"/>
      <c r="G41" s="349"/>
      <c r="H41" s="767"/>
      <c r="I41" s="340"/>
      <c r="J41" s="565"/>
      <c r="K41" s="340"/>
      <c r="L41" s="340"/>
      <c r="M41" s="340"/>
    </row>
    <row r="42" spans="1:13">
      <c r="A42" s="383"/>
      <c r="B42" s="384" t="s">
        <v>538</v>
      </c>
      <c r="C42" s="391"/>
      <c r="D42" s="391"/>
      <c r="E42" s="391"/>
      <c r="F42" s="391"/>
      <c r="G42" s="349"/>
      <c r="H42" s="767"/>
      <c r="I42" s="340"/>
      <c r="J42" s="565"/>
      <c r="K42" s="340"/>
      <c r="L42" s="340"/>
      <c r="M42" s="340"/>
    </row>
    <row r="43" spans="1:13">
      <c r="A43" s="383" t="s">
        <v>519</v>
      </c>
      <c r="B43" s="384" t="s">
        <v>520</v>
      </c>
      <c r="C43" s="633">
        <f>+'[51]Transmission Plant'!C43</f>
        <v>30604</v>
      </c>
      <c r="D43" s="633">
        <f>+'[51]Transmission Plant'!D43</f>
        <v>0</v>
      </c>
      <c r="E43" s="633">
        <f>+'[51]Transmission Plant'!E43</f>
        <v>30604</v>
      </c>
      <c r="F43" s="633">
        <f>+'[51]Transmission Plant'!F43</f>
        <v>0</v>
      </c>
      <c r="G43" s="349"/>
      <c r="H43" s="767"/>
      <c r="I43" s="340"/>
      <c r="J43" s="565"/>
      <c r="K43" s="340"/>
      <c r="L43" s="340"/>
      <c r="M43" s="566">
        <f t="shared" ref="M43:M50" si="12">E43-L43</f>
        <v>30604</v>
      </c>
    </row>
    <row r="44" spans="1:13">
      <c r="A44" s="383" t="s">
        <v>521</v>
      </c>
      <c r="B44" s="384" t="s">
        <v>44</v>
      </c>
      <c r="C44" s="633">
        <f>+'[51]Transmission Plant'!C44</f>
        <v>0</v>
      </c>
      <c r="D44" s="633">
        <f>+'[51]Transmission Plant'!D44</f>
        <v>0</v>
      </c>
      <c r="E44" s="633">
        <f>+'[51]Transmission Plant'!E44</f>
        <v>0</v>
      </c>
      <c r="F44" s="633">
        <f>+'[51]Transmission Plant'!F44</f>
        <v>0</v>
      </c>
      <c r="G44" s="349"/>
      <c r="H44" s="766">
        <f>+'[51]Transmission Plant'!H44</f>
        <v>1.9E-2</v>
      </c>
      <c r="I44" s="766">
        <f>+'[51]Transmission Plant'!I44</f>
        <v>1.100217969328833E-2</v>
      </c>
      <c r="J44" s="565">
        <f t="shared" ref="J44:J50" si="13">I44/H44</f>
        <v>0.57906208912043844</v>
      </c>
      <c r="K44" s="566">
        <f t="shared" ref="K44:K50" si="14">F44*J44</f>
        <v>0</v>
      </c>
      <c r="L44" s="566">
        <f t="shared" ref="L44:L50" si="15">K44-F44</f>
        <v>0</v>
      </c>
      <c r="M44" s="566">
        <f t="shared" si="12"/>
        <v>0</v>
      </c>
    </row>
    <row r="45" spans="1:13">
      <c r="A45" s="383" t="s">
        <v>522</v>
      </c>
      <c r="B45" s="384" t="s">
        <v>54</v>
      </c>
      <c r="C45" s="633">
        <f>+'[51]Transmission Plant'!C45</f>
        <v>0</v>
      </c>
      <c r="D45" s="633">
        <f>+'[51]Transmission Plant'!D45</f>
        <v>0</v>
      </c>
      <c r="E45" s="633">
        <f>+'[51]Transmission Plant'!E45</f>
        <v>0</v>
      </c>
      <c r="F45" s="633">
        <f>+'[51]Transmission Plant'!F45</f>
        <v>0</v>
      </c>
      <c r="G45" s="349"/>
      <c r="H45" s="766">
        <f>+'[51]Transmission Plant'!H45</f>
        <v>1.7000000000000001E-2</v>
      </c>
      <c r="I45" s="766">
        <f>+'[51]Transmission Plant'!I45</f>
        <v>1.5237296061526625E-2</v>
      </c>
      <c r="J45" s="565">
        <f t="shared" si="13"/>
        <v>0.89631153303097788</v>
      </c>
      <c r="K45" s="566">
        <f t="shared" si="14"/>
        <v>0</v>
      </c>
      <c r="L45" s="566">
        <f t="shared" si="15"/>
        <v>0</v>
      </c>
      <c r="M45" s="566">
        <f t="shared" si="12"/>
        <v>0</v>
      </c>
    </row>
    <row r="46" spans="1:13">
      <c r="A46" s="383" t="s">
        <v>523</v>
      </c>
      <c r="B46" s="384" t="s">
        <v>524</v>
      </c>
      <c r="C46" s="633">
        <f>+'[51]Transmission Plant'!C46</f>
        <v>0</v>
      </c>
      <c r="D46" s="633">
        <f>+'[51]Transmission Plant'!D46</f>
        <v>0</v>
      </c>
      <c r="E46" s="633">
        <f>+'[51]Transmission Plant'!E46</f>
        <v>0</v>
      </c>
      <c r="F46" s="633">
        <f>+'[51]Transmission Plant'!F46</f>
        <v>0</v>
      </c>
      <c r="G46" s="349"/>
      <c r="H46" s="766">
        <f>+'[51]Transmission Plant'!H46</f>
        <v>2.1100000000000001E-2</v>
      </c>
      <c r="I46" s="766">
        <f>+'[51]Transmission Plant'!I46</f>
        <v>2.3063769121861685E-2</v>
      </c>
      <c r="J46" s="565">
        <f t="shared" si="13"/>
        <v>1.0930696266285158</v>
      </c>
      <c r="K46" s="566">
        <f t="shared" si="14"/>
        <v>0</v>
      </c>
      <c r="L46" s="566">
        <f t="shared" si="15"/>
        <v>0</v>
      </c>
      <c r="M46" s="566">
        <f t="shared" si="12"/>
        <v>0</v>
      </c>
    </row>
    <row r="47" spans="1:13">
      <c r="A47" s="383" t="s">
        <v>525</v>
      </c>
      <c r="B47" s="384" t="s">
        <v>526</v>
      </c>
      <c r="C47" s="633">
        <f>+'[51]Transmission Plant'!C47</f>
        <v>5744097</v>
      </c>
      <c r="D47" s="633">
        <f>+'[51]Transmission Plant'!D47</f>
        <v>1876774</v>
      </c>
      <c r="E47" s="633">
        <f>+'[51]Transmission Plant'!E47</f>
        <v>3867323</v>
      </c>
      <c r="F47" s="633">
        <f>+'[51]Transmission Plant'!F47</f>
        <v>95926.44</v>
      </c>
      <c r="G47" s="349"/>
      <c r="H47" s="766">
        <f>+'[51]Transmission Plant'!H47</f>
        <v>1.67E-2</v>
      </c>
      <c r="I47" s="766">
        <f>+'[51]Transmission Plant'!I47</f>
        <v>1.254568132840889E-2</v>
      </c>
      <c r="J47" s="565">
        <f t="shared" si="13"/>
        <v>0.75123840289873589</v>
      </c>
      <c r="K47" s="566">
        <f t="shared" si="14"/>
        <v>72063.625581361412</v>
      </c>
      <c r="L47" s="566">
        <f t="shared" si="15"/>
        <v>-23862.814418638591</v>
      </c>
      <c r="M47" s="566">
        <f t="shared" si="12"/>
        <v>3891185.8144186386</v>
      </c>
    </row>
    <row r="48" spans="1:13">
      <c r="A48" s="383" t="s">
        <v>527</v>
      </c>
      <c r="B48" s="384" t="s">
        <v>528</v>
      </c>
      <c r="C48" s="633">
        <f>+'[51]Transmission Plant'!C48</f>
        <v>3516565</v>
      </c>
      <c r="D48" s="633">
        <f>+'[51]Transmission Plant'!D48</f>
        <v>1866197</v>
      </c>
      <c r="E48" s="633">
        <f>+'[51]Transmission Plant'!E48</f>
        <v>1650368</v>
      </c>
      <c r="F48" s="633">
        <f>+'[51]Transmission Plant'!F48</f>
        <v>106200.24</v>
      </c>
      <c r="G48" s="349"/>
      <c r="H48" s="766">
        <f>+'[51]Transmission Plant'!H48</f>
        <v>3.0200000000000001E-2</v>
      </c>
      <c r="I48" s="766">
        <f>+'[51]Transmission Plant'!I48</f>
        <v>3.0389125381143935E-2</v>
      </c>
      <c r="J48" s="565">
        <f t="shared" si="13"/>
        <v>1.0062624298392031</v>
      </c>
      <c r="K48" s="566">
        <f t="shared" si="14"/>
        <v>106865.31155190653</v>
      </c>
      <c r="L48" s="566">
        <f t="shared" si="15"/>
        <v>665.07155190652702</v>
      </c>
      <c r="M48" s="566">
        <f t="shared" si="12"/>
        <v>1649702.9284480936</v>
      </c>
    </row>
    <row r="49" spans="1:13">
      <c r="A49" s="383" t="s">
        <v>529</v>
      </c>
      <c r="B49" s="384" t="s">
        <v>530</v>
      </c>
      <c r="C49" s="633">
        <f>+'[51]Transmission Plant'!C49</f>
        <v>12700860</v>
      </c>
      <c r="D49" s="633">
        <f>+'[51]Transmission Plant'!D49</f>
        <v>5841065</v>
      </c>
      <c r="E49" s="633">
        <f>+'[51]Transmission Plant'!E49</f>
        <v>6859795</v>
      </c>
      <c r="F49" s="633">
        <f>+'[51]Transmission Plant'!F49</f>
        <v>267988.2</v>
      </c>
      <c r="G49" s="349"/>
      <c r="H49" s="766">
        <f>+'[51]Transmission Plant'!H49</f>
        <v>2.1100000000000001E-2</v>
      </c>
      <c r="I49" s="766">
        <f>+'[51]Transmission Plant'!I49</f>
        <v>1.2887099980659764E-2</v>
      </c>
      <c r="J49" s="565">
        <f t="shared" si="13"/>
        <v>0.61076303225875661</v>
      </c>
      <c r="K49" s="566">
        <f t="shared" si="14"/>
        <v>163677.28564156612</v>
      </c>
      <c r="L49" s="566">
        <f t="shared" si="15"/>
        <v>-104310.91435843389</v>
      </c>
      <c r="M49" s="566">
        <f t="shared" si="12"/>
        <v>6964105.9143584343</v>
      </c>
    </row>
    <row r="50" spans="1:13">
      <c r="A50" s="383" t="s">
        <v>531</v>
      </c>
      <c r="B50" s="384" t="s">
        <v>532</v>
      </c>
      <c r="C50" s="633">
        <f>+'[51]Transmission Plant'!C50</f>
        <v>0</v>
      </c>
      <c r="D50" s="633">
        <f>+'[51]Transmission Plant'!D50</f>
        <v>0</v>
      </c>
      <c r="E50" s="633">
        <f>+'[51]Transmission Plant'!E50</f>
        <v>0</v>
      </c>
      <c r="F50" s="633">
        <f>+'[51]Transmission Plant'!F50</f>
        <v>0</v>
      </c>
      <c r="G50" s="349"/>
      <c r="H50" s="766">
        <f>+'[51]Transmission Plant'!H50</f>
        <v>1.43E-2</v>
      </c>
      <c r="I50" s="766">
        <f>+'[51]Transmission Plant'!I50</f>
        <v>1.3996513005442461E-2</v>
      </c>
      <c r="J50" s="565">
        <f t="shared" si="13"/>
        <v>0.97877713324772453</v>
      </c>
      <c r="K50" s="566">
        <f t="shared" si="14"/>
        <v>0</v>
      </c>
      <c r="L50" s="566">
        <f t="shared" si="15"/>
        <v>0</v>
      </c>
      <c r="M50" s="566">
        <f t="shared" si="12"/>
        <v>0</v>
      </c>
    </row>
    <row r="51" spans="1:13">
      <c r="A51" s="383"/>
      <c r="B51" s="385" t="s">
        <v>539</v>
      </c>
      <c r="C51" s="392">
        <f>SUM(C43:C50)</f>
        <v>21992126</v>
      </c>
      <c r="D51" s="392">
        <f>SUM(D43:D50)</f>
        <v>9584036</v>
      </c>
      <c r="E51" s="392">
        <f>SUM(E43:E50)</f>
        <v>12408090</v>
      </c>
      <c r="F51" s="392">
        <f>SUM(F43:F50)</f>
        <v>470114.88</v>
      </c>
      <c r="G51" s="349"/>
      <c r="H51" s="564"/>
      <c r="I51" s="340"/>
      <c r="J51" s="340"/>
      <c r="K51" s="567">
        <f>SUM(K43:K50)</f>
        <v>342606.22277483402</v>
      </c>
      <c r="L51" s="567">
        <f>SUM(L43:L50)</f>
        <v>-127508.65722516595</v>
      </c>
      <c r="M51" s="567">
        <f>SUM(M43:M50)</f>
        <v>12535598.657225166</v>
      </c>
    </row>
    <row r="52" spans="1:13">
      <c r="A52" s="383"/>
      <c r="B52" s="385"/>
      <c r="C52" s="392"/>
      <c r="D52" s="392"/>
      <c r="E52" s="392"/>
      <c r="F52" s="392"/>
      <c r="G52" s="349"/>
      <c r="H52" s="564"/>
      <c r="I52" s="340"/>
      <c r="J52" s="340"/>
      <c r="K52" s="340"/>
      <c r="L52" s="340"/>
      <c r="M52" s="340"/>
    </row>
    <row r="53" spans="1:13" ht="13.5" thickBot="1">
      <c r="A53" s="383"/>
      <c r="B53" s="384" t="s">
        <v>695</v>
      </c>
      <c r="C53" s="393">
        <f>C18+C29+C40+C51</f>
        <v>205605804</v>
      </c>
      <c r="D53" s="393">
        <f>D18+D29+D40+D51</f>
        <v>116502831</v>
      </c>
      <c r="E53" s="393">
        <f>E18+E29+E40+E51</f>
        <v>89102973</v>
      </c>
      <c r="F53" s="393">
        <f>F18+F29+F40+F51</f>
        <v>4040506.5099999993</v>
      </c>
      <c r="G53" s="349"/>
      <c r="H53" s="564"/>
      <c r="I53" s="340"/>
      <c r="J53" s="340"/>
      <c r="K53" s="568">
        <f>K18+K29+K40+K51</f>
        <v>3469625.5638676998</v>
      </c>
      <c r="L53" s="568">
        <f>L18+L29+L40+L51</f>
        <v>-570880.94613229996</v>
      </c>
      <c r="M53" s="568">
        <f>M18+M29+M40+M51</f>
        <v>89673853.946132302</v>
      </c>
    </row>
    <row r="54" spans="1:13" s="365" customFormat="1" ht="13.5" thickTop="1">
      <c r="A54" s="383"/>
      <c r="B54" s="384" t="s">
        <v>696</v>
      </c>
      <c r="C54" s="394"/>
      <c r="D54" s="394">
        <f>+'[51]Transmission Plant'!$D$54</f>
        <v>-364419.41022785526</v>
      </c>
      <c r="E54" s="394"/>
      <c r="F54" s="394">
        <f>+'[51]Transmission Plant'!$F$54</f>
        <v>-728838.82045571052</v>
      </c>
      <c r="G54" s="399"/>
    </row>
    <row r="55" spans="1:13" s="365" customFormat="1" ht="13.5" thickBot="1">
      <c r="A55" s="383"/>
      <c r="B55" s="384" t="s">
        <v>697</v>
      </c>
      <c r="C55" s="559">
        <f>SUM(C53:C54)</f>
        <v>205605804</v>
      </c>
      <c r="D55" s="559">
        <f>SUM(D53:D54)</f>
        <v>116138411.58977215</v>
      </c>
      <c r="E55" s="559">
        <f>SUM(E53:E54)</f>
        <v>89102973</v>
      </c>
      <c r="F55" s="559">
        <f>SUM(F53:F54)</f>
        <v>3311667.6895442889</v>
      </c>
      <c r="G55" s="399"/>
    </row>
    <row r="56" spans="1:13" s="365" customFormat="1" ht="13.5" thickTop="1">
      <c r="A56" s="383"/>
      <c r="B56" s="384"/>
      <c r="C56" s="394"/>
      <c r="D56" s="394"/>
      <c r="E56" s="394"/>
      <c r="F56" s="394"/>
      <c r="G56" s="399"/>
    </row>
    <row r="57" spans="1:13" s="349" customFormat="1">
      <c r="B57" s="349" t="s">
        <v>540</v>
      </c>
      <c r="C57" s="387">
        <f>-D55</f>
        <v>-116138411.58977215</v>
      </c>
      <c r="D57" s="387"/>
      <c r="E57" s="387"/>
      <c r="F57" s="387"/>
    </row>
    <row r="58" spans="1:13" s="349" customFormat="1">
      <c r="B58" s="349" t="s">
        <v>541</v>
      </c>
      <c r="C58" s="415">
        <f>+'[51]Transmission Plant'!$C$58</f>
        <v>-5764580.9400000004</v>
      </c>
      <c r="D58" s="388"/>
      <c r="E58" s="387"/>
      <c r="F58" s="387"/>
    </row>
    <row r="59" spans="1:13" s="349" customFormat="1">
      <c r="B59" s="349" t="s">
        <v>542</v>
      </c>
    </row>
    <row r="60" spans="1:13" s="349" customFormat="1">
      <c r="A60" s="389"/>
      <c r="B60" s="390" t="s">
        <v>543</v>
      </c>
      <c r="C60" s="391">
        <f>+'[51]Transmission Plant'!C60</f>
        <v>1751767.9800000479</v>
      </c>
      <c r="D60" s="387"/>
      <c r="E60" s="387"/>
      <c r="F60" s="633">
        <f>+'[51]Transmission Plant'!F60</f>
        <v>213630.15</v>
      </c>
    </row>
    <row r="61" spans="1:13" s="349" customFormat="1">
      <c r="A61" s="364"/>
      <c r="B61" s="390" t="s">
        <v>544</v>
      </c>
      <c r="C61" s="633">
        <f>+'[51]Transmission Plant'!C61</f>
        <v>284021.58399999997</v>
      </c>
      <c r="D61" s="391"/>
      <c r="E61" s="391"/>
      <c r="F61" s="633">
        <f>+'[51]Transmission Plant'!F61</f>
        <v>-34492.794000000002</v>
      </c>
    </row>
    <row r="62" spans="1:13" s="349" customFormat="1" ht="13.5" thickBot="1">
      <c r="A62" s="364"/>
      <c r="B62" s="349" t="s">
        <v>545</v>
      </c>
      <c r="C62" s="540">
        <f>SUM(C55:C61)</f>
        <v>85738601.034227908</v>
      </c>
      <c r="D62" s="394"/>
      <c r="E62" s="394"/>
      <c r="F62" s="540">
        <f>SUM(F55:F61)</f>
        <v>3490805.0455442886</v>
      </c>
    </row>
    <row r="63" spans="1:13" s="349" customFormat="1" ht="13.5" thickTop="1">
      <c r="A63" s="364"/>
      <c r="C63" s="391"/>
      <c r="D63" s="387"/>
      <c r="E63" s="387"/>
      <c r="F63" s="387"/>
    </row>
    <row r="64" spans="1:13">
      <c r="A64" s="367"/>
      <c r="C64" s="391"/>
      <c r="D64" s="391"/>
      <c r="E64" s="391"/>
      <c r="F64" s="391"/>
      <c r="G64" s="349"/>
    </row>
    <row r="65" spans="1:7">
      <c r="A65" s="367"/>
      <c r="C65" s="391"/>
      <c r="D65" s="391"/>
      <c r="E65" s="391"/>
      <c r="F65" s="391"/>
      <c r="G65" s="349"/>
    </row>
    <row r="66" spans="1:7">
      <c r="A66" s="367"/>
      <c r="C66" s="391"/>
      <c r="D66" s="391"/>
      <c r="E66" s="391"/>
      <c r="F66" s="391"/>
      <c r="G66" s="349"/>
    </row>
    <row r="67" spans="1:7">
      <c r="A67" s="367"/>
      <c r="C67" s="391"/>
      <c r="D67" s="391"/>
      <c r="E67" s="391"/>
      <c r="F67" s="391"/>
      <c r="G67" s="349"/>
    </row>
    <row r="68" spans="1:7">
      <c r="A68" s="367"/>
      <c r="C68" s="391"/>
      <c r="D68" s="391"/>
      <c r="E68" s="391"/>
      <c r="F68" s="391"/>
      <c r="G68" s="349"/>
    </row>
    <row r="69" spans="1:7">
      <c r="A69" s="367"/>
      <c r="C69" s="391"/>
      <c r="D69" s="391"/>
      <c r="E69" s="391"/>
      <c r="F69" s="391"/>
      <c r="G69" s="349"/>
    </row>
    <row r="70" spans="1:7">
      <c r="A70" s="367"/>
      <c r="C70" s="391"/>
      <c r="D70" s="391"/>
      <c r="E70" s="391"/>
      <c r="F70" s="391"/>
      <c r="G70" s="349"/>
    </row>
    <row r="71" spans="1:7">
      <c r="A71" s="367"/>
      <c r="C71" s="391"/>
      <c r="D71" s="391"/>
      <c r="E71" s="391"/>
      <c r="F71" s="391"/>
      <c r="G71" s="349"/>
    </row>
    <row r="72" spans="1:7">
      <c r="A72" s="367"/>
      <c r="C72" s="391"/>
      <c r="D72" s="391"/>
      <c r="E72" s="391"/>
      <c r="F72" s="391"/>
      <c r="G72" s="349"/>
    </row>
    <row r="73" spans="1:7">
      <c r="A73" s="367"/>
      <c r="C73" s="391"/>
      <c r="D73" s="391"/>
      <c r="E73" s="391"/>
      <c r="F73" s="391"/>
      <c r="G73" s="349"/>
    </row>
    <row r="74" spans="1:7">
      <c r="A74" s="367"/>
      <c r="C74" s="391"/>
      <c r="D74" s="391"/>
      <c r="E74" s="391"/>
      <c r="F74" s="391"/>
      <c r="G74" s="349"/>
    </row>
    <row r="75" spans="1:7">
      <c r="A75" s="367"/>
      <c r="C75" s="391"/>
      <c r="D75" s="391"/>
      <c r="E75" s="391"/>
      <c r="F75" s="391"/>
      <c r="G75" s="349"/>
    </row>
    <row r="76" spans="1:7">
      <c r="A76" s="367"/>
      <c r="C76" s="391"/>
      <c r="D76" s="391"/>
      <c r="E76" s="391"/>
      <c r="F76" s="391"/>
      <c r="G76" s="349"/>
    </row>
    <row r="77" spans="1:7">
      <c r="A77" s="367"/>
      <c r="C77" s="391"/>
      <c r="D77" s="391"/>
      <c r="E77" s="391"/>
      <c r="F77" s="391"/>
      <c r="G77" s="349"/>
    </row>
    <row r="78" spans="1:7">
      <c r="A78" s="367"/>
      <c r="C78" s="391"/>
      <c r="D78" s="391"/>
      <c r="E78" s="391"/>
      <c r="F78" s="391"/>
      <c r="G78" s="349"/>
    </row>
    <row r="79" spans="1:7">
      <c r="A79" s="367"/>
      <c r="C79" s="391"/>
      <c r="D79" s="391"/>
      <c r="E79" s="391"/>
      <c r="F79" s="391"/>
      <c r="G79" s="349"/>
    </row>
    <row r="80" spans="1:7">
      <c r="A80" s="367"/>
      <c r="C80" s="391"/>
      <c r="D80" s="391"/>
      <c r="E80" s="391"/>
      <c r="F80" s="391"/>
      <c r="G80" s="349"/>
    </row>
    <row r="81" spans="1:7">
      <c r="A81" s="367"/>
      <c r="C81" s="391"/>
      <c r="D81" s="391"/>
      <c r="E81" s="391"/>
      <c r="F81" s="391"/>
      <c r="G81" s="349"/>
    </row>
    <row r="82" spans="1:7">
      <c r="A82" s="367"/>
      <c r="C82" s="391"/>
      <c r="D82" s="391"/>
      <c r="E82" s="391"/>
      <c r="F82" s="391"/>
      <c r="G82" s="349"/>
    </row>
    <row r="83" spans="1:7">
      <c r="A83" s="367"/>
      <c r="C83" s="391"/>
      <c r="D83" s="391"/>
      <c r="E83" s="391"/>
      <c r="F83" s="391"/>
      <c r="G83" s="349"/>
    </row>
    <row r="84" spans="1:7">
      <c r="A84" s="395"/>
      <c r="C84" s="391"/>
      <c r="D84" s="391"/>
      <c r="E84" s="391"/>
      <c r="F84" s="391"/>
      <c r="G84" s="349"/>
    </row>
    <row r="85" spans="1:7">
      <c r="A85" s="395"/>
      <c r="C85" s="349"/>
      <c r="D85" s="349"/>
      <c r="E85" s="349"/>
      <c r="F85" s="349"/>
      <c r="G85" s="349"/>
    </row>
    <row r="86" spans="1:7">
      <c r="A86" s="395"/>
      <c r="C86" s="349"/>
      <c r="D86" s="349"/>
      <c r="E86" s="349"/>
      <c r="F86" s="349"/>
      <c r="G86" s="349"/>
    </row>
    <row r="87" spans="1:7">
      <c r="A87" s="395"/>
      <c r="C87" s="349"/>
      <c r="D87" s="349"/>
      <c r="E87" s="349"/>
      <c r="F87" s="349"/>
      <c r="G87" s="349"/>
    </row>
    <row r="88" spans="1:7">
      <c r="A88" s="395"/>
      <c r="C88" s="349"/>
      <c r="D88" s="349"/>
      <c r="E88" s="349"/>
      <c r="F88" s="349"/>
      <c r="G88" s="349"/>
    </row>
    <row r="89" spans="1:7">
      <c r="A89" s="395"/>
      <c r="C89" s="349"/>
      <c r="D89" s="349"/>
      <c r="E89" s="349"/>
      <c r="F89" s="349"/>
      <c r="G89" s="349"/>
    </row>
    <row r="90" spans="1:7">
      <c r="A90" s="395"/>
      <c r="C90" s="349"/>
      <c r="D90" s="349"/>
      <c r="E90" s="349"/>
      <c r="F90" s="349"/>
      <c r="G90" s="349"/>
    </row>
    <row r="91" spans="1:7">
      <c r="A91" s="395"/>
      <c r="C91" s="349"/>
      <c r="D91" s="349"/>
      <c r="E91" s="349"/>
      <c r="F91" s="349"/>
      <c r="G91" s="349"/>
    </row>
    <row r="92" spans="1:7">
      <c r="A92" s="395"/>
      <c r="C92" s="349"/>
      <c r="D92" s="349"/>
      <c r="E92" s="349"/>
      <c r="F92" s="349"/>
      <c r="G92" s="349"/>
    </row>
    <row r="93" spans="1:7">
      <c r="A93" s="395"/>
      <c r="C93" s="349"/>
      <c r="D93" s="349"/>
      <c r="E93" s="349"/>
      <c r="F93" s="349"/>
      <c r="G93" s="349"/>
    </row>
    <row r="94" spans="1:7">
      <c r="A94" s="395"/>
      <c r="C94" s="349"/>
      <c r="D94" s="349"/>
      <c r="E94" s="349"/>
      <c r="F94" s="349"/>
      <c r="G94" s="349"/>
    </row>
    <row r="95" spans="1:7">
      <c r="A95" s="395"/>
      <c r="C95" s="349"/>
      <c r="D95" s="349"/>
      <c r="E95" s="349"/>
      <c r="F95" s="349"/>
      <c r="G95" s="349"/>
    </row>
    <row r="96" spans="1:7">
      <c r="A96" s="395"/>
      <c r="C96" s="349"/>
      <c r="D96" s="349"/>
      <c r="E96" s="349"/>
      <c r="F96" s="349"/>
      <c r="G96" s="349"/>
    </row>
    <row r="97" spans="1:7">
      <c r="A97" s="395"/>
      <c r="C97" s="349"/>
      <c r="D97" s="349"/>
      <c r="E97" s="349"/>
      <c r="F97" s="349"/>
      <c r="G97" s="349"/>
    </row>
    <row r="98" spans="1:7">
      <c r="A98" s="395"/>
      <c r="C98" s="349"/>
      <c r="D98" s="349"/>
      <c r="E98" s="349"/>
      <c r="F98" s="349"/>
      <c r="G98" s="349"/>
    </row>
    <row r="99" spans="1:7">
      <c r="A99" s="395"/>
      <c r="C99" s="349"/>
      <c r="D99" s="349"/>
      <c r="E99" s="349"/>
      <c r="F99" s="349"/>
      <c r="G99" s="349"/>
    </row>
    <row r="100" spans="1:7">
      <c r="A100" s="395"/>
      <c r="C100" s="349"/>
      <c r="D100" s="349"/>
      <c r="E100" s="349"/>
      <c r="F100" s="349"/>
      <c r="G100" s="349"/>
    </row>
    <row r="101" spans="1:7">
      <c r="A101" s="395"/>
      <c r="C101" s="349"/>
      <c r="D101" s="349"/>
      <c r="E101" s="349"/>
      <c r="F101" s="349"/>
      <c r="G101" s="349"/>
    </row>
    <row r="102" spans="1:7">
      <c r="A102" s="395"/>
      <c r="C102" s="349"/>
      <c r="D102" s="349"/>
      <c r="E102" s="349"/>
      <c r="F102" s="349"/>
      <c r="G102" s="349"/>
    </row>
    <row r="103" spans="1:7">
      <c r="A103" s="395"/>
      <c r="C103" s="349"/>
      <c r="D103" s="349"/>
      <c r="E103" s="349"/>
      <c r="F103" s="349"/>
      <c r="G103" s="349"/>
    </row>
    <row r="104" spans="1:7">
      <c r="A104" s="395"/>
      <c r="C104" s="349"/>
      <c r="D104" s="349"/>
      <c r="E104" s="349"/>
      <c r="F104" s="349"/>
      <c r="G104" s="349"/>
    </row>
    <row r="105" spans="1:7">
      <c r="A105" s="395"/>
      <c r="C105" s="349"/>
      <c r="D105" s="349"/>
      <c r="E105" s="349"/>
      <c r="F105" s="349"/>
      <c r="G105" s="349"/>
    </row>
    <row r="106" spans="1:7">
      <c r="A106" s="395"/>
      <c r="C106" s="349"/>
      <c r="D106" s="349"/>
      <c r="E106" s="349"/>
      <c r="F106" s="349"/>
      <c r="G106" s="349"/>
    </row>
    <row r="107" spans="1:7">
      <c r="A107" s="395"/>
      <c r="C107" s="349"/>
      <c r="D107" s="349"/>
      <c r="E107" s="349"/>
      <c r="F107" s="349"/>
      <c r="G107" s="349"/>
    </row>
    <row r="108" spans="1:7">
      <c r="A108" s="395"/>
      <c r="C108" s="349"/>
      <c r="D108" s="349"/>
      <c r="E108" s="349"/>
      <c r="F108" s="349"/>
      <c r="G108" s="349"/>
    </row>
    <row r="109" spans="1:7">
      <c r="A109" s="395"/>
      <c r="C109" s="349"/>
      <c r="D109" s="349"/>
      <c r="E109" s="349"/>
      <c r="F109" s="349"/>
      <c r="G109" s="349"/>
    </row>
    <row r="110" spans="1:7">
      <c r="A110" s="395"/>
      <c r="C110" s="349"/>
      <c r="D110" s="349"/>
      <c r="E110" s="349"/>
      <c r="F110" s="349"/>
      <c r="G110" s="349"/>
    </row>
    <row r="111" spans="1:7">
      <c r="A111" s="395"/>
      <c r="C111" s="349"/>
      <c r="D111" s="349"/>
      <c r="E111" s="349"/>
      <c r="F111" s="349"/>
      <c r="G111" s="349"/>
    </row>
    <row r="112" spans="1:7">
      <c r="A112" s="395"/>
      <c r="C112" s="349"/>
      <c r="D112" s="349"/>
      <c r="E112" s="349"/>
      <c r="F112" s="349"/>
      <c r="G112" s="349"/>
    </row>
    <row r="113" spans="1:7">
      <c r="A113" s="395"/>
      <c r="C113" s="349"/>
      <c r="D113" s="349"/>
      <c r="E113" s="349"/>
      <c r="F113" s="349"/>
      <c r="G113" s="349"/>
    </row>
    <row r="114" spans="1:7">
      <c r="A114" s="395"/>
      <c r="C114" s="349"/>
      <c r="D114" s="349"/>
      <c r="E114" s="349"/>
      <c r="F114" s="349"/>
      <c r="G114" s="349"/>
    </row>
    <row r="115" spans="1:7">
      <c r="A115" s="395"/>
      <c r="C115" s="349"/>
      <c r="D115" s="349"/>
      <c r="E115" s="349"/>
      <c r="F115" s="349"/>
      <c r="G115" s="349"/>
    </row>
    <row r="116" spans="1:7">
      <c r="A116" s="395"/>
    </row>
    <row r="117" spans="1:7">
      <c r="A117" s="395"/>
    </row>
    <row r="118" spans="1:7">
      <c r="A118" s="395"/>
    </row>
    <row r="119" spans="1:7">
      <c r="A119" s="395"/>
    </row>
    <row r="120" spans="1:7">
      <c r="A120" s="395"/>
    </row>
    <row r="121" spans="1:7">
      <c r="A121" s="395"/>
    </row>
    <row r="122" spans="1:7">
      <c r="A122" s="395"/>
    </row>
    <row r="123" spans="1:7">
      <c r="A123" s="395"/>
    </row>
  </sheetData>
  <mergeCells count="4">
    <mergeCell ref="A1:F1"/>
    <mergeCell ref="A2:F2"/>
    <mergeCell ref="A3:F3"/>
    <mergeCell ref="A4:F4"/>
  </mergeCells>
  <pageMargins left="0.75" right="0.75" top="1" bottom="1" header="0.5" footer="0.5"/>
  <pageSetup scale="47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AF51"/>
  <sheetViews>
    <sheetView workbookViewId="0"/>
  </sheetViews>
  <sheetFormatPr defaultColWidth="9.1640625" defaultRowHeight="12.75"/>
  <cols>
    <col min="1" max="2" width="9.1640625" style="649"/>
    <col min="3" max="3" width="14" style="649" bestFit="1" customWidth="1"/>
    <col min="4" max="4" width="15.1640625" style="648" customWidth="1"/>
    <col min="5" max="5" width="12.33203125" style="649" bestFit="1" customWidth="1"/>
    <col min="6" max="16" width="11.33203125" style="649" bestFit="1" customWidth="1"/>
    <col min="17" max="18" width="9.1640625" style="649"/>
    <col min="19" max="19" width="14.33203125" style="649" customWidth="1"/>
    <col min="20" max="28" width="12.33203125" style="649" bestFit="1" customWidth="1"/>
    <col min="29" max="29" width="14" style="649" bestFit="1" customWidth="1"/>
    <col min="30" max="31" width="12.33203125" style="649" bestFit="1" customWidth="1"/>
    <col min="32" max="32" width="14" style="649" bestFit="1" customWidth="1"/>
    <col min="33" max="16384" width="9.1640625" style="649"/>
  </cols>
  <sheetData>
    <row r="1" spans="2:32">
      <c r="B1" s="648" t="s">
        <v>852</v>
      </c>
    </row>
    <row r="2" spans="2:32">
      <c r="H2" s="650"/>
    </row>
    <row r="5" spans="2:32">
      <c r="B5" s="648" t="s">
        <v>385</v>
      </c>
    </row>
    <row r="6" spans="2:32" ht="38.25">
      <c r="B6" s="649" t="s">
        <v>386</v>
      </c>
      <c r="C6" s="649" t="s">
        <v>572</v>
      </c>
      <c r="D6" s="651" t="s">
        <v>784</v>
      </c>
      <c r="E6" s="649" t="s">
        <v>387</v>
      </c>
      <c r="F6" s="649" t="s">
        <v>388</v>
      </c>
      <c r="G6" s="649" t="s">
        <v>389</v>
      </c>
      <c r="H6" s="649" t="s">
        <v>390</v>
      </c>
      <c r="I6" s="649" t="s">
        <v>391</v>
      </c>
      <c r="J6" s="649" t="s">
        <v>392</v>
      </c>
      <c r="K6" s="649" t="s">
        <v>393</v>
      </c>
      <c r="L6" s="649" t="s">
        <v>394</v>
      </c>
      <c r="M6" s="649" t="s">
        <v>395</v>
      </c>
      <c r="N6" s="652" t="s">
        <v>396</v>
      </c>
      <c r="O6" s="652" t="s">
        <v>397</v>
      </c>
      <c r="P6" s="652" t="s">
        <v>398</v>
      </c>
    </row>
    <row r="7" spans="2:32">
      <c r="B7" s="653">
        <v>2012</v>
      </c>
      <c r="C7" s="654">
        <f>SUM(E7:P7)</f>
        <v>5123361.0978206303</v>
      </c>
      <c r="D7" s="655"/>
      <c r="E7" s="654">
        <v>378836.6325268817</v>
      </c>
      <c r="F7" s="654">
        <v>384286.17898850568</v>
      </c>
      <c r="G7" s="654">
        <v>382893.08847904892</v>
      </c>
      <c r="H7" s="654">
        <v>388403.42366666661</v>
      </c>
      <c r="I7" s="654">
        <v>412805.45144516131</v>
      </c>
      <c r="J7" s="654">
        <v>467852.33522222226</v>
      </c>
      <c r="K7" s="654">
        <v>472594.28603225824</v>
      </c>
      <c r="L7" s="654">
        <v>530434.67537204304</v>
      </c>
      <c r="M7" s="654">
        <v>425313.53818888892</v>
      </c>
      <c r="N7" s="654">
        <v>514164.32318709674</v>
      </c>
      <c r="O7" s="654">
        <v>385750.52588497452</v>
      </c>
      <c r="P7" s="654">
        <v>380026.63882688171</v>
      </c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</row>
    <row r="8" spans="2:32">
      <c r="B8" s="653">
        <v>2013</v>
      </c>
      <c r="C8" s="654">
        <f>SUM(E8:P8)</f>
        <v>4769854.7604918126</v>
      </c>
      <c r="D8" s="655">
        <f>SUM(E8:M8,N7:P7)</f>
        <v>4814876.0459365714</v>
      </c>
      <c r="E8" s="654">
        <v>380068.45168709673</v>
      </c>
      <c r="F8" s="654">
        <v>383805.81762142858</v>
      </c>
      <c r="G8" s="654">
        <v>387081.97051188874</v>
      </c>
      <c r="H8" s="654">
        <v>402282.46076666669</v>
      </c>
      <c r="I8" s="654">
        <v>395265.51655698923</v>
      </c>
      <c r="J8" s="654">
        <v>383744.12656666659</v>
      </c>
      <c r="K8" s="654">
        <v>406170.3586849462</v>
      </c>
      <c r="L8" s="654">
        <v>413370.84000860213</v>
      </c>
      <c r="M8" s="654">
        <v>383145.0156333333</v>
      </c>
      <c r="N8" s="654">
        <v>409693.68855483865</v>
      </c>
      <c r="O8" s="654">
        <v>401142.30329075357</v>
      </c>
      <c r="P8" s="654">
        <v>424084.21060860215</v>
      </c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</row>
    <row r="9" spans="2:32">
      <c r="B9" s="653">
        <v>2014</v>
      </c>
      <c r="C9" s="654">
        <f>SUM(E9:P9)</f>
        <v>4821085.9329991341</v>
      </c>
      <c r="D9" s="655">
        <f>SUM(E9:M9,N8:P8)</f>
        <v>4845533.6037707068</v>
      </c>
      <c r="E9" s="654">
        <v>376665.03752688167</v>
      </c>
      <c r="F9" s="654">
        <v>375338.83452380955</v>
      </c>
      <c r="G9" s="654">
        <v>450242.84896249435</v>
      </c>
      <c r="H9" s="654">
        <v>382660.62300834444</v>
      </c>
      <c r="I9" s="654">
        <v>380129.43686666666</v>
      </c>
      <c r="J9" s="654">
        <v>388326.91137777769</v>
      </c>
      <c r="K9" s="654">
        <v>461453.26726344076</v>
      </c>
      <c r="L9" s="654">
        <v>408719.81498709676</v>
      </c>
      <c r="M9" s="654">
        <v>387076.62679999997</v>
      </c>
      <c r="N9" s="654">
        <v>419093.14874408604</v>
      </c>
      <c r="O9" s="654">
        <v>407035.45846541831</v>
      </c>
      <c r="P9" s="654">
        <v>384343.92447311827</v>
      </c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</row>
    <row r="10" spans="2:32">
      <c r="B10" s="653">
        <v>2015</v>
      </c>
      <c r="C10" s="654">
        <f>SUM(E10:P10)</f>
        <v>4849681.2303934768</v>
      </c>
      <c r="D10" s="655">
        <f>SUM(E10:M10,N9:P9)</f>
        <v>4703510.213151399</v>
      </c>
      <c r="E10" s="654">
        <v>378045.63521505374</v>
      </c>
      <c r="F10" s="654">
        <v>380424.89390952379</v>
      </c>
      <c r="G10" s="654">
        <v>382477.7806274562</v>
      </c>
      <c r="H10" s="654">
        <v>405562.00859365077</v>
      </c>
      <c r="I10" s="654">
        <v>414631.21875483863</v>
      </c>
      <c r="J10" s="654">
        <v>383583.83836825396</v>
      </c>
      <c r="K10" s="654">
        <v>378496.18540000007</v>
      </c>
      <c r="L10" s="654">
        <v>387483.39289999998</v>
      </c>
      <c r="M10" s="654">
        <v>382332.72769999999</v>
      </c>
      <c r="N10" s="654">
        <v>376369.3</v>
      </c>
      <c r="O10" s="654">
        <v>393286.58048552938</v>
      </c>
      <c r="P10" s="654">
        <v>586987.66843917058</v>
      </c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654"/>
      <c r="AE10" s="654"/>
      <c r="AF10" s="654"/>
    </row>
    <row r="11" spans="2:32">
      <c r="B11" s="653">
        <v>2016</v>
      </c>
      <c r="C11" s="654">
        <f>SUM(E11:P11)</f>
        <v>2656192.1103019952</v>
      </c>
      <c r="D11" s="655">
        <f>SUM(E11:M11,N10:P10)</f>
        <v>4012835.6592266951</v>
      </c>
      <c r="E11" s="654">
        <v>417771.68632365594</v>
      </c>
      <c r="F11" s="654">
        <v>393964.9451149425</v>
      </c>
      <c r="G11" s="654">
        <v>424934.08023328846</v>
      </c>
      <c r="H11" s="654">
        <v>399089.38816666667</v>
      </c>
      <c r="I11" s="654">
        <v>430634.85756344115</v>
      </c>
      <c r="J11" s="654">
        <v>35823.485600000029</v>
      </c>
      <c r="K11" s="654">
        <v>130821.844</v>
      </c>
      <c r="L11" s="654">
        <v>411259.05859999999</v>
      </c>
      <c r="M11" s="654">
        <v>11892.7647</v>
      </c>
      <c r="N11" s="654"/>
      <c r="O11" s="654"/>
      <c r="P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</row>
    <row r="12" spans="2:32">
      <c r="B12" s="649" t="s">
        <v>399</v>
      </c>
      <c r="C12" s="654">
        <f>AVERAGE(C8:C10)</f>
        <v>4813540.6412948081</v>
      </c>
      <c r="D12" s="655">
        <f>AVERAGE(D9:D11)</f>
        <v>4520626.4920496</v>
      </c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/>
      <c r="AF12" s="654"/>
    </row>
    <row r="13" spans="2:32">
      <c r="B13" s="656"/>
      <c r="C13" s="652"/>
      <c r="D13" s="657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</row>
    <row r="14" spans="2:32">
      <c r="B14" s="658"/>
      <c r="C14" s="655"/>
      <c r="D14" s="655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</row>
    <row r="15" spans="2:32">
      <c r="C15" s="652"/>
      <c r="D15" s="657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</row>
    <row r="16" spans="2:32">
      <c r="C16" s="652"/>
      <c r="D16" s="657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</row>
    <row r="17" spans="2:32">
      <c r="C17" s="652"/>
      <c r="D17" s="657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</row>
    <row r="18" spans="2:32">
      <c r="B18" s="648" t="s">
        <v>400</v>
      </c>
      <c r="C18" s="652"/>
      <c r="D18" s="657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T18" s="652"/>
      <c r="U18" s="652"/>
      <c r="V18" s="652"/>
      <c r="X18" s="652"/>
      <c r="Y18" s="652"/>
      <c r="Z18" s="652"/>
      <c r="AA18" s="652"/>
      <c r="AB18" s="652"/>
      <c r="AC18" s="652"/>
      <c r="AD18" s="652"/>
      <c r="AE18" s="652"/>
      <c r="AF18" s="652"/>
    </row>
    <row r="19" spans="2:32" ht="38.25">
      <c r="B19" s="649" t="s">
        <v>386</v>
      </c>
      <c r="C19" s="649" t="s">
        <v>572</v>
      </c>
      <c r="D19" s="651" t="s">
        <v>784</v>
      </c>
      <c r="E19" s="649" t="s">
        <v>387</v>
      </c>
      <c r="F19" s="649" t="s">
        <v>388</v>
      </c>
      <c r="G19" s="649" t="s">
        <v>389</v>
      </c>
      <c r="H19" s="649" t="s">
        <v>390</v>
      </c>
      <c r="I19" s="649" t="s">
        <v>391</v>
      </c>
      <c r="J19" s="649" t="s">
        <v>392</v>
      </c>
      <c r="K19" s="649" t="s">
        <v>393</v>
      </c>
      <c r="L19" s="649" t="s">
        <v>394</v>
      </c>
      <c r="M19" s="649" t="s">
        <v>395</v>
      </c>
      <c r="N19" s="652" t="s">
        <v>396</v>
      </c>
      <c r="O19" s="652" t="s">
        <v>397</v>
      </c>
      <c r="P19" s="652" t="s">
        <v>398</v>
      </c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</row>
    <row r="20" spans="2:32">
      <c r="B20" s="653">
        <v>2012</v>
      </c>
      <c r="C20" s="654">
        <f>SUM(E20:P20)</f>
        <v>3300300.1715571415</v>
      </c>
      <c r="D20" s="655"/>
      <c r="E20" s="654">
        <v>196523.1737333333</v>
      </c>
      <c r="F20" s="654">
        <v>192818.28803333329</v>
      </c>
      <c r="G20" s="654">
        <v>333636.19679047598</v>
      </c>
      <c r="H20" s="654">
        <v>440177.15883333335</v>
      </c>
      <c r="I20" s="654">
        <v>439424.45353333326</v>
      </c>
      <c r="J20" s="654">
        <v>223536.96103333335</v>
      </c>
      <c r="K20" s="654">
        <v>264564.19123333332</v>
      </c>
      <c r="L20" s="654">
        <v>196685.99963333335</v>
      </c>
      <c r="M20" s="654">
        <v>113763.60463333332</v>
      </c>
      <c r="N20" s="654">
        <v>253418.37433333331</v>
      </c>
      <c r="O20" s="654">
        <v>333294.52413333306</v>
      </c>
      <c r="P20" s="654">
        <v>312457.24563333305</v>
      </c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</row>
    <row r="21" spans="2:32">
      <c r="B21" s="653">
        <v>2013</v>
      </c>
      <c r="C21" s="654">
        <f>SUM(E21:P21)</f>
        <v>4736737.1476475941</v>
      </c>
      <c r="D21" s="655">
        <f>SUM(E21:M21,N20:P20)</f>
        <v>4419294.0266999993</v>
      </c>
      <c r="E21" s="654">
        <v>439217.9764333333</v>
      </c>
      <c r="F21" s="654">
        <v>439795.20423333329</v>
      </c>
      <c r="G21" s="654">
        <v>439597.08043333329</v>
      </c>
      <c r="H21" s="654">
        <v>441376.23</v>
      </c>
      <c r="I21" s="654">
        <v>439443.35519999999</v>
      </c>
      <c r="J21" s="654">
        <v>332485.12119999999</v>
      </c>
      <c r="K21" s="654">
        <v>331550.36739999999</v>
      </c>
      <c r="L21" s="654">
        <v>328408.10200000001</v>
      </c>
      <c r="M21" s="654">
        <v>328250.44569999998</v>
      </c>
      <c r="N21" s="654">
        <v>435807.92563763435</v>
      </c>
      <c r="O21" s="654">
        <v>452761.41068737867</v>
      </c>
      <c r="P21" s="654">
        <v>328043.92872258066</v>
      </c>
      <c r="T21" s="654"/>
      <c r="U21" s="654"/>
      <c r="V21" s="654"/>
      <c r="W21" s="654"/>
      <c r="X21" s="654"/>
      <c r="Y21" s="654"/>
      <c r="Z21" s="654"/>
      <c r="AA21" s="654"/>
      <c r="AB21" s="654"/>
      <c r="AC21" s="654"/>
      <c r="AD21" s="654"/>
      <c r="AE21" s="654"/>
      <c r="AF21" s="654"/>
    </row>
    <row r="22" spans="2:32">
      <c r="B22" s="653">
        <v>2014</v>
      </c>
      <c r="C22" s="654">
        <f>SUM(E22:P22)</f>
        <v>5374685.8600430097</v>
      </c>
      <c r="D22" s="655">
        <f>SUM(E22:M22,N21:P21)</f>
        <v>5185550.6841906039</v>
      </c>
      <c r="E22" s="654">
        <v>350311.99343548383</v>
      </c>
      <c r="F22" s="654">
        <v>467060.10759999999</v>
      </c>
      <c r="G22" s="654">
        <v>478387.00723333331</v>
      </c>
      <c r="H22" s="654">
        <v>446969.09329999995</v>
      </c>
      <c r="I22" s="654">
        <v>443970.79973333329</v>
      </c>
      <c r="J22" s="654">
        <v>443169.09113333334</v>
      </c>
      <c r="K22" s="654">
        <v>456342.45353333326</v>
      </c>
      <c r="L22" s="654">
        <v>444307.08954086021</v>
      </c>
      <c r="M22" s="654">
        <v>438419.78363333328</v>
      </c>
      <c r="N22" s="654">
        <v>445609.35113333334</v>
      </c>
      <c r="O22" s="654">
        <v>469422.00473333336</v>
      </c>
      <c r="P22" s="654">
        <v>490717.08503333328</v>
      </c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</row>
    <row r="23" spans="2:32">
      <c r="B23" s="653">
        <v>2015</v>
      </c>
      <c r="C23" s="654">
        <f>SUM(E23:P23)</f>
        <v>5779788.3559886841</v>
      </c>
      <c r="D23" s="655">
        <f>SUM(E23:M23,N22:P22)</f>
        <v>5501593.726188683</v>
      </c>
      <c r="E23" s="654">
        <v>465169.62563333329</v>
      </c>
      <c r="F23" s="654">
        <v>451965.81173333328</v>
      </c>
      <c r="G23" s="654">
        <v>440761.44503333332</v>
      </c>
      <c r="H23" s="654">
        <v>439417.55963333329</v>
      </c>
      <c r="I23" s="654">
        <v>439069.17923333327</v>
      </c>
      <c r="J23" s="654">
        <v>458821.21692063491</v>
      </c>
      <c r="K23" s="654">
        <v>509157.87586912443</v>
      </c>
      <c r="L23" s="654">
        <v>449614.9514989247</v>
      </c>
      <c r="M23" s="654">
        <v>441867.6197333333</v>
      </c>
      <c r="N23" s="654">
        <v>456846.39603333344</v>
      </c>
      <c r="O23" s="654">
        <v>568343.38753333327</v>
      </c>
      <c r="P23" s="654">
        <v>658753.28713333409</v>
      </c>
      <c r="T23" s="654"/>
      <c r="U23" s="654"/>
      <c r="V23" s="654"/>
      <c r="W23" s="654"/>
      <c r="X23" s="654"/>
      <c r="Y23" s="654"/>
      <c r="Z23" s="654"/>
      <c r="AA23" s="654"/>
      <c r="AB23" s="654"/>
      <c r="AC23" s="654"/>
      <c r="AD23" s="654"/>
      <c r="AE23" s="654"/>
      <c r="AF23" s="654"/>
    </row>
    <row r="24" spans="2:32">
      <c r="B24" s="653">
        <v>2016</v>
      </c>
      <c r="C24" s="654">
        <f>SUM(E24:P24)</f>
        <v>3899267.8884516126</v>
      </c>
      <c r="D24" s="655">
        <f>SUM(E24:M24,N23:P23)</f>
        <v>5583210.9591516135</v>
      </c>
      <c r="E24" s="654">
        <v>490331.98643333319</v>
      </c>
      <c r="F24" s="654">
        <v>446005.0116333334</v>
      </c>
      <c r="G24" s="654">
        <v>455803.32583333348</v>
      </c>
      <c r="H24" s="654">
        <v>442025.17353333329</v>
      </c>
      <c r="I24" s="654">
        <v>439416.46103333333</v>
      </c>
      <c r="J24" s="654">
        <v>446104.6271333333</v>
      </c>
      <c r="K24" s="654">
        <v>458863.82046344102</v>
      </c>
      <c r="L24" s="654">
        <v>281456.86385483865</v>
      </c>
      <c r="M24" s="654">
        <v>439260.61853333347</v>
      </c>
      <c r="N24" s="654"/>
      <c r="O24" s="654"/>
      <c r="P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</row>
    <row r="25" spans="2:32">
      <c r="B25" s="649" t="s">
        <v>399</v>
      </c>
      <c r="C25" s="654">
        <f>AVERAGE(C21:C23)</f>
        <v>5297070.454559763</v>
      </c>
      <c r="D25" s="655">
        <f>AVERAGE(D22:D24)</f>
        <v>5423451.7898436338</v>
      </c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  <c r="AE25" s="654"/>
      <c r="AF25" s="654"/>
    </row>
    <row r="26" spans="2:32">
      <c r="B26" s="656"/>
      <c r="C26" s="652"/>
      <c r="D26" s="657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</row>
    <row r="27" spans="2:32">
      <c r="B27" s="658"/>
      <c r="C27" s="655"/>
      <c r="D27" s="655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</row>
    <row r="28" spans="2:32">
      <c r="C28" s="652"/>
      <c r="D28" s="657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T28" s="652"/>
      <c r="U28" s="652"/>
      <c r="V28" s="652"/>
      <c r="W28" s="652"/>
      <c r="X28" s="652"/>
      <c r="Y28" s="652"/>
      <c r="Z28" s="652"/>
      <c r="AA28" s="652"/>
      <c r="AB28" s="652"/>
      <c r="AC28" s="652"/>
      <c r="AD28" s="652"/>
      <c r="AE28" s="652"/>
      <c r="AF28" s="652"/>
    </row>
    <row r="29" spans="2:32">
      <c r="C29" s="652"/>
      <c r="D29" s="657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2"/>
      <c r="P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2"/>
      <c r="AD29" s="652"/>
      <c r="AE29" s="652"/>
      <c r="AF29" s="652"/>
    </row>
    <row r="30" spans="2:32">
      <c r="C30" s="652"/>
      <c r="D30" s="657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</row>
    <row r="31" spans="2:32">
      <c r="B31" s="648" t="s">
        <v>401</v>
      </c>
      <c r="C31" s="652"/>
      <c r="D31" s="657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</row>
    <row r="32" spans="2:32" ht="38.25">
      <c r="B32" s="649" t="s">
        <v>386</v>
      </c>
      <c r="C32" s="649" t="s">
        <v>572</v>
      </c>
      <c r="D32" s="651" t="s">
        <v>784</v>
      </c>
      <c r="E32" s="649" t="s">
        <v>387</v>
      </c>
      <c r="F32" s="649" t="s">
        <v>388</v>
      </c>
      <c r="G32" s="649" t="s">
        <v>389</v>
      </c>
      <c r="H32" s="649" t="s">
        <v>390</v>
      </c>
      <c r="I32" s="649" t="s">
        <v>391</v>
      </c>
      <c r="J32" s="649" t="s">
        <v>392</v>
      </c>
      <c r="K32" s="649" t="s">
        <v>393</v>
      </c>
      <c r="L32" s="649" t="s">
        <v>394</v>
      </c>
      <c r="M32" s="649" t="s">
        <v>395</v>
      </c>
      <c r="N32" s="652" t="s">
        <v>396</v>
      </c>
      <c r="O32" s="652" t="s">
        <v>397</v>
      </c>
      <c r="P32" s="652" t="s">
        <v>398</v>
      </c>
      <c r="T32" s="652"/>
      <c r="U32" s="652"/>
      <c r="V32" s="652"/>
      <c r="X32" s="652"/>
      <c r="Y32" s="652"/>
      <c r="Z32" s="652"/>
      <c r="AA32" s="652"/>
      <c r="AB32" s="652"/>
      <c r="AC32" s="652"/>
      <c r="AD32" s="652"/>
      <c r="AE32" s="652"/>
      <c r="AF32" s="652"/>
    </row>
    <row r="33" spans="2:32">
      <c r="B33" s="653">
        <v>2012</v>
      </c>
      <c r="C33" s="654">
        <f>SUM(E33:P33)</f>
        <v>6623.4999000000007</v>
      </c>
      <c r="D33" s="655"/>
      <c r="E33" s="654">
        <v>4896.5889000000006</v>
      </c>
      <c r="F33" s="654">
        <v>0</v>
      </c>
      <c r="G33" s="654">
        <v>604.78779999999995</v>
      </c>
      <c r="H33" s="654">
        <v>0</v>
      </c>
      <c r="I33" s="654">
        <v>0</v>
      </c>
      <c r="J33" s="654">
        <v>420.7962</v>
      </c>
      <c r="K33" s="654">
        <v>0</v>
      </c>
      <c r="L33" s="654">
        <v>0</v>
      </c>
      <c r="M33" s="654">
        <v>0</v>
      </c>
      <c r="N33" s="654">
        <v>701.327</v>
      </c>
      <c r="O33" s="654">
        <v>0</v>
      </c>
      <c r="P33" s="654">
        <v>0</v>
      </c>
      <c r="T33" s="652"/>
      <c r="U33" s="652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</row>
    <row r="34" spans="2:32">
      <c r="B34" s="653">
        <v>2013</v>
      </c>
      <c r="C34" s="654">
        <f>SUM(E34:P34)</f>
        <v>0</v>
      </c>
      <c r="D34" s="655">
        <f>SUM(E34:M34,N33:P33)</f>
        <v>701.327</v>
      </c>
      <c r="E34" s="654">
        <v>0</v>
      </c>
      <c r="F34" s="654">
        <v>0</v>
      </c>
      <c r="G34" s="654">
        <v>0</v>
      </c>
      <c r="H34" s="654">
        <v>0</v>
      </c>
      <c r="I34" s="654">
        <v>0</v>
      </c>
      <c r="J34" s="654">
        <v>0</v>
      </c>
      <c r="K34" s="654">
        <v>0</v>
      </c>
      <c r="L34" s="654">
        <v>0</v>
      </c>
      <c r="M34" s="654">
        <v>0</v>
      </c>
      <c r="N34" s="654">
        <v>0</v>
      </c>
      <c r="O34" s="654">
        <v>0</v>
      </c>
      <c r="P34" s="654">
        <v>0</v>
      </c>
      <c r="T34" s="654"/>
      <c r="U34" s="654"/>
      <c r="V34" s="654"/>
      <c r="W34" s="654"/>
      <c r="X34" s="654"/>
      <c r="Y34" s="654"/>
      <c r="Z34" s="654"/>
      <c r="AA34" s="654"/>
      <c r="AB34" s="654"/>
      <c r="AC34" s="654"/>
      <c r="AD34" s="654"/>
      <c r="AE34" s="654"/>
      <c r="AF34" s="654"/>
    </row>
    <row r="35" spans="2:32">
      <c r="B35" s="653">
        <v>2014</v>
      </c>
      <c r="C35" s="654">
        <f>SUM(E35:P35)</f>
        <v>0</v>
      </c>
      <c r="D35" s="655">
        <f>SUM(E35:M35,N34:P34)</f>
        <v>0</v>
      </c>
      <c r="E35" s="654">
        <v>0</v>
      </c>
      <c r="F35" s="654">
        <v>0</v>
      </c>
      <c r="G35" s="654">
        <v>0</v>
      </c>
      <c r="H35" s="654">
        <v>0</v>
      </c>
      <c r="I35" s="654">
        <v>0</v>
      </c>
      <c r="J35" s="654">
        <v>0</v>
      </c>
      <c r="K35" s="654">
        <v>0</v>
      </c>
      <c r="L35" s="654">
        <v>0</v>
      </c>
      <c r="M35" s="654">
        <v>0</v>
      </c>
      <c r="N35" s="654">
        <v>0</v>
      </c>
      <c r="O35" s="654">
        <v>0</v>
      </c>
      <c r="P35" s="654">
        <v>0</v>
      </c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</row>
    <row r="36" spans="2:32">
      <c r="B36" s="653">
        <v>2015</v>
      </c>
      <c r="C36" s="654">
        <f>SUM(E36:P36)</f>
        <v>0</v>
      </c>
      <c r="D36" s="655">
        <f>SUM(E36:M36,N35:P35)</f>
        <v>0</v>
      </c>
      <c r="E36" s="654">
        <v>0</v>
      </c>
      <c r="F36" s="654">
        <v>0</v>
      </c>
      <c r="G36" s="654">
        <v>0</v>
      </c>
      <c r="H36" s="654">
        <v>0</v>
      </c>
      <c r="I36" s="654">
        <v>0</v>
      </c>
      <c r="J36" s="654">
        <v>0</v>
      </c>
      <c r="K36" s="654">
        <v>0</v>
      </c>
      <c r="L36" s="654">
        <v>0</v>
      </c>
      <c r="M36" s="654">
        <v>0</v>
      </c>
      <c r="N36" s="654"/>
      <c r="O36" s="654"/>
      <c r="P36" s="654"/>
      <c r="T36" s="654"/>
      <c r="U36" s="654"/>
      <c r="V36" s="654"/>
      <c r="W36" s="654"/>
      <c r="X36" s="654"/>
      <c r="Y36" s="654"/>
      <c r="Z36" s="654"/>
      <c r="AA36" s="654"/>
      <c r="AB36" s="654"/>
      <c r="AC36" s="654"/>
      <c r="AD36" s="654"/>
      <c r="AE36" s="654"/>
      <c r="AF36" s="654"/>
    </row>
    <row r="37" spans="2:32">
      <c r="B37" s="653">
        <v>2016</v>
      </c>
      <c r="C37" s="654"/>
      <c r="D37" s="655">
        <f>SUM(E37:M37,N36:P36)</f>
        <v>0</v>
      </c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654"/>
    </row>
    <row r="38" spans="2:32">
      <c r="B38" s="649" t="s">
        <v>399</v>
      </c>
      <c r="C38" s="654">
        <f>AVERAGE(C33:C35)</f>
        <v>2207.8333000000002</v>
      </c>
      <c r="D38" s="655">
        <f>AVERAGE(D35:D37)</f>
        <v>0</v>
      </c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</row>
    <row r="39" spans="2:32">
      <c r="B39" s="656"/>
      <c r="C39" s="652"/>
      <c r="D39" s="657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</row>
    <row r="40" spans="2:32">
      <c r="B40" s="658"/>
      <c r="C40" s="659"/>
      <c r="D40" s="659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</row>
    <row r="41" spans="2:32">
      <c r="C41"/>
      <c r="T41" s="652"/>
      <c r="U41" s="652"/>
      <c r="V41" s="652"/>
      <c r="W41" s="652"/>
      <c r="X41" s="652"/>
      <c r="Y41" s="652"/>
      <c r="Z41" s="652"/>
      <c r="AA41" s="652"/>
      <c r="AB41" s="652"/>
      <c r="AC41" s="652"/>
      <c r="AD41" s="652"/>
      <c r="AE41" s="652"/>
      <c r="AF41" s="652"/>
    </row>
    <row r="42" spans="2:32" ht="13.5" thickBot="1">
      <c r="C4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</row>
    <row r="43" spans="2:32" ht="13.5" thickBot="1">
      <c r="C43"/>
      <c r="D43" s="660">
        <f>D12+D25+D38</f>
        <v>9944078.2818932347</v>
      </c>
      <c r="E43" s="648" t="s">
        <v>402</v>
      </c>
      <c r="T43" s="652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652"/>
      <c r="AF43" s="652"/>
    </row>
    <row r="44" spans="2:32"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</row>
    <row r="45" spans="2:32">
      <c r="C45" s="652"/>
      <c r="D45" s="657"/>
      <c r="T45" s="652"/>
      <c r="U45" s="652"/>
      <c r="V45" s="652"/>
      <c r="X45" s="652"/>
      <c r="Y45" s="652"/>
      <c r="Z45" s="652"/>
      <c r="AA45" s="652"/>
      <c r="AB45" s="652"/>
      <c r="AC45" s="652"/>
      <c r="AD45" s="652"/>
      <c r="AE45" s="652"/>
      <c r="AF45" s="652"/>
    </row>
    <row r="46" spans="2:32">
      <c r="T46" s="652"/>
      <c r="U46" s="652"/>
      <c r="V46" s="652"/>
      <c r="W46" s="652"/>
      <c r="X46" s="652"/>
      <c r="Y46" s="652"/>
      <c r="Z46" s="652"/>
      <c r="AA46" s="652"/>
      <c r="AB46" s="652"/>
      <c r="AC46" s="652"/>
      <c r="AD46" s="652"/>
      <c r="AE46" s="652"/>
      <c r="AF46" s="652"/>
    </row>
    <row r="47" spans="2:32">
      <c r="C47" s="657"/>
      <c r="D47" s="657"/>
      <c r="T47" s="652"/>
      <c r="U47" s="652"/>
      <c r="V47" s="652"/>
      <c r="W47" s="652"/>
      <c r="X47" s="652"/>
      <c r="Y47" s="652"/>
      <c r="Z47" s="652"/>
      <c r="AA47" s="652"/>
      <c r="AB47" s="652"/>
      <c r="AC47" s="652"/>
      <c r="AD47" s="652"/>
      <c r="AE47" s="652"/>
      <c r="AF47" s="652"/>
    </row>
    <row r="48" spans="2:32">
      <c r="C48" s="657"/>
      <c r="D48" s="657"/>
      <c r="T48" s="654"/>
      <c r="U48" s="654"/>
      <c r="V48" s="654"/>
      <c r="W48" s="654"/>
      <c r="X48" s="654"/>
      <c r="Y48" s="654"/>
      <c r="Z48" s="654"/>
      <c r="AA48" s="654"/>
      <c r="AB48" s="654"/>
      <c r="AC48" s="654"/>
      <c r="AD48" s="654"/>
      <c r="AE48" s="654"/>
      <c r="AF48" s="654"/>
    </row>
    <row r="49" spans="3:32">
      <c r="C49" s="657"/>
      <c r="D49" s="657"/>
      <c r="T49" s="654"/>
      <c r="U49" s="654"/>
      <c r="V49" s="654"/>
      <c r="W49" s="654"/>
      <c r="X49" s="654"/>
      <c r="Y49" s="654"/>
      <c r="Z49" s="654"/>
      <c r="AA49" s="654"/>
      <c r="AB49" s="654"/>
      <c r="AC49" s="654"/>
      <c r="AD49" s="654"/>
      <c r="AE49" s="654"/>
      <c r="AF49" s="654"/>
    </row>
    <row r="50" spans="3:32">
      <c r="C50" s="648"/>
      <c r="T50" s="654"/>
      <c r="U50" s="654"/>
      <c r="V50" s="654"/>
      <c r="W50" s="654"/>
      <c r="X50" s="654"/>
      <c r="Y50" s="654"/>
      <c r="Z50" s="654"/>
      <c r="AA50" s="654"/>
      <c r="AB50" s="654"/>
      <c r="AC50" s="654"/>
      <c r="AD50" s="654"/>
      <c r="AE50" s="654"/>
      <c r="AF50" s="654"/>
    </row>
    <row r="51" spans="3:32">
      <c r="C51" s="657"/>
      <c r="D51" s="657"/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4"/>
    </row>
  </sheetData>
  <pageMargins left="0.75" right="0.75" top="1" bottom="1" header="0.5" footer="0.5"/>
  <pageSetup scale="7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B92"/>
  <sheetViews>
    <sheetView zoomScale="85" zoomScaleNormal="85" zoomScaleSheetLayoutView="40" workbookViewId="0">
      <pane xSplit="3" ySplit="16" topLeftCell="D17" activePane="bottomRight" state="frozen"/>
      <selection activeCell="B12" sqref="B12"/>
      <selection pane="topRight" activeCell="B12" sqref="B12"/>
      <selection pane="bottomLeft" activeCell="B12" sqref="B12"/>
      <selection pane="bottomRight" activeCell="D17" sqref="D17"/>
    </sheetView>
  </sheetViews>
  <sheetFormatPr defaultColWidth="10.6640625" defaultRowHeight="12.75"/>
  <cols>
    <col min="1" max="1" width="7.33203125" style="99" customWidth="1"/>
    <col min="2" max="2" width="52.33203125" style="11" customWidth="1"/>
    <col min="3" max="3" width="20" style="11" customWidth="1"/>
    <col min="4" max="4" width="15.5" style="11" customWidth="1"/>
    <col min="5" max="5" width="27.1640625" style="11" customWidth="1"/>
    <col min="6" max="6" width="20.5" style="11" customWidth="1"/>
    <col min="7" max="7" width="17.83203125" style="11" customWidth="1"/>
    <col min="8" max="8" width="28" style="11" customWidth="1"/>
    <col min="9" max="9" width="20" style="11" customWidth="1"/>
    <col min="10" max="10" width="15.1640625" style="11" customWidth="1"/>
    <col min="11" max="16" width="20.6640625" style="11" customWidth="1"/>
    <col min="17" max="17" width="19.1640625" style="11" customWidth="1"/>
    <col min="18" max="18" width="19.5" style="11" customWidth="1"/>
    <col min="19" max="19" width="20.6640625" style="11" customWidth="1"/>
    <col min="20" max="20" width="19" style="11" customWidth="1"/>
    <col min="21" max="21" width="18" style="11" customWidth="1"/>
    <col min="22" max="22" width="19" style="374" customWidth="1"/>
    <col min="23" max="23" width="25.5" style="374" bestFit="1" customWidth="1"/>
    <col min="24" max="24" width="20.6640625" style="374" customWidth="1"/>
    <col min="25" max="29" width="20" style="374" customWidth="1"/>
    <col min="30" max="30" width="16.5" style="11" customWidth="1"/>
    <col min="31" max="31" width="20.6640625" style="11" customWidth="1"/>
    <col min="32" max="32" width="18.83203125" style="11" customWidth="1"/>
    <col min="33" max="33" width="20.6640625" style="11" customWidth="1"/>
    <col min="34" max="34" width="17.5" style="11" customWidth="1"/>
    <col min="35" max="35" width="19.1640625" style="11" customWidth="1"/>
    <col min="36" max="36" width="18.5" style="374" customWidth="1"/>
    <col min="37" max="37" width="15.6640625" style="374" customWidth="1"/>
    <col min="38" max="38" width="26.33203125" style="11" bestFit="1" customWidth="1"/>
    <col min="39" max="39" width="26.33203125" style="374" bestFit="1" customWidth="1"/>
    <col min="40" max="40" width="14.5" style="374" customWidth="1"/>
    <col min="41" max="41" width="25.83203125" style="374" bestFit="1" customWidth="1"/>
    <col min="42" max="42" width="18.33203125" style="311" customWidth="1"/>
    <col min="43" max="43" width="18.33203125" style="374" customWidth="1"/>
    <col min="44" max="45" width="20.6640625" style="11" customWidth="1"/>
    <col min="46" max="46" width="23" style="11" bestFit="1" customWidth="1"/>
    <col min="47" max="49" width="20.6640625" style="11" customWidth="1"/>
    <col min="50" max="50" width="20.6640625" style="98" customWidth="1"/>
    <col min="51" max="51" width="2.83203125" style="11" customWidth="1"/>
    <col min="52" max="52" width="13.83203125" bestFit="1" customWidth="1"/>
    <col min="53" max="16384" width="10.6640625" style="168"/>
  </cols>
  <sheetData>
    <row r="1" spans="1:53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4"/>
      <c r="AT1" s="373"/>
      <c r="AU1" s="373"/>
      <c r="AV1" s="373"/>
      <c r="AW1" s="373"/>
      <c r="AX1" s="373"/>
      <c r="AY1" s="373"/>
      <c r="AZ1" s="373"/>
    </row>
    <row r="2" spans="1:53">
      <c r="A2" s="106"/>
      <c r="B2" s="373"/>
      <c r="C2" s="373"/>
      <c r="D2" s="373"/>
      <c r="E2" s="373"/>
      <c r="F2" s="373"/>
      <c r="G2" s="373"/>
      <c r="H2" s="378"/>
      <c r="I2" s="378"/>
      <c r="J2" s="373"/>
      <c r="K2" s="373"/>
      <c r="L2" s="373"/>
      <c r="M2" s="373"/>
      <c r="N2" s="373"/>
      <c r="O2" s="373"/>
      <c r="P2" s="378"/>
      <c r="Q2" s="378"/>
      <c r="R2" s="373"/>
      <c r="S2" s="373"/>
      <c r="T2" s="373"/>
      <c r="U2" s="373"/>
      <c r="V2" s="373"/>
      <c r="W2" s="373"/>
      <c r="X2" s="373"/>
      <c r="Y2" s="378"/>
      <c r="Z2" s="378"/>
      <c r="AA2" s="378"/>
      <c r="AB2" s="378"/>
      <c r="AC2" s="378"/>
      <c r="AD2" s="373"/>
      <c r="AE2" s="373"/>
      <c r="AF2" s="373"/>
      <c r="AG2" s="373"/>
      <c r="AH2" s="373"/>
      <c r="AI2" s="373"/>
      <c r="AJ2" s="373"/>
      <c r="AK2" s="378"/>
      <c r="AL2" s="373"/>
      <c r="AM2" s="373"/>
      <c r="AN2" s="373"/>
      <c r="AO2" s="373"/>
      <c r="AP2" s="378"/>
      <c r="AQ2" s="378"/>
      <c r="AR2" s="1040"/>
      <c r="AS2" s="34"/>
      <c r="AT2" s="373"/>
      <c r="AU2" s="373"/>
      <c r="AV2" s="373"/>
      <c r="AW2" s="373"/>
      <c r="AX2" s="378"/>
      <c r="AY2" s="373"/>
      <c r="AZ2" s="1037"/>
    </row>
    <row r="3" spans="1:53">
      <c r="A3" s="106"/>
      <c r="B3" s="373"/>
      <c r="C3" s="373"/>
      <c r="D3" s="1037"/>
      <c r="E3" s="373"/>
      <c r="F3" s="1037"/>
      <c r="G3" s="1037"/>
      <c r="H3" s="378"/>
      <c r="I3" s="378"/>
      <c r="J3" s="373"/>
      <c r="K3" s="373"/>
      <c r="L3" s="1037"/>
      <c r="M3" s="1037"/>
      <c r="N3" s="373"/>
      <c r="O3" s="373"/>
      <c r="P3" s="378"/>
      <c r="Q3" s="378"/>
      <c r="R3" s="373"/>
      <c r="S3" s="373"/>
      <c r="T3" s="373"/>
      <c r="U3" s="373"/>
      <c r="V3" s="373"/>
      <c r="W3" s="373"/>
      <c r="X3" s="373"/>
      <c r="Y3" s="378"/>
      <c r="Z3" s="378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8"/>
      <c r="AL3" s="373"/>
      <c r="AM3" s="373"/>
      <c r="AN3" s="373"/>
      <c r="AO3" s="373"/>
      <c r="AP3" s="378"/>
      <c r="AQ3" s="378"/>
      <c r="AR3" s="1037"/>
      <c r="AS3" s="34"/>
      <c r="AT3" s="373"/>
      <c r="AU3" s="373"/>
      <c r="AV3" s="373"/>
      <c r="AW3" s="373"/>
      <c r="AX3" s="378"/>
      <c r="AY3" s="373"/>
      <c r="AZ3" s="1037"/>
      <c r="BA3" s="489"/>
    </row>
    <row r="4" spans="1:53">
      <c r="A4" s="106"/>
      <c r="B4" s="1037"/>
      <c r="C4" s="106"/>
      <c r="D4" s="106"/>
      <c r="E4" s="373"/>
      <c r="F4" s="106"/>
      <c r="G4" s="106"/>
      <c r="H4" s="378"/>
      <c r="I4" s="378"/>
      <c r="J4" s="373"/>
      <c r="K4" s="373"/>
      <c r="L4" s="106"/>
      <c r="M4" s="106"/>
      <c r="N4" s="373"/>
      <c r="O4" s="373"/>
      <c r="P4" s="378"/>
      <c r="Q4" s="378"/>
      <c r="R4" s="373"/>
      <c r="S4" s="373"/>
      <c r="T4" s="106"/>
      <c r="U4" s="373"/>
      <c r="V4" s="373"/>
      <c r="W4" s="373"/>
      <c r="X4" s="373"/>
      <c r="Y4" s="378"/>
      <c r="Z4" s="378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8"/>
      <c r="AL4" s="373"/>
      <c r="AM4" s="373"/>
      <c r="AN4" s="373"/>
      <c r="AO4" s="373"/>
      <c r="AP4" s="396"/>
      <c r="AQ4" s="396"/>
      <c r="AR4" s="373"/>
      <c r="AS4" s="34"/>
      <c r="AT4" s="106"/>
      <c r="AU4" s="106"/>
      <c r="AV4" s="106"/>
      <c r="AW4" s="396"/>
      <c r="AX4" s="1042"/>
      <c r="AY4" s="373"/>
      <c r="AZ4" s="1037"/>
      <c r="BA4" s="489"/>
    </row>
    <row r="5" spans="1:53" s="368" customFormat="1">
      <c r="E5" s="1048" t="s">
        <v>1279</v>
      </c>
      <c r="J5" s="1088" t="s">
        <v>1279</v>
      </c>
      <c r="K5" s="1088"/>
      <c r="L5" s="1088"/>
      <c r="M5" s="1088"/>
      <c r="N5" s="1088"/>
      <c r="O5" s="1088"/>
      <c r="P5" s="1088"/>
      <c r="Q5" s="1088"/>
      <c r="R5" s="1088" t="s">
        <v>1279</v>
      </c>
      <c r="S5" s="1088"/>
      <c r="T5" s="1088"/>
      <c r="U5" s="1088"/>
      <c r="V5" s="1088"/>
      <c r="W5" s="1088"/>
      <c r="X5" s="1088"/>
      <c r="Y5" s="1088"/>
      <c r="Z5" s="368" t="s">
        <v>1279</v>
      </c>
      <c r="AJ5" s="368" t="s">
        <v>1279</v>
      </c>
      <c r="AS5" s="34"/>
      <c r="AT5" s="368" t="s">
        <v>1279</v>
      </c>
      <c r="AY5" s="373"/>
      <c r="BA5" s="489"/>
    </row>
    <row r="6" spans="1:53" s="368" customFormat="1">
      <c r="E6" s="1048" t="s">
        <v>1022</v>
      </c>
      <c r="J6" s="1088" t="s">
        <v>1022</v>
      </c>
      <c r="K6" s="1088"/>
      <c r="L6" s="1088"/>
      <c r="M6" s="1088"/>
      <c r="N6" s="1088"/>
      <c r="O6" s="1088"/>
      <c r="P6" s="1088"/>
      <c r="Q6" s="1088"/>
      <c r="R6" s="1088" t="s">
        <v>1022</v>
      </c>
      <c r="S6" s="1088"/>
      <c r="T6" s="1088"/>
      <c r="U6" s="1088"/>
      <c r="V6" s="1088"/>
      <c r="W6" s="1088"/>
      <c r="X6" s="1088"/>
      <c r="Y6" s="1088"/>
      <c r="Z6" s="368" t="s">
        <v>1022</v>
      </c>
      <c r="AJ6" s="368" t="s">
        <v>1022</v>
      </c>
      <c r="AS6" s="34"/>
      <c r="AV6" s="900" t="s">
        <v>1022</v>
      </c>
      <c r="AY6" s="373"/>
      <c r="BA6" s="489"/>
    </row>
    <row r="7" spans="1:53" s="368" customFormat="1">
      <c r="E7" s="1048" t="str">
        <f>keep_TESTYEAR</f>
        <v>FOR THE TWELVE MONTHS ENDED SEPTEMBER 30, 2016</v>
      </c>
      <c r="J7" s="1088" t="str">
        <f>keep_TESTYEAR</f>
        <v>FOR THE TWELVE MONTHS ENDED SEPTEMBER 30, 2016</v>
      </c>
      <c r="K7" s="1088"/>
      <c r="L7" s="1088"/>
      <c r="M7" s="1088"/>
      <c r="N7" s="1088"/>
      <c r="O7" s="1088"/>
      <c r="P7" s="1088"/>
      <c r="Q7" s="1088"/>
      <c r="R7" s="1088" t="str">
        <f>keep_TESTYEAR</f>
        <v>FOR THE TWELVE MONTHS ENDED SEPTEMBER 30, 2016</v>
      </c>
      <c r="S7" s="1088"/>
      <c r="T7" s="1088"/>
      <c r="U7" s="1088"/>
      <c r="V7" s="1088"/>
      <c r="W7" s="1088"/>
      <c r="X7" s="1088"/>
      <c r="Y7" s="1088"/>
      <c r="Z7" s="368" t="str">
        <f>keep_TESTYEAR</f>
        <v>FOR THE TWELVE MONTHS ENDED SEPTEMBER 30, 2016</v>
      </c>
      <c r="AJ7" s="368" t="str">
        <f>keep_TESTYEAR</f>
        <v>FOR THE TWELVE MONTHS ENDED SEPTEMBER 30, 2016</v>
      </c>
      <c r="AS7" s="34"/>
      <c r="AV7" s="900" t="str">
        <f>keep_TESTYEAR</f>
        <v>FOR THE TWELVE MONTHS ENDED SEPTEMBER 30, 2016</v>
      </c>
      <c r="AY7" s="373"/>
      <c r="BA7" s="489"/>
    </row>
    <row r="8" spans="1:53" s="365" customFormat="1">
      <c r="A8" s="107"/>
      <c r="B8"/>
      <c r="D8" s="368"/>
      <c r="E8" s="1048" t="s">
        <v>1278</v>
      </c>
      <c r="F8" s="368"/>
      <c r="G8" s="368"/>
      <c r="H8" s="368"/>
      <c r="I8" s="368"/>
      <c r="J8" s="1088" t="s">
        <v>1278</v>
      </c>
      <c r="K8" s="1088"/>
      <c r="L8" s="1088"/>
      <c r="M8" s="1088"/>
      <c r="N8" s="1088"/>
      <c r="O8" s="1088"/>
      <c r="P8" s="1088"/>
      <c r="Q8" s="1088"/>
      <c r="R8" s="1088" t="s">
        <v>1278</v>
      </c>
      <c r="S8" s="1088"/>
      <c r="T8" s="1088"/>
      <c r="U8" s="1088"/>
      <c r="V8" s="1088"/>
      <c r="W8" s="1088"/>
      <c r="X8" s="1088"/>
      <c r="Y8" s="1088"/>
      <c r="Z8" s="368" t="s">
        <v>1278</v>
      </c>
      <c r="AA8" s="368"/>
      <c r="AB8" s="368"/>
      <c r="AC8" s="368"/>
      <c r="AD8" s="368"/>
      <c r="AE8" s="368"/>
      <c r="AF8" s="368"/>
      <c r="AG8" s="368"/>
      <c r="AH8" s="368"/>
      <c r="AI8" s="368"/>
      <c r="AJ8" s="368" t="s">
        <v>1278</v>
      </c>
      <c r="AK8" s="368"/>
      <c r="AL8" s="368"/>
      <c r="AM8" s="368"/>
      <c r="AN8" s="368"/>
      <c r="AO8" s="368"/>
      <c r="AP8" s="368"/>
      <c r="AQ8" s="368"/>
      <c r="AR8" s="368"/>
      <c r="AS8" s="34"/>
      <c r="AT8" s="368" t="s">
        <v>1278</v>
      </c>
      <c r="AU8" s="368"/>
      <c r="AV8" s="368"/>
      <c r="AW8" s="368"/>
      <c r="AX8" s="368"/>
      <c r="AY8" s="373"/>
      <c r="AZ8" s="286"/>
      <c r="BA8" s="489"/>
    </row>
    <row r="9" spans="1:53" s="365" customFormat="1">
      <c r="A9" s="107"/>
      <c r="B9"/>
      <c r="C9" s="34"/>
      <c r="D9" s="34"/>
      <c r="E9" s="34"/>
      <c r="F9" s="34"/>
      <c r="G9" s="34"/>
      <c r="H9" s="34"/>
      <c r="I9" s="34"/>
      <c r="J9" s="76"/>
      <c r="K9" s="34"/>
      <c r="L9" s="34"/>
      <c r="M9" s="34"/>
      <c r="N9" s="34"/>
      <c r="O9" s="76"/>
      <c r="P9" s="34"/>
      <c r="Q9" s="34"/>
      <c r="R9" s="34"/>
      <c r="S9" s="34"/>
      <c r="T9" s="34"/>
      <c r="U9" s="34"/>
      <c r="V9" s="34"/>
      <c r="W9" s="34"/>
      <c r="X9" s="34"/>
      <c r="Z9" s="48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71"/>
      <c r="AU9" s="371"/>
      <c r="AV9" s="371"/>
      <c r="AW9" s="371"/>
      <c r="AX9" s="371"/>
      <c r="AY9" s="373"/>
      <c r="AZ9" s="286"/>
      <c r="BA9" s="489"/>
    </row>
    <row r="10" spans="1:53" s="365" customFormat="1">
      <c r="A10" s="107"/>
      <c r="B10"/>
      <c r="C10" s="34"/>
      <c r="D10" s="34"/>
      <c r="E10" s="34"/>
      <c r="F10" s="34"/>
      <c r="G10" s="34"/>
      <c r="H10" s="34"/>
      <c r="I10" s="630"/>
      <c r="J10" s="76"/>
      <c r="K10" s="34"/>
      <c r="L10" s="34"/>
      <c r="M10" s="34"/>
      <c r="N10" s="34"/>
      <c r="O10" s="76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76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71"/>
      <c r="AU10" s="371"/>
      <c r="AV10" s="371"/>
      <c r="AW10" s="371"/>
      <c r="AX10" s="371"/>
      <c r="AY10" s="373"/>
      <c r="AZ10" s="286"/>
      <c r="BA10" s="489"/>
    </row>
    <row r="11" spans="1:53" ht="13.5">
      <c r="A11" s="107"/>
      <c r="B11" s="717"/>
      <c r="C11" s="10" t="s">
        <v>329</v>
      </c>
      <c r="D11" s="630"/>
      <c r="E11" s="238"/>
      <c r="F11" s="630" t="s">
        <v>282</v>
      </c>
      <c r="G11" s="238"/>
      <c r="H11" s="238"/>
      <c r="I11" s="630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30"/>
      <c r="U11" s="630"/>
      <c r="V11" s="711"/>
      <c r="W11" s="711"/>
      <c r="X11" s="718"/>
      <c r="Y11" s="758"/>
      <c r="Z11" s="989"/>
      <c r="AA11" s="989"/>
      <c r="AB11" s="989"/>
      <c r="AC11" s="1087"/>
      <c r="AD11" s="797"/>
      <c r="AE11" s="630"/>
      <c r="AF11" s="718"/>
      <c r="AG11" s="630"/>
      <c r="AH11" s="630"/>
      <c r="AI11" s="630"/>
      <c r="AJ11" s="718"/>
      <c r="AK11" s="701"/>
      <c r="AL11" s="718"/>
      <c r="AM11" s="718"/>
      <c r="AN11" s="701"/>
      <c r="AO11" s="701"/>
      <c r="AP11" s="701"/>
      <c r="AQ11" s="989"/>
      <c r="AR11" s="630"/>
      <c r="AS11" s="630"/>
      <c r="AT11" s="630"/>
      <c r="AU11" s="630"/>
      <c r="AV11" s="630"/>
      <c r="AW11" s="630"/>
      <c r="AX11" s="630"/>
      <c r="AY11" s="373"/>
      <c r="AZ11" s="310"/>
      <c r="BA11" s="489"/>
    </row>
    <row r="12" spans="1:53" ht="18.75" customHeight="1">
      <c r="A12" s="107"/>
      <c r="B12" s="19"/>
      <c r="C12" s="10" t="s">
        <v>107</v>
      </c>
      <c r="D12" s="642" t="s">
        <v>90</v>
      </c>
      <c r="E12" s="642" t="s">
        <v>162</v>
      </c>
      <c r="F12" s="642" t="s">
        <v>236</v>
      </c>
      <c r="G12" s="642" t="s">
        <v>320</v>
      </c>
      <c r="H12" s="642" t="s">
        <v>1158</v>
      </c>
      <c r="I12" s="760" t="s">
        <v>373</v>
      </c>
      <c r="J12" s="642" t="s">
        <v>226</v>
      </c>
      <c r="K12" s="641" t="s">
        <v>321</v>
      </c>
      <c r="L12" s="727" t="s">
        <v>53</v>
      </c>
      <c r="M12" s="10" t="s">
        <v>195</v>
      </c>
      <c r="N12" s="10" t="s">
        <v>322</v>
      </c>
      <c r="O12" s="10" t="s">
        <v>328</v>
      </c>
      <c r="P12" s="10" t="s">
        <v>266</v>
      </c>
      <c r="Q12" s="10" t="s">
        <v>361</v>
      </c>
      <c r="R12" s="642" t="s">
        <v>366</v>
      </c>
      <c r="S12" s="10" t="s">
        <v>365</v>
      </c>
      <c r="T12" s="10" t="s">
        <v>324</v>
      </c>
      <c r="U12" s="740" t="s">
        <v>323</v>
      </c>
      <c r="V12" s="711" t="s">
        <v>635</v>
      </c>
      <c r="W12" s="736" t="s">
        <v>1016</v>
      </c>
      <c r="X12" s="711" t="s">
        <v>840</v>
      </c>
      <c r="Y12" s="758" t="s">
        <v>970</v>
      </c>
      <c r="Z12" s="1043" t="s">
        <v>1212</v>
      </c>
      <c r="AA12" s="1043" t="s">
        <v>1213</v>
      </c>
      <c r="AB12" s="1043" t="s">
        <v>1260</v>
      </c>
      <c r="AC12" s="1043" t="s">
        <v>1282</v>
      </c>
      <c r="AD12" s="797" t="s">
        <v>319</v>
      </c>
      <c r="AE12" s="642" t="s">
        <v>198</v>
      </c>
      <c r="AF12" s="642" t="s">
        <v>131</v>
      </c>
      <c r="AG12" s="642" t="s">
        <v>74</v>
      </c>
      <c r="AH12" s="642" t="s">
        <v>327</v>
      </c>
      <c r="AI12" s="776" t="s">
        <v>238</v>
      </c>
      <c r="AJ12" s="730" t="s">
        <v>580</v>
      </c>
      <c r="AK12" s="701" t="s">
        <v>637</v>
      </c>
      <c r="AL12" s="731" t="s">
        <v>790</v>
      </c>
      <c r="AM12" s="701" t="s">
        <v>798</v>
      </c>
      <c r="AN12" s="701" t="s">
        <v>837</v>
      </c>
      <c r="AO12" s="701" t="s">
        <v>900</v>
      </c>
      <c r="AP12" s="776" t="s">
        <v>325</v>
      </c>
      <c r="AQ12" s="1043" t="s">
        <v>1215</v>
      </c>
      <c r="AR12" s="10" t="s">
        <v>94</v>
      </c>
      <c r="AS12" s="10" t="s">
        <v>348</v>
      </c>
      <c r="AT12" s="10"/>
      <c r="AU12" s="10"/>
      <c r="AV12" s="372" t="s">
        <v>348</v>
      </c>
      <c r="AW12" s="10" t="s">
        <v>143</v>
      </c>
      <c r="AX12" s="10" t="s">
        <v>350</v>
      </c>
      <c r="AY12" s="19"/>
      <c r="BA12" s="489"/>
    </row>
    <row r="13" spans="1:53">
      <c r="A13" s="80" t="s">
        <v>313</v>
      </c>
      <c r="B13" s="19"/>
      <c r="C13" s="372" t="s">
        <v>3</v>
      </c>
      <c r="D13" s="642" t="s">
        <v>231</v>
      </c>
      <c r="E13" s="642" t="s">
        <v>175</v>
      </c>
      <c r="F13" s="642" t="s">
        <v>237</v>
      </c>
      <c r="G13" s="27" t="s">
        <v>97</v>
      </c>
      <c r="H13" s="27" t="s">
        <v>1159</v>
      </c>
      <c r="I13" s="642" t="s">
        <v>582</v>
      </c>
      <c r="J13" s="642" t="s">
        <v>227</v>
      </c>
      <c r="K13" s="641" t="s">
        <v>99</v>
      </c>
      <c r="L13" s="642" t="s">
        <v>52</v>
      </c>
      <c r="M13" s="27" t="s">
        <v>98</v>
      </c>
      <c r="N13" s="27" t="s">
        <v>101</v>
      </c>
      <c r="O13" s="10" t="s">
        <v>106</v>
      </c>
      <c r="P13" s="10" t="s">
        <v>364</v>
      </c>
      <c r="Q13" s="64" t="s">
        <v>362</v>
      </c>
      <c r="R13" s="64" t="s">
        <v>104</v>
      </c>
      <c r="S13" s="10" t="s">
        <v>314</v>
      </c>
      <c r="T13" s="10" t="s">
        <v>104</v>
      </c>
      <c r="U13" s="10" t="s">
        <v>98</v>
      </c>
      <c r="V13" s="711" t="s">
        <v>636</v>
      </c>
      <c r="W13" s="711" t="s">
        <v>1017</v>
      </c>
      <c r="X13" s="711" t="s">
        <v>841</v>
      </c>
      <c r="Y13" s="758" t="s">
        <v>964</v>
      </c>
      <c r="Z13" s="1043" t="s">
        <v>1211</v>
      </c>
      <c r="AA13" s="1043" t="s">
        <v>1214</v>
      </c>
      <c r="AB13" s="1043" t="s">
        <v>1261</v>
      </c>
      <c r="AC13" s="1043" t="s">
        <v>1283</v>
      </c>
      <c r="AD13" s="797" t="s">
        <v>96</v>
      </c>
      <c r="AE13" s="27" t="s">
        <v>102</v>
      </c>
      <c r="AF13" s="642" t="s">
        <v>132</v>
      </c>
      <c r="AG13" s="642" t="s">
        <v>72</v>
      </c>
      <c r="AH13" s="642" t="s">
        <v>105</v>
      </c>
      <c r="AI13" s="776" t="s">
        <v>222</v>
      </c>
      <c r="AJ13" s="701" t="s">
        <v>581</v>
      </c>
      <c r="AK13" s="701" t="s">
        <v>638</v>
      </c>
      <c r="AL13" s="701" t="s">
        <v>791</v>
      </c>
      <c r="AM13" s="701" t="s">
        <v>791</v>
      </c>
      <c r="AN13" s="701" t="s">
        <v>838</v>
      </c>
      <c r="AO13" s="701" t="s">
        <v>892</v>
      </c>
      <c r="AP13" s="776" t="s">
        <v>87</v>
      </c>
      <c r="AQ13" s="1043" t="s">
        <v>1216</v>
      </c>
      <c r="AR13" s="51" t="s">
        <v>156</v>
      </c>
      <c r="AS13" s="10" t="s">
        <v>107</v>
      </c>
      <c r="AT13" s="10" t="s">
        <v>344</v>
      </c>
      <c r="AU13" s="10" t="s">
        <v>94</v>
      </c>
      <c r="AV13" s="372" t="s">
        <v>107</v>
      </c>
      <c r="AW13" s="10" t="s">
        <v>349</v>
      </c>
      <c r="AX13" s="10" t="s">
        <v>109</v>
      </c>
      <c r="AY13" s="10"/>
      <c r="BA13" s="489"/>
    </row>
    <row r="14" spans="1:53" s="399" customFormat="1">
      <c r="A14" s="80" t="s">
        <v>330</v>
      </c>
      <c r="B14" s="371"/>
      <c r="C14" s="512">
        <v>1</v>
      </c>
      <c r="D14" s="512">
        <v>6.01</v>
      </c>
      <c r="E14" s="512">
        <f t="shared" ref="E14:X14" si="0">D14+0.01</f>
        <v>6.02</v>
      </c>
      <c r="F14" s="512">
        <f t="shared" si="0"/>
        <v>6.0299999999999994</v>
      </c>
      <c r="G14" s="512">
        <f t="shared" si="0"/>
        <v>6.0399999999999991</v>
      </c>
      <c r="H14" s="512">
        <f t="shared" si="0"/>
        <v>6.0499999999999989</v>
      </c>
      <c r="I14" s="512">
        <f t="shared" si="0"/>
        <v>6.0599999999999987</v>
      </c>
      <c r="J14" s="512">
        <f t="shared" si="0"/>
        <v>6.0699999999999985</v>
      </c>
      <c r="K14" s="512">
        <f t="shared" si="0"/>
        <v>6.0799999999999983</v>
      </c>
      <c r="L14" s="512">
        <f t="shared" si="0"/>
        <v>6.0899999999999981</v>
      </c>
      <c r="M14" s="512">
        <f t="shared" si="0"/>
        <v>6.0999999999999979</v>
      </c>
      <c r="N14" s="512">
        <f t="shared" si="0"/>
        <v>6.1099999999999977</v>
      </c>
      <c r="O14" s="512">
        <f t="shared" si="0"/>
        <v>6.1199999999999974</v>
      </c>
      <c r="P14" s="512">
        <f t="shared" si="0"/>
        <v>6.1299999999999972</v>
      </c>
      <c r="Q14" s="512">
        <f t="shared" si="0"/>
        <v>6.139999999999997</v>
      </c>
      <c r="R14" s="512">
        <f t="shared" si="0"/>
        <v>6.1499999999999968</v>
      </c>
      <c r="S14" s="512">
        <f t="shared" si="0"/>
        <v>6.1599999999999966</v>
      </c>
      <c r="T14" s="512">
        <f t="shared" si="0"/>
        <v>6.1699999999999964</v>
      </c>
      <c r="U14" s="512">
        <f t="shared" si="0"/>
        <v>6.1799999999999962</v>
      </c>
      <c r="V14" s="512">
        <f t="shared" si="0"/>
        <v>6.1899999999999959</v>
      </c>
      <c r="W14" s="512">
        <f t="shared" si="0"/>
        <v>6.1999999999999957</v>
      </c>
      <c r="X14" s="512">
        <f t="shared" si="0"/>
        <v>6.2099999999999955</v>
      </c>
      <c r="Y14" s="512">
        <f>X14+0.01</f>
        <v>6.2199999999999953</v>
      </c>
      <c r="Z14" s="1044" t="s">
        <v>1191</v>
      </c>
      <c r="AA14" s="1044" t="s">
        <v>1196</v>
      </c>
      <c r="AB14" s="1044" t="s">
        <v>1217</v>
      </c>
      <c r="AC14" s="1044" t="s">
        <v>1281</v>
      </c>
      <c r="AD14" s="512">
        <v>7.01</v>
      </c>
      <c r="AE14" s="512">
        <f t="shared" ref="AE14:AO14" si="1">AD14+0.01</f>
        <v>7.02</v>
      </c>
      <c r="AF14" s="512">
        <f t="shared" si="1"/>
        <v>7.0299999999999994</v>
      </c>
      <c r="AG14" s="512">
        <f t="shared" si="1"/>
        <v>7.0399999999999991</v>
      </c>
      <c r="AH14" s="512">
        <f t="shared" si="1"/>
        <v>7.0499999999999989</v>
      </c>
      <c r="AI14" s="512">
        <f>AH14+0.01</f>
        <v>7.0599999999999987</v>
      </c>
      <c r="AJ14" s="512">
        <f>AI14+0.01</f>
        <v>7.0699999999999985</v>
      </c>
      <c r="AK14" s="512">
        <f>AJ14+0.01</f>
        <v>7.0799999999999983</v>
      </c>
      <c r="AL14" s="512">
        <f t="shared" si="1"/>
        <v>7.0899999999999981</v>
      </c>
      <c r="AM14" s="512">
        <f t="shared" si="1"/>
        <v>7.0999999999999979</v>
      </c>
      <c r="AN14" s="512">
        <f t="shared" si="1"/>
        <v>7.1099999999999977</v>
      </c>
      <c r="AO14" s="512">
        <f t="shared" si="1"/>
        <v>7.1199999999999974</v>
      </c>
      <c r="AP14" s="512">
        <f>AO14+0.01</f>
        <v>7.1299999999999972</v>
      </c>
      <c r="AQ14" s="1044" t="s">
        <v>1194</v>
      </c>
      <c r="AR14" s="396"/>
      <c r="AS14" s="396" t="s">
        <v>108</v>
      </c>
      <c r="AT14" s="396" t="s">
        <v>345</v>
      </c>
      <c r="AU14" s="396" t="s">
        <v>156</v>
      </c>
      <c r="AV14" s="396" t="s">
        <v>108</v>
      </c>
      <c r="AW14" s="396" t="str">
        <f>IF(AW21&lt;0,"SURPLUS","DEFICIENCY")</f>
        <v>DEFICIENCY</v>
      </c>
      <c r="AX14" s="396" t="str">
        <f>IF(AW21&lt;0,"DECREASE","INCREASE")</f>
        <v>INCREASE</v>
      </c>
      <c r="AY14" s="372"/>
      <c r="AZ14" s="104"/>
      <c r="BA14" s="489"/>
    </row>
    <row r="15" spans="1:53" ht="13.5" thickBot="1">
      <c r="A15" s="84" t="s">
        <v>111</v>
      </c>
      <c r="B15" s="17"/>
      <c r="C15" s="8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51"/>
    </row>
    <row r="16" spans="1:53" s="365" customFormat="1">
      <c r="A16" s="375">
        <v>1</v>
      </c>
      <c r="B16" s="377" t="s">
        <v>115</v>
      </c>
      <c r="C16" s="54"/>
      <c r="D16" s="96"/>
      <c r="E16" s="96"/>
      <c r="F16" s="96"/>
      <c r="G16" s="96"/>
      <c r="H16" s="96"/>
      <c r="I16" s="96"/>
      <c r="J16" s="374"/>
      <c r="K16" s="111"/>
      <c r="L16" s="96"/>
      <c r="M16" s="96"/>
      <c r="N16" s="96"/>
      <c r="O16" s="374"/>
      <c r="P16" s="96"/>
      <c r="Q16" s="374"/>
      <c r="R16" s="374"/>
      <c r="S16" s="96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96"/>
      <c r="AE16" s="374"/>
      <c r="AF16" s="374"/>
      <c r="AG16" s="377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374"/>
      <c r="AS16" s="96"/>
      <c r="AT16" s="374"/>
      <c r="AU16" s="374"/>
      <c r="AV16" s="374"/>
      <c r="AW16" s="374"/>
      <c r="AX16" s="374"/>
      <c r="AY16" s="374"/>
      <c r="AZ16" s="215" t="s">
        <v>176</v>
      </c>
    </row>
    <row r="17" spans="1:54" s="365" customFormat="1" ht="13.5" thickBot="1">
      <c r="A17" s="375">
        <f t="shared" ref="A17:A62" si="2">A16+1</f>
        <v>2</v>
      </c>
      <c r="B17" s="377" t="s">
        <v>294</v>
      </c>
      <c r="C17" s="284">
        <f>[13]Allocated!$B9</f>
        <v>2146048308.1900001</v>
      </c>
      <c r="D17" s="284">
        <f>'BGM-3 (4) Rstng Adj'!D23-'BGM-3 (4) Rstng Adj'!D20</f>
        <v>-18636297.520117842</v>
      </c>
      <c r="E17" s="284">
        <f>'BGM-3 (4) Rstng Adj'!L41-'BGM-3 (4) Rstng Adj'!K39</f>
        <v>28308135</v>
      </c>
      <c r="F17" s="284">
        <f>-('BGM-3 (4) Rstng Adj'!Q27-'BGM-3 (4) Rstng Adj'!Q21-'BGM-3 (4) Rstng Adj'!Q25-'BGM-3 (4) Rstng Adj'!Q17)</f>
        <v>-192533060.51000002</v>
      </c>
      <c r="G17" s="284">
        <v>0</v>
      </c>
      <c r="H17" s="284">
        <v>0</v>
      </c>
      <c r="I17" s="284">
        <v>0</v>
      </c>
      <c r="J17" s="284"/>
      <c r="K17" s="284">
        <v>0</v>
      </c>
      <c r="L17" s="284"/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0</v>
      </c>
      <c r="AB17" s="284">
        <v>0</v>
      </c>
      <c r="AC17" s="284">
        <v>0</v>
      </c>
      <c r="AD17" s="284"/>
      <c r="AE17" s="284">
        <v>0</v>
      </c>
      <c r="AF17" s="284"/>
      <c r="AG17" s="284">
        <v>0</v>
      </c>
      <c r="AH17" s="284">
        <v>0</v>
      </c>
      <c r="AI17" s="284">
        <v>0</v>
      </c>
      <c r="AJ17" s="284"/>
      <c r="AK17" s="284"/>
      <c r="AL17" s="284"/>
      <c r="AM17" s="284"/>
      <c r="AN17" s="284"/>
      <c r="AO17" s="284"/>
      <c r="AP17" s="284"/>
      <c r="AQ17" s="284"/>
      <c r="AR17" s="284">
        <f>SUM(D17:AQ17)</f>
        <v>-182861223.03011787</v>
      </c>
      <c r="AS17" s="284">
        <f>AR17+C17</f>
        <v>1963187085.1598821</v>
      </c>
      <c r="AT17" s="284">
        <f>C17</f>
        <v>2146048308.1900001</v>
      </c>
      <c r="AU17" s="284">
        <f>+AR17</f>
        <v>-182861223.03011787</v>
      </c>
      <c r="AV17" s="284">
        <f>SUM(AT17:AU17)</f>
        <v>1963187085.1598821</v>
      </c>
      <c r="AW17" s="284">
        <f>'BGM-3 (3) Param'!C25</f>
        <v>28457142.442258082</v>
      </c>
      <c r="AX17" s="284">
        <f>SUM(AV17:AW17)</f>
        <v>1991644227.6021402</v>
      </c>
      <c r="AY17" s="374"/>
      <c r="AZ17" s="612">
        <f>AW17/AV17</f>
        <v>1.4495379812434194E-2</v>
      </c>
      <c r="BA17" s="308"/>
      <c r="BB17" s="308"/>
    </row>
    <row r="18" spans="1:54" s="365" customFormat="1">
      <c r="A18" s="375">
        <f t="shared" si="2"/>
        <v>3</v>
      </c>
      <c r="B18" s="377" t="s">
        <v>57</v>
      </c>
      <c r="C18" s="251">
        <f>[13]Allocated!$B10</f>
        <v>324382.2</v>
      </c>
      <c r="D18" s="251">
        <f>'BGM-3 (4) Rstng Adj'!D20</f>
        <v>146.57999999999811</v>
      </c>
      <c r="E18" s="251">
        <f>'BGM-3 (4) Rstng Adj'!K39</f>
        <v>5118</v>
      </c>
      <c r="F18" s="251">
        <f>-'BGM-3 (4) Rstng Adj'!Q17</f>
        <v>-13257.679999999998</v>
      </c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>
        <f>SUM(D18:AQ18)</f>
        <v>-7993.1</v>
      </c>
      <c r="AS18" s="251">
        <f>AR18+C18</f>
        <v>316389.10000000003</v>
      </c>
      <c r="AT18" s="133">
        <f>C18</f>
        <v>324382.2</v>
      </c>
      <c r="AU18" s="251">
        <f>+AR18</f>
        <v>-7993.1</v>
      </c>
      <c r="AV18" s="251">
        <f>SUM(AT18:AU18)</f>
        <v>316389.10000000003</v>
      </c>
      <c r="AW18" s="133">
        <f>'BGM-3 (3) Param'!C24+'BGM-3 (3) Param'!C23</f>
        <v>406089.5577419175</v>
      </c>
      <c r="AX18" s="133">
        <f>SUM(AV18:AW18)</f>
        <v>722478.65774191753</v>
      </c>
      <c r="AY18" s="374"/>
      <c r="AZ18" s="313"/>
      <c r="BA18" s="308"/>
      <c r="BB18" s="308"/>
    </row>
    <row r="19" spans="1:54" s="365" customFormat="1">
      <c r="A19" s="375">
        <f t="shared" si="2"/>
        <v>4</v>
      </c>
      <c r="B19" s="377" t="s">
        <v>296</v>
      </c>
      <c r="C19" s="251">
        <f>[13]Allocated!$B11</f>
        <v>201125741.739999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>
        <f>-'BGM-3 (5) PF Adj.'!E19</f>
        <v>-172694095.42065951</v>
      </c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>
        <f>SUM(D19:AQ19)</f>
        <v>-172694095.42065951</v>
      </c>
      <c r="AS19" s="251">
        <f>AR19+C19</f>
        <v>28431646.319339484</v>
      </c>
      <c r="AT19" s="133">
        <f>C19</f>
        <v>201125741.739999</v>
      </c>
      <c r="AU19" s="251">
        <f>+AR19</f>
        <v>-172694095.42065951</v>
      </c>
      <c r="AV19" s="251">
        <f>SUM(AT19:AU19)</f>
        <v>28431646.319339484</v>
      </c>
      <c r="AW19" s="133"/>
      <c r="AX19" s="534">
        <f>SUM(AV19:AW19)</f>
        <v>28431646.319339484</v>
      </c>
      <c r="AY19" s="251"/>
      <c r="AZ19" s="313"/>
      <c r="BA19" s="308"/>
      <c r="BB19" s="308"/>
    </row>
    <row r="20" spans="1:54" s="365" customFormat="1">
      <c r="A20" s="375">
        <f t="shared" si="2"/>
        <v>5</v>
      </c>
      <c r="B20" s="377" t="s">
        <v>297</v>
      </c>
      <c r="C20" s="251">
        <f>[13]Allocated!$B12</f>
        <v>47841338.950000003</v>
      </c>
      <c r="D20" s="328">
        <f>'BGM-3 (4) Rstng Adj'!D32</f>
        <v>-10225162.969999999</v>
      </c>
      <c r="E20" s="284"/>
      <c r="F20" s="328">
        <f>-SUM('BGM-3 (4) Rstng Adj'!Q21,'BGM-3 (4) Rstng Adj'!Q25)</f>
        <v>-278052.84999999986</v>
      </c>
      <c r="G20" s="328"/>
      <c r="H20" s="328" t="s">
        <v>282</v>
      </c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>
        <f>-'BGM-3 (5) PF Adj.'!E20-'BGM-3 (5) PF Adj.'!E24</f>
        <v>35075789.499883018</v>
      </c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>
        <f>SUM(D20:AQ20)</f>
        <v>24572573.679883018</v>
      </c>
      <c r="AS20" s="328">
        <f>AR20+C20</f>
        <v>72413912.629883021</v>
      </c>
      <c r="AT20" s="285">
        <f>C20</f>
        <v>47841338.950000003</v>
      </c>
      <c r="AU20" s="328">
        <f>+AR20</f>
        <v>24572573.679883018</v>
      </c>
      <c r="AV20" s="328">
        <f>SUM(AT20:AU20)</f>
        <v>72413912.629883021</v>
      </c>
      <c r="AW20" s="285"/>
      <c r="AX20" s="285">
        <f>SUM(AV20:AW20)</f>
        <v>72413912.629883021</v>
      </c>
      <c r="AY20" s="251"/>
      <c r="AZ20" s="313"/>
      <c r="BA20" s="308"/>
      <c r="BB20" s="308"/>
    </row>
    <row r="21" spans="1:54" s="365" customFormat="1">
      <c r="A21" s="375">
        <f t="shared" si="2"/>
        <v>6</v>
      </c>
      <c r="B21" s="377" t="s">
        <v>298</v>
      </c>
      <c r="C21" s="778">
        <f t="shared" ref="C21:I21" si="3">SUM(C17:C20)</f>
        <v>2395339771.079999</v>
      </c>
      <c r="D21" s="778">
        <f t="shared" si="3"/>
        <v>-28861313.910117842</v>
      </c>
      <c r="E21" s="778">
        <f t="shared" si="3"/>
        <v>28313253</v>
      </c>
      <c r="F21" s="778">
        <f t="shared" si="3"/>
        <v>-192824371.04000002</v>
      </c>
      <c r="G21" s="778">
        <f t="shared" si="3"/>
        <v>0</v>
      </c>
      <c r="H21" s="778">
        <f t="shared" si="3"/>
        <v>0</v>
      </c>
      <c r="I21" s="778">
        <f t="shared" si="3"/>
        <v>0</v>
      </c>
      <c r="J21" s="778"/>
      <c r="K21" s="778">
        <f t="shared" ref="K21:Y21" si="4">SUM(K17:K20)</f>
        <v>0</v>
      </c>
      <c r="L21" s="778">
        <f t="shared" si="4"/>
        <v>0</v>
      </c>
      <c r="M21" s="778">
        <f t="shared" si="4"/>
        <v>0</v>
      </c>
      <c r="N21" s="778">
        <f t="shared" si="4"/>
        <v>0</v>
      </c>
      <c r="O21" s="778">
        <f t="shared" si="4"/>
        <v>0</v>
      </c>
      <c r="P21" s="778">
        <f t="shared" si="4"/>
        <v>0</v>
      </c>
      <c r="Q21" s="778">
        <f t="shared" si="4"/>
        <v>0</v>
      </c>
      <c r="R21" s="778">
        <f t="shared" si="4"/>
        <v>0</v>
      </c>
      <c r="S21" s="778">
        <f t="shared" si="4"/>
        <v>0</v>
      </c>
      <c r="T21" s="778">
        <f t="shared" si="4"/>
        <v>0</v>
      </c>
      <c r="U21" s="778">
        <f t="shared" si="4"/>
        <v>0</v>
      </c>
      <c r="V21" s="778">
        <f t="shared" si="4"/>
        <v>0</v>
      </c>
      <c r="W21" s="778">
        <f t="shared" si="4"/>
        <v>0</v>
      </c>
      <c r="X21" s="778">
        <f t="shared" si="4"/>
        <v>0</v>
      </c>
      <c r="Y21" s="778">
        <f t="shared" si="4"/>
        <v>0</v>
      </c>
      <c r="Z21" s="778">
        <f t="shared" ref="Z21:AA21" si="5">SUM(Z17:Z20)</f>
        <v>0</v>
      </c>
      <c r="AA21" s="778">
        <f t="shared" si="5"/>
        <v>0</v>
      </c>
      <c r="AB21" s="778">
        <f t="shared" ref="AB21:AC21" si="6">SUM(AB17:AB20)</f>
        <v>0</v>
      </c>
      <c r="AC21" s="778">
        <f t="shared" si="6"/>
        <v>0</v>
      </c>
      <c r="AD21" s="778">
        <f>SUM(AD17:AD20)</f>
        <v>-137618305.92077649</v>
      </c>
      <c r="AE21" s="778">
        <f>SUM(AE17:AE20)</f>
        <v>0</v>
      </c>
      <c r="AF21" s="778"/>
      <c r="AG21" s="778">
        <f t="shared" ref="AG21:AP21" si="7">SUM(AG17:AG20)</f>
        <v>0</v>
      </c>
      <c r="AH21" s="778">
        <f t="shared" si="7"/>
        <v>0</v>
      </c>
      <c r="AI21" s="778">
        <f t="shared" si="7"/>
        <v>0</v>
      </c>
      <c r="AJ21" s="778">
        <f t="shared" si="7"/>
        <v>0</v>
      </c>
      <c r="AK21" s="778">
        <f t="shared" si="7"/>
        <v>0</v>
      </c>
      <c r="AL21" s="778">
        <f t="shared" si="7"/>
        <v>0</v>
      </c>
      <c r="AM21" s="778">
        <f t="shared" si="7"/>
        <v>0</v>
      </c>
      <c r="AN21" s="778">
        <f t="shared" si="7"/>
        <v>0</v>
      </c>
      <c r="AO21" s="778">
        <f t="shared" si="7"/>
        <v>0</v>
      </c>
      <c r="AP21" s="778">
        <f t="shared" si="7"/>
        <v>0</v>
      </c>
      <c r="AQ21" s="778">
        <f t="shared" ref="AQ21" si="8">SUM(AQ17:AQ20)</f>
        <v>0</v>
      </c>
      <c r="AR21" s="778">
        <f>SUM(D21:AQ21)</f>
        <v>-330990737.87089431</v>
      </c>
      <c r="AS21" s="778">
        <f>AR21+C21</f>
        <v>2064349033.2091045</v>
      </c>
      <c r="AT21" s="779">
        <f>SUM(AT17:AT20)</f>
        <v>2395339771.079999</v>
      </c>
      <c r="AU21" s="778">
        <f>SUM(AU17:AU20)</f>
        <v>-330990737.87089437</v>
      </c>
      <c r="AV21" s="778">
        <f>SUM(AV17:AV20)</f>
        <v>2064349033.2091045</v>
      </c>
      <c r="AW21" s="779">
        <f>SUM(AW17:AW20)</f>
        <v>28863232</v>
      </c>
      <c r="AX21" s="778">
        <f>SUM(AX17:AX20)</f>
        <v>2093212265.2091048</v>
      </c>
      <c r="AY21" s="328"/>
      <c r="AZ21" s="313"/>
      <c r="BA21" s="308"/>
      <c r="BB21" s="308"/>
    </row>
    <row r="22" spans="1:54" s="365" customFormat="1">
      <c r="A22" s="375">
        <f t="shared" si="2"/>
        <v>7</v>
      </c>
      <c r="B22" s="374"/>
      <c r="C22" s="251"/>
      <c r="D22" s="54" t="s">
        <v>282</v>
      </c>
      <c r="E22" s="54" t="s">
        <v>282</v>
      </c>
      <c r="F22" s="54"/>
      <c r="G22" s="54" t="s">
        <v>282</v>
      </c>
      <c r="H22" s="54" t="s">
        <v>282</v>
      </c>
      <c r="I22" s="54"/>
      <c r="J22" s="54"/>
      <c r="K22" s="54" t="s">
        <v>282</v>
      </c>
      <c r="L22" s="54"/>
      <c r="M22" s="54" t="s">
        <v>282</v>
      </c>
      <c r="N22" s="54" t="s">
        <v>282</v>
      </c>
      <c r="O22" s="54"/>
      <c r="P22" s="54" t="s">
        <v>282</v>
      </c>
      <c r="Q22" s="54"/>
      <c r="R22" s="54"/>
      <c r="S22" s="54" t="s">
        <v>282</v>
      </c>
      <c r="T22" s="54" t="s">
        <v>282</v>
      </c>
      <c r="U22" s="54" t="s">
        <v>282</v>
      </c>
      <c r="V22" s="54"/>
      <c r="W22" s="54"/>
      <c r="X22" s="54"/>
      <c r="Y22" s="54"/>
      <c r="Z22" s="54"/>
      <c r="AA22" s="54"/>
      <c r="AB22" s="54"/>
      <c r="AC22" s="54"/>
      <c r="AD22" s="54"/>
      <c r="AE22" s="54" t="s">
        <v>282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 t="s">
        <v>282</v>
      </c>
      <c r="AQ22" s="54"/>
      <c r="AR22" s="54"/>
      <c r="AS22" s="54"/>
      <c r="AT22" s="133"/>
      <c r="AU22" s="54"/>
      <c r="AV22" s="54"/>
      <c r="AW22" s="133"/>
      <c r="AX22" s="133"/>
      <c r="AY22" s="328"/>
      <c r="AZ22" s="313"/>
      <c r="BA22" s="308"/>
      <c r="BB22" s="308"/>
    </row>
    <row r="23" spans="1:54" s="365" customFormat="1">
      <c r="A23" s="375">
        <f t="shared" si="2"/>
        <v>8</v>
      </c>
      <c r="B23" s="377" t="s">
        <v>299</v>
      </c>
      <c r="C23" s="25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133"/>
      <c r="AU23" s="54"/>
      <c r="AV23" s="54"/>
      <c r="AW23" s="133"/>
      <c r="AX23" s="133"/>
      <c r="AY23" s="54"/>
      <c r="AZ23" s="313"/>
      <c r="BA23" s="308"/>
      <c r="BB23" s="308"/>
    </row>
    <row r="24" spans="1:54" s="365" customFormat="1">
      <c r="A24" s="375">
        <f t="shared" si="2"/>
        <v>9</v>
      </c>
      <c r="B24" s="374"/>
      <c r="C24" s="307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133"/>
      <c r="AU24" s="374"/>
      <c r="AV24" s="374"/>
      <c r="AW24" s="133"/>
      <c r="AX24" s="133"/>
      <c r="AY24" s="54"/>
      <c r="AZ24" s="313"/>
      <c r="BA24" s="308"/>
      <c r="BB24" s="308"/>
    </row>
    <row r="25" spans="1:54" s="365" customFormat="1">
      <c r="A25" s="375">
        <f t="shared" si="2"/>
        <v>10</v>
      </c>
      <c r="B25" s="377" t="s">
        <v>300</v>
      </c>
      <c r="C25" s="251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133"/>
      <c r="AU25" s="54"/>
      <c r="AV25" s="54"/>
      <c r="AW25" s="133"/>
      <c r="AX25" s="133"/>
      <c r="AY25" s="374"/>
      <c r="AZ25" s="313"/>
      <c r="BA25" s="308"/>
      <c r="BB25" s="308"/>
    </row>
    <row r="26" spans="1:54" s="365" customFormat="1">
      <c r="A26" s="375">
        <f t="shared" si="2"/>
        <v>11</v>
      </c>
      <c r="B26" s="377" t="s">
        <v>301</v>
      </c>
      <c r="C26" s="251">
        <f>[13]Allocated!$B18</f>
        <v>235002886.5</v>
      </c>
      <c r="D26" s="251">
        <v>0</v>
      </c>
      <c r="E26" s="251"/>
      <c r="F26" s="251"/>
      <c r="G26" s="251">
        <v>0</v>
      </c>
      <c r="H26" s="251">
        <v>0</v>
      </c>
      <c r="I26" s="251">
        <v>0</v>
      </c>
      <c r="J26" s="251"/>
      <c r="K26" s="251">
        <v>0</v>
      </c>
      <c r="L26" s="251"/>
      <c r="M26" s="251">
        <v>0</v>
      </c>
      <c r="N26" s="251">
        <v>0</v>
      </c>
      <c r="O26" s="251">
        <v>0</v>
      </c>
      <c r="P26" s="251">
        <v>0</v>
      </c>
      <c r="Q26" s="251">
        <v>0</v>
      </c>
      <c r="R26" s="251">
        <v>0</v>
      </c>
      <c r="S26" s="251">
        <v>0</v>
      </c>
      <c r="T26" s="251">
        <v>0</v>
      </c>
      <c r="U26" s="251">
        <v>0</v>
      </c>
      <c r="V26" s="251"/>
      <c r="W26" s="251"/>
      <c r="X26" s="251"/>
      <c r="Y26" s="251"/>
      <c r="Z26" s="251"/>
      <c r="AA26" s="251"/>
      <c r="AB26" s="251"/>
      <c r="AC26" s="251"/>
      <c r="AD26" s="251">
        <f>+'BGM-3 (5) PF Adj.'!E14+'BGM-3 (5) PF Adj.'!E15</f>
        <v>-27358719.839562535</v>
      </c>
      <c r="AE26" s="251">
        <v>0</v>
      </c>
      <c r="AF26" s="251"/>
      <c r="AG26" s="251">
        <v>0</v>
      </c>
      <c r="AH26" s="251">
        <v>0</v>
      </c>
      <c r="AI26" s="251"/>
      <c r="AJ26" s="251"/>
      <c r="AK26" s="251"/>
      <c r="AL26" s="251"/>
      <c r="AM26" s="251"/>
      <c r="AN26" s="251"/>
      <c r="AO26" s="251"/>
      <c r="AP26" s="251"/>
      <c r="AQ26" s="251"/>
      <c r="AR26" s="251">
        <f>SUM(D26:AQ26)</f>
        <v>-27358719.839562535</v>
      </c>
      <c r="AS26" s="251">
        <f>AR26+C26</f>
        <v>207644166.66043746</v>
      </c>
      <c r="AT26" s="534">
        <f>C26</f>
        <v>235002886.5</v>
      </c>
      <c r="AU26" s="251">
        <f>+AR26</f>
        <v>-27358719.839562535</v>
      </c>
      <c r="AV26" s="251">
        <f>SUM(AT26:AU26)</f>
        <v>207644166.66043746</v>
      </c>
      <c r="AW26" s="534">
        <v>0</v>
      </c>
      <c r="AX26" s="534">
        <f>SUM(AV26:AW26)</f>
        <v>207644166.66043746</v>
      </c>
      <c r="AY26" s="54"/>
      <c r="AZ26" s="313"/>
      <c r="BA26" s="308"/>
      <c r="BB26" s="308"/>
    </row>
    <row r="27" spans="1:54" s="365" customFormat="1">
      <c r="A27" s="375">
        <f t="shared" si="2"/>
        <v>12</v>
      </c>
      <c r="B27" s="377" t="s">
        <v>302</v>
      </c>
      <c r="C27" s="251">
        <f>[13]Allocated!$B19</f>
        <v>532346459.37</v>
      </c>
      <c r="D27" s="251"/>
      <c r="E27" s="251"/>
      <c r="F27" s="251"/>
      <c r="G27" s="251"/>
      <c r="H27" s="251"/>
      <c r="I27" s="251"/>
      <c r="J27" s="251"/>
      <c r="K27" s="251"/>
      <c r="L27" s="251">
        <f>'BGM-3 (4) Rstng Adj'!AW14</f>
        <v>-6666.8782031258452</v>
      </c>
      <c r="M27" s="251"/>
      <c r="N27" s="251"/>
      <c r="O27" s="251"/>
      <c r="P27" s="251"/>
      <c r="Q27" s="251"/>
      <c r="R27" s="251"/>
      <c r="S27" s="251">
        <f>'BGM-3 (4) Rstng Adj'!CC14</f>
        <v>146755.4545638822</v>
      </c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>
        <f>+'BGM-3 (5) PF Adj.'!E16+'BGM-3 (5) PF Adj.'!E17+'BGM-3 (5) PF Adj.'!E25+'BGM-3 (5) PF Adj.'!D26</f>
        <v>-103930243.10638151</v>
      </c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>
        <f>+'BGM-3 (5) PF Adj.'!BL17</f>
        <v>-3550.8251450160915</v>
      </c>
      <c r="AQ27" s="251"/>
      <c r="AR27" s="251">
        <f>SUM(D27:AQ27)</f>
        <v>-103793705.35516576</v>
      </c>
      <c r="AS27" s="251">
        <f>AR27+C27</f>
        <v>428552754.01483423</v>
      </c>
      <c r="AT27" s="133">
        <f>C27</f>
        <v>532346459.37</v>
      </c>
      <c r="AU27" s="251">
        <f>+AR27</f>
        <v>-103793705.35516576</v>
      </c>
      <c r="AV27" s="251">
        <f>SUM(AT27:AU27)</f>
        <v>428552754.01483423</v>
      </c>
      <c r="AW27" s="133"/>
      <c r="AX27" s="133">
        <f>SUM(AV27:AW27)</f>
        <v>428552754.01483423</v>
      </c>
      <c r="AY27" s="284"/>
      <c r="AZ27" s="313"/>
      <c r="BA27" s="308"/>
      <c r="BB27" s="308"/>
    </row>
    <row r="28" spans="1:54" s="365" customFormat="1">
      <c r="A28" s="375">
        <f t="shared" si="2"/>
        <v>13</v>
      </c>
      <c r="B28" s="377" t="s">
        <v>303</v>
      </c>
      <c r="C28" s="251">
        <f>[13]Allocated!$B20</f>
        <v>113800193.219999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>
        <f>+'BGM-3 (5) PF Adj.'!E18</f>
        <v>-5225455.6610995084</v>
      </c>
      <c r="AE28" s="251"/>
      <c r="AF28" s="251"/>
      <c r="AG28" s="251"/>
      <c r="AH28" s="251"/>
      <c r="AI28" s="251">
        <f>'BGM-3 (5) PF Adj.'!AD38</f>
        <v>0</v>
      </c>
      <c r="AJ28" s="251"/>
      <c r="AK28" s="251"/>
      <c r="AL28" s="251"/>
      <c r="AM28" s="251"/>
      <c r="AN28" s="251"/>
      <c r="AO28" s="251"/>
      <c r="AP28" s="251"/>
      <c r="AQ28" s="251"/>
      <c r="AR28" s="251">
        <f>SUM(D28:AQ28)</f>
        <v>-5225455.6610995084</v>
      </c>
      <c r="AS28" s="251">
        <f>AR28+C28</f>
        <v>108574737.55889949</v>
      </c>
      <c r="AT28" s="133">
        <f>C28</f>
        <v>113800193.219999</v>
      </c>
      <c r="AU28" s="251">
        <f>+AR28</f>
        <v>-5225455.6610995084</v>
      </c>
      <c r="AV28" s="251">
        <f>SUM(AT28:AU28)</f>
        <v>108574737.55889949</v>
      </c>
      <c r="AW28" s="133"/>
      <c r="AX28" s="133">
        <f>SUM(AV28:AW28)</f>
        <v>108574737.55889949</v>
      </c>
      <c r="AY28" s="251"/>
      <c r="AZ28" s="313"/>
      <c r="BA28" s="308"/>
      <c r="BB28" s="308"/>
    </row>
    <row r="29" spans="1:54" s="365" customFormat="1">
      <c r="A29" s="375">
        <f t="shared" si="2"/>
        <v>14</v>
      </c>
      <c r="B29" s="374" t="s">
        <v>128</v>
      </c>
      <c r="C29" s="280">
        <f>[13]Allocated!$B21</f>
        <v>-69268219.669999897</v>
      </c>
      <c r="D29" s="280"/>
      <c r="E29" s="280"/>
      <c r="F29" s="280">
        <f>'BGM-3 (4) Rstng Adj'!Q40</f>
        <v>69268219.670000002</v>
      </c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420"/>
      <c r="W29" s="420"/>
      <c r="X29" s="420"/>
      <c r="Y29" s="702"/>
      <c r="Z29" s="702"/>
      <c r="AA29" s="702"/>
      <c r="AB29" s="702"/>
      <c r="AC29" s="702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702"/>
      <c r="AP29" s="280"/>
      <c r="AQ29" s="280"/>
      <c r="AR29" s="420">
        <f>SUM(D29:AQ29)</f>
        <v>69268219.670000002</v>
      </c>
      <c r="AS29" s="280">
        <f>AR29+C29</f>
        <v>0</v>
      </c>
      <c r="AT29" s="163">
        <f>C29</f>
        <v>-69268219.669999897</v>
      </c>
      <c r="AU29" s="280">
        <f>+AR29</f>
        <v>69268219.670000002</v>
      </c>
      <c r="AV29" s="280">
        <f>SUM(AT29:AU29)</f>
        <v>0</v>
      </c>
      <c r="AW29" s="163"/>
      <c r="AX29" s="163">
        <f>SUM(AV29:AW29)</f>
        <v>0</v>
      </c>
      <c r="AY29" s="251"/>
      <c r="AZ29" s="313"/>
      <c r="BA29" s="308"/>
      <c r="BB29" s="308"/>
    </row>
    <row r="30" spans="1:54" s="365" customFormat="1">
      <c r="A30" s="375">
        <f t="shared" si="2"/>
        <v>15</v>
      </c>
      <c r="B30" s="377" t="s">
        <v>304</v>
      </c>
      <c r="C30" s="778">
        <f>SUM(C26:C29)</f>
        <v>811881319.41999912</v>
      </c>
      <c r="D30" s="778">
        <f>SUM(D26:D29)</f>
        <v>0</v>
      </c>
      <c r="E30" s="778">
        <f>SUM(E26:E29)</f>
        <v>0</v>
      </c>
      <c r="F30" s="778">
        <f>SUM(F25:F29)</f>
        <v>69268219.670000002</v>
      </c>
      <c r="G30" s="778">
        <f>SUM(G26:G29)</f>
        <v>0</v>
      </c>
      <c r="H30" s="778">
        <f>SUM(H26:H29)</f>
        <v>0</v>
      </c>
      <c r="I30" s="778">
        <f>SUM(I26:I29)</f>
        <v>0</v>
      </c>
      <c r="J30" s="778">
        <f>SUM(J25:J29)</f>
        <v>0</v>
      </c>
      <c r="K30" s="778">
        <f>SUM(K26:K29)</f>
        <v>0</v>
      </c>
      <c r="L30" s="778">
        <f t="shared" ref="L30:Y30" si="9">SUM(L25:L29)</f>
        <v>-6666.8782031258452</v>
      </c>
      <c r="M30" s="778">
        <f t="shared" si="9"/>
        <v>0</v>
      </c>
      <c r="N30" s="778">
        <f t="shared" si="9"/>
        <v>0</v>
      </c>
      <c r="O30" s="778">
        <f t="shared" si="9"/>
        <v>0</v>
      </c>
      <c r="P30" s="778">
        <f t="shared" si="9"/>
        <v>0</v>
      </c>
      <c r="Q30" s="778">
        <f t="shared" si="9"/>
        <v>0</v>
      </c>
      <c r="R30" s="778">
        <f t="shared" si="9"/>
        <v>0</v>
      </c>
      <c r="S30" s="778">
        <f t="shared" si="9"/>
        <v>146755.4545638822</v>
      </c>
      <c r="T30" s="778">
        <f t="shared" si="9"/>
        <v>0</v>
      </c>
      <c r="U30" s="778">
        <f t="shared" si="9"/>
        <v>0</v>
      </c>
      <c r="V30" s="778">
        <f t="shared" si="9"/>
        <v>0</v>
      </c>
      <c r="W30" s="778">
        <f t="shared" si="9"/>
        <v>0</v>
      </c>
      <c r="X30" s="778">
        <f t="shared" si="9"/>
        <v>0</v>
      </c>
      <c r="Y30" s="778">
        <f t="shared" si="9"/>
        <v>0</v>
      </c>
      <c r="Z30" s="778">
        <f t="shared" ref="Z30:AA30" si="10">SUM(Z25:Z29)</f>
        <v>0</v>
      </c>
      <c r="AA30" s="778">
        <f t="shared" si="10"/>
        <v>0</v>
      </c>
      <c r="AB30" s="778">
        <f t="shared" ref="AB30:AC30" si="11">SUM(AB25:AB29)</f>
        <v>0</v>
      </c>
      <c r="AC30" s="778">
        <f t="shared" si="11"/>
        <v>0</v>
      </c>
      <c r="AD30" s="778">
        <f>SUM(AD26:AD29)</f>
        <v>-136514418.60704356</v>
      </c>
      <c r="AE30" s="778">
        <f>SUM(AE25:AE29)</f>
        <v>0</v>
      </c>
      <c r="AF30" s="778">
        <f>SUM(AF25:AF29)</f>
        <v>0</v>
      </c>
      <c r="AG30" s="778">
        <f>SUM(AG25:AG29)</f>
        <v>0</v>
      </c>
      <c r="AH30" s="778">
        <f>SUM(AH26:AH29)</f>
        <v>0</v>
      </c>
      <c r="AI30" s="778">
        <f t="shared" ref="AI30:AP30" si="12">SUM(AI25:AI29)</f>
        <v>0</v>
      </c>
      <c r="AJ30" s="778">
        <f t="shared" si="12"/>
        <v>0</v>
      </c>
      <c r="AK30" s="778">
        <f t="shared" si="12"/>
        <v>0</v>
      </c>
      <c r="AL30" s="778">
        <f t="shared" si="12"/>
        <v>0</v>
      </c>
      <c r="AM30" s="778">
        <f t="shared" si="12"/>
        <v>0</v>
      </c>
      <c r="AN30" s="778">
        <f t="shared" si="12"/>
        <v>0</v>
      </c>
      <c r="AO30" s="778">
        <f t="shared" si="12"/>
        <v>0</v>
      </c>
      <c r="AP30" s="778">
        <f t="shared" si="12"/>
        <v>-3550.8251450160915</v>
      </c>
      <c r="AQ30" s="778">
        <f t="shared" ref="AQ30" si="13">SUM(AQ25:AQ29)</f>
        <v>0</v>
      </c>
      <c r="AR30" s="778">
        <f>SUM(D30:AQ30)</f>
        <v>-67109661.185827821</v>
      </c>
      <c r="AS30" s="778">
        <f>AR30+C30</f>
        <v>744771658.23417127</v>
      </c>
      <c r="AT30" s="779">
        <f>SUM(AT26:AT29)</f>
        <v>811881319.41999912</v>
      </c>
      <c r="AU30" s="778">
        <f>SUM(AU26:AU29)</f>
        <v>-67109661.185827807</v>
      </c>
      <c r="AV30" s="778">
        <f>SUM(AV26:AV29)</f>
        <v>744771658.23417127</v>
      </c>
      <c r="AW30" s="779">
        <f>SUM(AW26:AW29)</f>
        <v>0</v>
      </c>
      <c r="AX30" s="778">
        <f>SUM(AX26:AX29)</f>
        <v>744771658.23417127</v>
      </c>
      <c r="AY30" s="328"/>
      <c r="AZ30" s="313"/>
      <c r="BA30" s="308"/>
      <c r="BB30" s="308"/>
    </row>
    <row r="31" spans="1:54" s="365" customFormat="1">
      <c r="A31" s="375">
        <f t="shared" si="2"/>
        <v>16</v>
      </c>
      <c r="B31" s="377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133"/>
      <c r="AU31" s="96"/>
      <c r="AV31" s="96"/>
      <c r="AW31" s="133"/>
      <c r="AX31" s="534"/>
      <c r="AY31" s="328"/>
      <c r="AZ31" s="313"/>
      <c r="BA31" s="308"/>
      <c r="BB31" s="308"/>
    </row>
    <row r="32" spans="1:54" s="365" customFormat="1">
      <c r="A32" s="375">
        <f t="shared" si="2"/>
        <v>17</v>
      </c>
      <c r="B32" s="45" t="s">
        <v>259</v>
      </c>
      <c r="C32" s="251">
        <f>[13]Allocated!$B24</f>
        <v>125897437.02</v>
      </c>
      <c r="D32" s="251">
        <v>0</v>
      </c>
      <c r="E32" s="251"/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f>'BGM-3 (4) Rstng Adj'!AW15</f>
        <v>-55745.235281144734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f>'BGM-3 (4) Rstng Adj'!CC15</f>
        <v>339480.84844003245</v>
      </c>
      <c r="T32" s="251">
        <v>0</v>
      </c>
      <c r="U32" s="251">
        <v>0</v>
      </c>
      <c r="V32" s="251"/>
      <c r="W32" s="251"/>
      <c r="X32" s="251"/>
      <c r="Y32" s="251"/>
      <c r="Z32" s="251"/>
      <c r="AA32" s="251"/>
      <c r="AB32" s="251"/>
      <c r="AC32" s="251"/>
      <c r="AD32" s="251">
        <f>+'BGM-3 (5) PF Adj.'!E22</f>
        <v>9584908.9536754489</v>
      </c>
      <c r="AE32" s="251">
        <v>0</v>
      </c>
      <c r="AF32" s="251">
        <v>0</v>
      </c>
      <c r="AG32" s="251">
        <v>0</v>
      </c>
      <c r="AH32" s="251">
        <v>0</v>
      </c>
      <c r="AI32" s="251"/>
      <c r="AJ32" s="251">
        <v>0</v>
      </c>
      <c r="AK32" s="251">
        <v>0</v>
      </c>
      <c r="AL32" s="251">
        <v>0</v>
      </c>
      <c r="AM32" s="251">
        <v>0</v>
      </c>
      <c r="AN32" s="251">
        <v>0</v>
      </c>
      <c r="AO32" s="251"/>
      <c r="AP32" s="251">
        <f>+'BGM-3 (5) PF Adj.'!BL18</f>
        <v>-7191.8465867383275</v>
      </c>
      <c r="AQ32" s="251">
        <v>0</v>
      </c>
      <c r="AR32" s="251">
        <f t="shared" ref="AR32:AR46" si="14">SUM(D32:AQ32)</f>
        <v>9861452.7202475984</v>
      </c>
      <c r="AS32" s="251">
        <f t="shared" ref="AS32:AS46" si="15">AR32+C32</f>
        <v>135758889.74024761</v>
      </c>
      <c r="AT32" s="534">
        <f t="shared" ref="AT32:AT46" si="16">C32</f>
        <v>125897437.02</v>
      </c>
      <c r="AU32" s="251">
        <f t="shared" ref="AU32:AU46" si="17">+AR32</f>
        <v>9861452.7202475984</v>
      </c>
      <c r="AV32" s="251">
        <f t="shared" ref="AV32:AV46" si="18">SUM(AT32:AU32)</f>
        <v>135758889.74024761</v>
      </c>
      <c r="AW32" s="534">
        <v>0</v>
      </c>
      <c r="AX32" s="534">
        <f t="shared" ref="AX32:AX46" si="19">SUM(AV32:AW32)</f>
        <v>135758889.74024761</v>
      </c>
      <c r="AY32" s="96"/>
      <c r="AZ32" s="313"/>
      <c r="BA32" s="308"/>
      <c r="BB32" s="308"/>
    </row>
    <row r="33" spans="1:54" s="399" customFormat="1">
      <c r="A33" s="375">
        <f t="shared" si="2"/>
        <v>18</v>
      </c>
      <c r="B33" s="377" t="s">
        <v>305</v>
      </c>
      <c r="C33" s="251">
        <f>[13]Allocated!$B25</f>
        <v>20270050.379999898</v>
      </c>
      <c r="D33" s="251"/>
      <c r="E33" s="251"/>
      <c r="F33" s="251"/>
      <c r="G33" s="251"/>
      <c r="H33" s="251"/>
      <c r="I33" s="251"/>
      <c r="J33" s="251"/>
      <c r="K33" s="251">
        <v>0</v>
      </c>
      <c r="L33" s="251">
        <f>'BGM-3 (4) Rstng Adj'!AW16</f>
        <v>-18097.74070324644</v>
      </c>
      <c r="M33" s="251"/>
      <c r="N33" s="251"/>
      <c r="O33" s="251"/>
      <c r="P33" s="251"/>
      <c r="Q33" s="251"/>
      <c r="R33" s="251"/>
      <c r="S33" s="251">
        <f>+'BGM-3 (4) Rstng Adj'!CC16</f>
        <v>238226.09976480342</v>
      </c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>
        <f>+'BGM-3 (5) PF Adj.'!E23</f>
        <v>-16783.132549889968</v>
      </c>
      <c r="AE33" s="251"/>
      <c r="AF33" s="251"/>
      <c r="AG33" s="251"/>
      <c r="AH33" s="234">
        <f>'BGM-3 (5) PF Adj.'!W28</f>
        <v>-131868.25166666671</v>
      </c>
      <c r="AI33" s="251"/>
      <c r="AJ33" s="234"/>
      <c r="AK33" s="234"/>
      <c r="AL33" s="234"/>
      <c r="AM33" s="234"/>
      <c r="AN33" s="234"/>
      <c r="AO33" s="234"/>
      <c r="AP33" s="251"/>
      <c r="AQ33" s="234"/>
      <c r="AR33" s="251">
        <f t="shared" si="14"/>
        <v>71476.97484500031</v>
      </c>
      <c r="AS33" s="328">
        <f t="shared" si="15"/>
        <v>20341527.354844898</v>
      </c>
      <c r="AT33" s="133">
        <f t="shared" si="16"/>
        <v>20270050.379999898</v>
      </c>
      <c r="AU33" s="328">
        <f t="shared" si="17"/>
        <v>71476.97484500031</v>
      </c>
      <c r="AV33" s="328">
        <f>SUM(AT33:AU33)</f>
        <v>20341527.354844898</v>
      </c>
      <c r="AW33" s="133"/>
      <c r="AX33" s="328">
        <f t="shared" si="19"/>
        <v>20341527.354844898</v>
      </c>
      <c r="AY33" s="284"/>
      <c r="AZ33" s="319"/>
      <c r="BA33" s="374"/>
      <c r="BB33" s="374"/>
    </row>
    <row r="34" spans="1:54" s="399" customFormat="1">
      <c r="A34" s="375">
        <f t="shared" si="2"/>
        <v>19</v>
      </c>
      <c r="B34" s="377" t="s">
        <v>306</v>
      </c>
      <c r="C34" s="251">
        <f>[13]Allocated!$B26</f>
        <v>83356029.179999903</v>
      </c>
      <c r="D34" s="251"/>
      <c r="E34" s="251"/>
      <c r="F34" s="251"/>
      <c r="G34" s="251"/>
      <c r="H34" s="251"/>
      <c r="I34" s="251"/>
      <c r="J34" s="251"/>
      <c r="K34" s="251">
        <v>0</v>
      </c>
      <c r="L34" s="251">
        <f>'BGM-3 (4) Rstng Adj'!AW17</f>
        <v>-67989.549035376869</v>
      </c>
      <c r="M34" s="251"/>
      <c r="N34" s="251"/>
      <c r="O34" s="251"/>
      <c r="P34" s="251"/>
      <c r="Q34" s="251"/>
      <c r="R34" s="251"/>
      <c r="S34" s="251">
        <f>+'BGM-3 (4) Rstng Adj'!CC17</f>
        <v>368168.06771003455</v>
      </c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>
        <f>'BGM-3 (5) PF Adj.'!X28</f>
        <v>-271443.23000000231</v>
      </c>
      <c r="AI34" s="251"/>
      <c r="AJ34" s="251"/>
      <c r="AK34" s="251"/>
      <c r="AL34" s="251"/>
      <c r="AM34" s="251"/>
      <c r="AN34" s="251"/>
      <c r="AO34" s="251"/>
      <c r="AP34" s="251"/>
      <c r="AQ34" s="251"/>
      <c r="AR34" s="251">
        <f t="shared" si="14"/>
        <v>28735.28867465537</v>
      </c>
      <c r="AS34" s="328">
        <f t="shared" si="15"/>
        <v>83384764.468674555</v>
      </c>
      <c r="AT34" s="133">
        <f t="shared" si="16"/>
        <v>83356029.179999903</v>
      </c>
      <c r="AU34" s="328">
        <f t="shared" si="17"/>
        <v>28735.28867465537</v>
      </c>
      <c r="AV34" s="328">
        <f t="shared" si="18"/>
        <v>83384764.468674555</v>
      </c>
      <c r="AW34" s="133"/>
      <c r="AX34" s="328">
        <f t="shared" si="19"/>
        <v>83384764.468674555</v>
      </c>
      <c r="AY34" s="251"/>
      <c r="AZ34" s="319"/>
      <c r="BA34" s="374"/>
      <c r="BB34" s="374"/>
    </row>
    <row r="35" spans="1:54" s="365" customFormat="1">
      <c r="A35" s="375">
        <f t="shared" si="2"/>
        <v>20</v>
      </c>
      <c r="B35" s="377" t="s">
        <v>59</v>
      </c>
      <c r="C35" s="251">
        <f>[13]Allocated!$B27</f>
        <v>47600166.421824999</v>
      </c>
      <c r="D35" s="251">
        <f>'BGM-3 (4) Rstng Adj'!D40</f>
        <v>-206560.42365471341</v>
      </c>
      <c r="E35" s="284">
        <f>'BGM-3 (4) Rstng Adj'!K43</f>
        <v>202638</v>
      </c>
      <c r="F35" s="251">
        <f>'BGM-3 (4) Rstng Adj'!Q30</f>
        <v>-1378053.9992858302</v>
      </c>
      <c r="G35" s="251"/>
      <c r="H35" s="251"/>
      <c r="I35" s="251"/>
      <c r="J35" s="251"/>
      <c r="K35" s="251">
        <f>'BGM-3 (4) Rstng Adj'!AR26</f>
        <v>-845154</v>
      </c>
      <c r="L35" s="251">
        <f>'BGM-3 (4) Rstng Adj'!AW18</f>
        <v>-33992.931957083521</v>
      </c>
      <c r="M35" s="251"/>
      <c r="N35" s="251">
        <f>'BGM-3 (4) Rstng Adj'!BF13</f>
        <v>108170.94876945516</v>
      </c>
      <c r="O35" s="251"/>
      <c r="P35" s="251"/>
      <c r="Q35" s="251"/>
      <c r="R35" s="251"/>
      <c r="S35" s="251">
        <f>+'BGM-3 (4) Rstng Adj'!CC18</f>
        <v>129718.13539325818</v>
      </c>
      <c r="T35" s="251"/>
      <c r="U35" s="251"/>
      <c r="V35" s="251"/>
      <c r="W35" s="251">
        <f>'BGM-3 (4) Rstng Adj'!CW15+'BGM-3 (4) Rstng Adj'!CW21</f>
        <v>4750001.9585469235</v>
      </c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>
        <f t="shared" si="14"/>
        <v>2726767.6878120094</v>
      </c>
      <c r="AS35" s="328">
        <f t="shared" si="15"/>
        <v>50326934.109637007</v>
      </c>
      <c r="AT35" s="133">
        <f t="shared" si="16"/>
        <v>47600166.421824999</v>
      </c>
      <c r="AU35" s="328">
        <f t="shared" si="17"/>
        <v>2726767.6878120094</v>
      </c>
      <c r="AV35" s="328">
        <f t="shared" si="18"/>
        <v>50326934.109637007</v>
      </c>
      <c r="AW35" s="133">
        <f>+'BGM-3 (3) Param'!C22*'BGM-3 (3) Param'!M13</f>
        <v>206574.15142400001</v>
      </c>
      <c r="AX35" s="328">
        <f>SUM(AV35:AW35)</f>
        <v>50533508.261061005</v>
      </c>
      <c r="AY35" s="251"/>
      <c r="AZ35" s="313"/>
      <c r="BA35" s="308"/>
      <c r="BB35" s="308"/>
    </row>
    <row r="36" spans="1:54" s="365" customFormat="1">
      <c r="A36" s="375">
        <f t="shared" si="2"/>
        <v>21</v>
      </c>
      <c r="B36" s="377" t="s">
        <v>267</v>
      </c>
      <c r="C36" s="251">
        <f>[13]Allocated!$B28</f>
        <v>19829127.240927998</v>
      </c>
      <c r="D36" s="251"/>
      <c r="E36" s="251"/>
      <c r="F36" s="251">
        <f>'BGM-3 (4) Rstng Adj'!Q39+'BGM-3 (4) Rstng Adj'!Q42</f>
        <v>-17275568.259999998</v>
      </c>
      <c r="G36" s="251"/>
      <c r="H36" s="251"/>
      <c r="I36" s="251"/>
      <c r="J36" s="251"/>
      <c r="K36" s="251"/>
      <c r="L36" s="251">
        <f>'BGM-3 (4) Rstng Adj'!AW19+'BGM-3 (4) Rstng Adj'!AW20</f>
        <v>-2882.6248900298524</v>
      </c>
      <c r="M36" s="251"/>
      <c r="N36" s="251"/>
      <c r="O36" s="251"/>
      <c r="P36" s="251"/>
      <c r="Q36" s="251"/>
      <c r="R36" s="251"/>
      <c r="S36" s="251">
        <f>+'BGM-3 (4) Rstng Adj'!CC19+'BGM-3 (4) Rstng Adj'!CC20</f>
        <v>46640.928225739277</v>
      </c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>
        <f t="shared" si="14"/>
        <v>-17231809.956664287</v>
      </c>
      <c r="AS36" s="328">
        <f t="shared" si="15"/>
        <v>2597317.2842637114</v>
      </c>
      <c r="AT36" s="133">
        <f t="shared" si="16"/>
        <v>19829127.240927998</v>
      </c>
      <c r="AU36" s="328">
        <f t="shared" si="17"/>
        <v>-17231809.956664287</v>
      </c>
      <c r="AV36" s="328">
        <f t="shared" si="18"/>
        <v>2597317.2842637114</v>
      </c>
      <c r="AW36" s="133"/>
      <c r="AX36" s="328">
        <f t="shared" si="19"/>
        <v>2597317.2842637114</v>
      </c>
      <c r="AY36" s="251"/>
      <c r="AZ36" s="313"/>
      <c r="BA36" s="308"/>
      <c r="BB36" s="308"/>
    </row>
    <row r="37" spans="1:54" s="365" customFormat="1">
      <c r="A37" s="375">
        <f t="shared" si="2"/>
        <v>22</v>
      </c>
      <c r="B37" s="377" t="s">
        <v>273</v>
      </c>
      <c r="C37" s="251">
        <f>[13]Allocated!$B29</f>
        <v>97566974.959999993</v>
      </c>
      <c r="D37" s="251"/>
      <c r="E37" s="251"/>
      <c r="F37" s="251">
        <f>'BGM-3 (4) Rstng Adj'!Q36</f>
        <v>-97540765.159999996</v>
      </c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>
        <f t="shared" si="14"/>
        <v>-97540765.159999996</v>
      </c>
      <c r="AS37" s="328">
        <f t="shared" si="15"/>
        <v>26209.79999999702</v>
      </c>
      <c r="AT37" s="133">
        <f t="shared" si="16"/>
        <v>97566974.959999993</v>
      </c>
      <c r="AU37" s="328">
        <f t="shared" si="17"/>
        <v>-97540765.159999996</v>
      </c>
      <c r="AV37" s="328">
        <f t="shared" si="18"/>
        <v>26209.79999999702</v>
      </c>
      <c r="AW37" s="133"/>
      <c r="AX37" s="133">
        <f t="shared" si="19"/>
        <v>26209.79999999702</v>
      </c>
      <c r="AY37" s="251"/>
      <c r="AZ37" s="313"/>
      <c r="BA37" s="308"/>
      <c r="BB37" s="308"/>
    </row>
    <row r="38" spans="1:54" s="365" customFormat="1">
      <c r="A38" s="375">
        <f t="shared" si="2"/>
        <v>23</v>
      </c>
      <c r="B38" s="377" t="s">
        <v>274</v>
      </c>
      <c r="C38" s="251">
        <f>[13]Allocated!$B30</f>
        <v>114599758.581515</v>
      </c>
      <c r="D38" s="251">
        <f>'BGM-3 (4) Rstng Adj'!D41</f>
        <v>-57722.627820235684</v>
      </c>
      <c r="E38" s="251">
        <f>'BGM-3 (4) Rstng Adj'!K44</f>
        <v>56627</v>
      </c>
      <c r="F38" s="251">
        <f>'BGM-3 (4) Rstng Adj'!Q31+'BGM-3 (4) Rstng Adj'!Q43</f>
        <v>-426522.21638000006</v>
      </c>
      <c r="G38" s="251"/>
      <c r="H38" s="251"/>
      <c r="I38" s="251" t="s">
        <v>282</v>
      </c>
      <c r="J38" s="251">
        <f>'BGM-3 (4) Rstng Adj'!AI17</f>
        <v>-106750.2786706667</v>
      </c>
      <c r="K38" s="251"/>
      <c r="L38" s="251">
        <f>'BGM-3 (4) Rstng Adj'!AW21</f>
        <v>-42688.898931392003</v>
      </c>
      <c r="M38" s="251">
        <f>'BGM-3 (4) Rstng Adj'!BB13</f>
        <v>-24832.496714436435</v>
      </c>
      <c r="N38" s="251"/>
      <c r="O38" s="259">
        <f>'BGM-3 (4) Rstng Adj'!BJ28</f>
        <v>407545.487356</v>
      </c>
      <c r="P38" s="251"/>
      <c r="Q38" s="259">
        <f>'BGM-3 (4) Rstng Adj'!BS15</f>
        <v>-101764.80083986348</v>
      </c>
      <c r="R38" s="259">
        <f>'BGM-3 (4) Rstng Adj'!BX15</f>
        <v>-1430088.296828907</v>
      </c>
      <c r="S38" s="251">
        <f>+'BGM-3 (4) Rstng Adj'!CC21</f>
        <v>893431.03617618978</v>
      </c>
      <c r="T38" s="251">
        <f>'BGM-3 (4) Rstng Adj'!CH32</f>
        <v>163909.622307254</v>
      </c>
      <c r="U38" s="251">
        <f>'BGM-3 (4) Rstng Adj'!CM20</f>
        <v>187308.92923393101</v>
      </c>
      <c r="V38" s="251"/>
      <c r="W38" s="251"/>
      <c r="X38" s="251">
        <f>'BGM-3 (4) Rstng Adj'!DB25</f>
        <v>-363750.12810969783</v>
      </c>
      <c r="Y38" s="251">
        <f>+'BGM-3 (4) Rstng Adj'!DG14</f>
        <v>-51913.275359999388</v>
      </c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>
        <f>SUM('BGM-3 (5) PF Adj.'!BL19:BL21)</f>
        <v>-263064.99044554279</v>
      </c>
      <c r="AQ38" s="251"/>
      <c r="AR38" s="251">
        <f t="shared" si="14"/>
        <v>-1160275.9350273665</v>
      </c>
      <c r="AS38" s="328">
        <f t="shared" si="15"/>
        <v>113439482.64648764</v>
      </c>
      <c r="AT38" s="133">
        <f t="shared" si="16"/>
        <v>114599758.581515</v>
      </c>
      <c r="AU38" s="328">
        <f t="shared" si="17"/>
        <v>-1160275.9350273665</v>
      </c>
      <c r="AV38" s="328">
        <f t="shared" si="18"/>
        <v>113439482.64648764</v>
      </c>
      <c r="AW38" s="133">
        <f>+'BGM-3 (3) Param'!C22*('BGM-3 (3) Param'!M14)</f>
        <v>57726.464</v>
      </c>
      <c r="AX38" s="328">
        <f>SUM(AV38:AW38)</f>
        <v>113497209.11048764</v>
      </c>
      <c r="AY38" s="251"/>
      <c r="AZ38" s="313"/>
      <c r="BA38" s="308"/>
      <c r="BB38" s="308"/>
    </row>
    <row r="39" spans="1:54" s="365" customFormat="1">
      <c r="A39" s="375">
        <f t="shared" si="2"/>
        <v>24</v>
      </c>
      <c r="B39" s="377" t="s">
        <v>373</v>
      </c>
      <c r="C39" s="251">
        <f>[13]Allocated!$B31</f>
        <v>268356984.80397999</v>
      </c>
      <c r="D39" s="251"/>
      <c r="E39" s="251"/>
      <c r="F39" s="251"/>
      <c r="G39" s="251"/>
      <c r="H39" s="251"/>
      <c r="I39" s="251">
        <f>'BGM-3 (4) Rstng Adj'!AD23+'BGM-3 (4) Rstng Adj'!AD30</f>
        <v>32148144.562919166</v>
      </c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>
        <f>'BGM-3 (4) Rstng Adj'!DB26+'BGM-3 (4) Rstng Adj'!DB27+'BGM-3 (4) Rstng Adj'!DB28</f>
        <v>-304013.62553715741</v>
      </c>
      <c r="Y39" s="251"/>
      <c r="Z39" s="251"/>
      <c r="AA39" s="251"/>
      <c r="AB39" s="251"/>
      <c r="AC39" s="251">
        <f>AC56/40</f>
        <v>-340984.52500000002</v>
      </c>
      <c r="AD39" s="251"/>
      <c r="AE39" s="251"/>
      <c r="AF39" s="251">
        <f>'BGM-3 (5) PF Adj.'!O25</f>
        <v>-212138.37865459672</v>
      </c>
      <c r="AG39" s="251"/>
      <c r="AH39" s="251"/>
      <c r="AI39" s="251"/>
      <c r="AJ39" s="251">
        <f>'BGM-3 (5) PF Adj.'!AI22+'BGM-3 (5) PF Adj.'!AI23</f>
        <v>223831.26558229775</v>
      </c>
      <c r="AL39" s="251">
        <f>'BGM-3 (5) PF Adj.'!AS34</f>
        <v>-3317.0689883994637</v>
      </c>
      <c r="AM39" s="251">
        <f>+'BGM-3 (5) PF Adj.'!AX21</f>
        <v>0</v>
      </c>
      <c r="AN39" s="251"/>
      <c r="AO39" s="251"/>
      <c r="AP39" s="251">
        <f>+'BGM-3 (5) PF Adj.'!BL25</f>
        <v>-3796102.255248819</v>
      </c>
      <c r="AQ39" s="251">
        <f>+'BGM-3 (5) PF Adj.'!BB21</f>
        <v>0</v>
      </c>
      <c r="AR39" s="251">
        <f t="shared" si="14"/>
        <v>27715419.975072496</v>
      </c>
      <c r="AS39" s="328">
        <f t="shared" si="15"/>
        <v>296072404.7790525</v>
      </c>
      <c r="AT39" s="133">
        <f t="shared" si="16"/>
        <v>268356984.80397999</v>
      </c>
      <c r="AU39" s="328">
        <f t="shared" si="17"/>
        <v>27715419.975072496</v>
      </c>
      <c r="AV39" s="328">
        <f t="shared" si="18"/>
        <v>296072404.7790525</v>
      </c>
      <c r="AW39" s="133"/>
      <c r="AX39" s="328">
        <f t="shared" si="19"/>
        <v>296072404.7790525</v>
      </c>
      <c r="AY39" s="251"/>
      <c r="AZ39" s="313"/>
      <c r="BA39" s="308"/>
      <c r="BB39" s="308"/>
    </row>
    <row r="40" spans="1:54" s="365" customFormat="1">
      <c r="A40" s="375">
        <f t="shared" si="2"/>
        <v>25</v>
      </c>
      <c r="B40" s="377" t="s">
        <v>100</v>
      </c>
      <c r="C40" s="251">
        <f>[13]Allocated!$B32</f>
        <v>45684974.945897996</v>
      </c>
      <c r="D40" s="251"/>
      <c r="E40" s="251"/>
      <c r="F40" s="251"/>
      <c r="G40" s="251"/>
      <c r="H40" s="251"/>
      <c r="I40" s="251">
        <f>'BGM-3 (4) Rstng Adj'!AD28</f>
        <v>-751878.87284983043</v>
      </c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>
        <f>'BGM-3 (4) Rstng Adj'!DL38</f>
        <v>27795233.418106575</v>
      </c>
      <c r="AA40" s="251">
        <f>-'BGM-3 (4) Rstng Adj'!DQ18</f>
        <v>-43821596.222222224</v>
      </c>
      <c r="AB40" s="251">
        <f>+'BGM-3 (4) Rstng Adj'!DR24</f>
        <v>0</v>
      </c>
      <c r="AC40" s="251"/>
      <c r="AD40" s="251"/>
      <c r="AE40" s="251"/>
      <c r="AF40" s="251"/>
      <c r="AG40" s="251"/>
      <c r="AH40" s="374"/>
      <c r="AI40" s="251"/>
      <c r="AJ40" s="374"/>
      <c r="AK40" s="251">
        <f>+'BGM-3 (5) PF Adj.'!AN21</f>
        <v>5373410.6000000006</v>
      </c>
      <c r="AL40" s="374"/>
      <c r="AM40" s="374"/>
      <c r="AP40" s="251">
        <f>'BGM-3 (5) PF Adj.'!BL27</f>
        <v>-299559.51406567206</v>
      </c>
      <c r="AQ40" s="374"/>
      <c r="AR40" s="251">
        <f t="shared" si="14"/>
        <v>-11704390.591031149</v>
      </c>
      <c r="AS40" s="328">
        <f t="shared" si="15"/>
        <v>33980584.354866847</v>
      </c>
      <c r="AT40" s="133">
        <f t="shared" si="16"/>
        <v>45684974.945897996</v>
      </c>
      <c r="AU40" s="328">
        <f t="shared" si="17"/>
        <v>-11704390.591031149</v>
      </c>
      <c r="AV40" s="328">
        <f t="shared" si="18"/>
        <v>33980584.354866847</v>
      </c>
      <c r="AW40" s="133"/>
      <c r="AX40" s="328">
        <f t="shared" si="19"/>
        <v>33980584.354866847</v>
      </c>
      <c r="AY40" s="251"/>
      <c r="AZ40" s="313"/>
      <c r="BA40" s="308"/>
      <c r="BB40" s="308"/>
    </row>
    <row r="41" spans="1:54" s="365" customFormat="1">
      <c r="A41" s="375">
        <f t="shared" si="2"/>
        <v>26</v>
      </c>
      <c r="B41" s="45" t="s">
        <v>357</v>
      </c>
      <c r="C41" s="251">
        <f>[13]Allocated!$B33</f>
        <v>20604866.16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 t="s">
        <v>282</v>
      </c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>
        <f>'BGM-3 (5) PF Adj.'!Y58</f>
        <v>10730321.740833335</v>
      </c>
      <c r="AI41" s="251">
        <f>'BGM-3 (5) PF Adj.'!AD43</f>
        <v>-241268.10200000007</v>
      </c>
      <c r="AJ41" s="251"/>
      <c r="AK41" s="251"/>
      <c r="AL41" s="251"/>
      <c r="AM41" s="251"/>
      <c r="AN41" s="307">
        <f>'BGM-3 (5) PF Adj.'!BC24</f>
        <v>5194474.8277102737</v>
      </c>
      <c r="AP41" s="251">
        <f>'BGM-3 (5) PF Adj.'!BL39+'BGM-3 (5) PF Adj.'!BL36</f>
        <v>-265522.10282778653</v>
      </c>
      <c r="AQ41" s="251"/>
      <c r="AR41" s="251">
        <f t="shared" si="14"/>
        <v>15418006.36371582</v>
      </c>
      <c r="AS41" s="328">
        <f t="shared" si="15"/>
        <v>36022872.523715824</v>
      </c>
      <c r="AT41" s="133">
        <f t="shared" si="16"/>
        <v>20604866.16</v>
      </c>
      <c r="AU41" s="328">
        <f t="shared" si="17"/>
        <v>15418006.36371582</v>
      </c>
      <c r="AV41" s="328">
        <f t="shared" si="18"/>
        <v>36022872.523715824</v>
      </c>
      <c r="AW41" s="133"/>
      <c r="AX41" s="328">
        <f t="shared" si="19"/>
        <v>36022872.523715824</v>
      </c>
      <c r="AY41" s="251"/>
      <c r="AZ41" s="313"/>
      <c r="BA41" s="308"/>
      <c r="BB41" s="308"/>
    </row>
    <row r="42" spans="1:54" s="365" customFormat="1">
      <c r="A42" s="375">
        <f t="shared" si="2"/>
        <v>27</v>
      </c>
      <c r="B42" s="377" t="s">
        <v>275</v>
      </c>
      <c r="C42" s="251">
        <f>[13]Allocated!$B34</f>
        <v>-9997193.5551139992</v>
      </c>
      <c r="D42" s="251">
        <f>+'BGM-3 (4) Rstng Adj'!E39</f>
        <v>17342294.120000005</v>
      </c>
      <c r="E42" s="251"/>
      <c r="F42" s="251">
        <f>'BGM-3 (4) Rstng Adj'!Q41+'BGM-3 (4) Rstng Adj'!Q45</f>
        <v>365334.82</v>
      </c>
      <c r="G42" s="251"/>
      <c r="H42" s="251"/>
      <c r="I42" s="251"/>
      <c r="J42" s="251"/>
      <c r="K42" s="251"/>
      <c r="L42" s="251"/>
      <c r="M42" s="251"/>
      <c r="N42" s="251"/>
      <c r="O42" s="251"/>
      <c r="P42" s="251">
        <f>'BGM-3 (4) Rstng Adj'!BN27</f>
        <v>-263384.27666666743</v>
      </c>
      <c r="Q42" s="251"/>
      <c r="R42" s="251"/>
      <c r="S42" s="251"/>
      <c r="T42" s="251"/>
      <c r="U42" s="251"/>
      <c r="V42" s="251">
        <f>'BGM-3 (4) Rstng Adj'!CR23</f>
        <v>850440.58200000017</v>
      </c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>
        <f>'BGM-3 (5) PF Adj.'!AD53-AI41</f>
        <v>-2429827.2079230589</v>
      </c>
      <c r="AJ42" s="251"/>
      <c r="AK42" s="251"/>
      <c r="AL42" s="251"/>
      <c r="AM42" s="251"/>
      <c r="AN42" s="251"/>
      <c r="AO42" s="287">
        <f>+'BGM-3 (5) PF Adj.'!BH20</f>
        <v>0</v>
      </c>
      <c r="AP42" s="251">
        <f>SUM('BGM-3 (5) PF Adj.'!BL37,'BGM-3 (5) PF Adj.'!BL38,'BGM-3 (5) PF Adj.'!BL40,'BGM-3 (5) PF Adj.'!BL42,'BGM-3 (5) PF Adj.'!BL43,'BGM-3 (5) PF Adj.'!BL44,'BGM-3 (5) PF Adj.'!BL46)</f>
        <v>-230038.82166857479</v>
      </c>
      <c r="AQ42" s="251"/>
      <c r="AR42" s="251">
        <f t="shared" si="14"/>
        <v>15634819.215741703</v>
      </c>
      <c r="AS42" s="328">
        <f t="shared" si="15"/>
        <v>5637625.6606277041</v>
      </c>
      <c r="AT42" s="133">
        <f t="shared" si="16"/>
        <v>-9997193.5551139992</v>
      </c>
      <c r="AU42" s="328">
        <f t="shared" si="17"/>
        <v>15634819.215741703</v>
      </c>
      <c r="AV42" s="328">
        <f t="shared" si="18"/>
        <v>5637625.6606277041</v>
      </c>
      <c r="AW42" s="133"/>
      <c r="AX42" s="328">
        <f t="shared" si="19"/>
        <v>5637625.6606277041</v>
      </c>
      <c r="AY42" s="251"/>
      <c r="AZ42" s="313"/>
      <c r="BA42" s="308"/>
      <c r="BB42" s="308"/>
    </row>
    <row r="43" spans="1:54" s="365" customFormat="1">
      <c r="A43" s="375">
        <f t="shared" si="2"/>
        <v>28</v>
      </c>
      <c r="B43" s="374" t="s">
        <v>74</v>
      </c>
      <c r="C43" s="251">
        <f>[13]Allocated!$B35</f>
        <v>-64111667.629999898</v>
      </c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07"/>
      <c r="Z43" s="307"/>
      <c r="AA43" s="307"/>
      <c r="AB43" s="307"/>
      <c r="AC43" s="307"/>
      <c r="AD43" s="374"/>
      <c r="AE43" s="374"/>
      <c r="AF43" s="374"/>
      <c r="AG43" s="287">
        <f>'BGM-3 (5) PF Adj.'!T13</f>
        <v>64111667.629999898</v>
      </c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251">
        <f t="shared" si="14"/>
        <v>64111667.629999898</v>
      </c>
      <c r="AS43" s="328">
        <f t="shared" si="15"/>
        <v>0</v>
      </c>
      <c r="AT43" s="133">
        <f t="shared" si="16"/>
        <v>-64111667.629999898</v>
      </c>
      <c r="AU43" s="328">
        <f t="shared" si="17"/>
        <v>64111667.629999898</v>
      </c>
      <c r="AV43" s="328">
        <f t="shared" si="18"/>
        <v>0</v>
      </c>
      <c r="AW43" s="133"/>
      <c r="AX43" s="328">
        <f t="shared" si="19"/>
        <v>0</v>
      </c>
      <c r="AY43" s="251"/>
      <c r="AZ43" s="313"/>
      <c r="BA43" s="308"/>
      <c r="BB43" s="308"/>
    </row>
    <row r="44" spans="1:54" s="365" customFormat="1">
      <c r="A44" s="375">
        <f t="shared" si="2"/>
        <v>29</v>
      </c>
      <c r="B44" s="377" t="s">
        <v>292</v>
      </c>
      <c r="C44" s="251">
        <f>[13]Allocated!$B36</f>
        <v>230800256.78218898</v>
      </c>
      <c r="D44" s="251">
        <f>+'BGM-3 (4) Rstng Adj'!D42</f>
        <v>-1109919.5490414018</v>
      </c>
      <c r="E44" s="251">
        <f>'BGM-3 (4) Rstng Adj'!K47</f>
        <v>1088843</v>
      </c>
      <c r="F44" s="133">
        <f>'BGM-3 (4) Rstng Adj'!Q32+'BGM-3 (4) Rstng Adj'!Q38+'BGM-3 (4) Rstng Adj'!Q37+'BGM-3 (4) Rstng Adj'!Q44</f>
        <v>-144297723.10863283</v>
      </c>
      <c r="G44" s="251"/>
      <c r="H44" s="251"/>
      <c r="I44" s="251"/>
      <c r="J44" s="251"/>
      <c r="K44" s="251"/>
      <c r="L44" s="133">
        <f>'BGM-3 (4) Rstng Adj'!AW24</f>
        <v>-14322.105364270566</v>
      </c>
      <c r="M44" s="251"/>
      <c r="N44" s="251"/>
      <c r="O44" s="251"/>
      <c r="P44" s="251"/>
      <c r="Q44" s="251"/>
      <c r="R44" s="251"/>
      <c r="S44" s="251">
        <f>+'BGM-3 (4) Rstng Adj'!CC24</f>
        <v>140715.30091736629</v>
      </c>
      <c r="T44" s="251"/>
      <c r="U44" s="251"/>
      <c r="V44" s="251"/>
      <c r="W44" s="251"/>
      <c r="X44" s="251"/>
      <c r="Y44" s="307">
        <f>+'BGM-3 (4) Rstng Adj'!DG13</f>
        <v>36124.958262011409</v>
      </c>
      <c r="Z44" s="307"/>
      <c r="AA44" s="307"/>
      <c r="AB44" s="307"/>
      <c r="AC44" s="307"/>
      <c r="AD44" s="251">
        <f>-'BGM-3 (5) PF Adj.'!E31</f>
        <v>56686.323528445922</v>
      </c>
      <c r="AE44" s="251">
        <f>-'BGM-3 (5) PF Adj.'!J23</f>
        <v>-69720.08998702839</v>
      </c>
      <c r="AF44" s="251"/>
      <c r="AG44" s="251"/>
      <c r="AH44" s="251"/>
      <c r="AI44" s="133"/>
      <c r="AJ44" s="251"/>
      <c r="AK44" s="251"/>
      <c r="AL44" s="251"/>
      <c r="AM44" s="251"/>
      <c r="AN44" s="251"/>
      <c r="AO44" s="251"/>
      <c r="AP44" s="534">
        <f>+'BGM-3 (5) PF Adj.'!BL32</f>
        <v>-53153.010725077329</v>
      </c>
      <c r="AQ44" s="251"/>
      <c r="AR44" s="251">
        <f t="shared" si="14"/>
        <v>-144222468.28104278</v>
      </c>
      <c r="AS44" s="328">
        <f t="shared" si="15"/>
        <v>86577788.501146197</v>
      </c>
      <c r="AT44" s="133">
        <f t="shared" si="16"/>
        <v>230800256.78218898</v>
      </c>
      <c r="AU44" s="328">
        <f t="shared" si="17"/>
        <v>-144222468.28104278</v>
      </c>
      <c r="AV44" s="328">
        <f t="shared" si="18"/>
        <v>86577788.501146197</v>
      </c>
      <c r="AW44" s="133">
        <f>+'BGM-3 (3) Param'!C22*'BGM-3 (3) Param'!M15</f>
        <v>1109993.313024</v>
      </c>
      <c r="AX44" s="328">
        <f>SUM(AV44:AW44)</f>
        <v>87687781.814170197</v>
      </c>
      <c r="AY44" s="251"/>
      <c r="AZ44" s="313"/>
      <c r="BA44" s="308"/>
      <c r="BB44" s="308"/>
    </row>
    <row r="45" spans="1:54" s="365" customFormat="1">
      <c r="A45" s="375">
        <f t="shared" si="2"/>
        <v>30</v>
      </c>
      <c r="B45" s="377" t="s">
        <v>293</v>
      </c>
      <c r="C45" s="251">
        <f>[13]Allocated!$B37</f>
        <v>800</v>
      </c>
      <c r="D45" s="251">
        <f>'BGM-3 (4) Rstng Adj'!E48</f>
        <v>-15690291.900360523</v>
      </c>
      <c r="E45" s="251">
        <f>'BGM-3 (4) Rstng Adj'!L52</f>
        <v>9437801</v>
      </c>
      <c r="F45" s="251">
        <f>'BGM-3 (4) Rstng Adj'!Q49</f>
        <v>-538752.47499545664</v>
      </c>
      <c r="G45" s="251">
        <f>+'BGM-3 (4) Rstng Adj'!U30</f>
        <v>144836215.65657258</v>
      </c>
      <c r="H45" s="251">
        <f>+'BGM-3 (4) Rstng Adj'!Y22</f>
        <v>-50867498.851264626</v>
      </c>
      <c r="I45" s="251">
        <f>+'BGM-3 (4) Rstng Adj'!AD34</f>
        <v>-10988692.991524268</v>
      </c>
      <c r="J45" s="251">
        <f>'BGM-3 (4) Rstng Adj'!AI18</f>
        <v>37363</v>
      </c>
      <c r="K45" s="251">
        <f>'BGM-3 (4) Rstng Adj'!AR28</f>
        <v>295804</v>
      </c>
      <c r="L45" s="251">
        <f>'BGM-3 (4) Rstng Adj'!AW29</f>
        <v>84835.087527984026</v>
      </c>
      <c r="M45" s="251">
        <f>'BGM-3 (4) Rstng Adj'!BB17</f>
        <v>8691.3738500527506</v>
      </c>
      <c r="N45" s="251"/>
      <c r="O45" s="284">
        <f>'BGM-3 (4) Rstng Adj'!BJ30</f>
        <v>-142640.92057459999</v>
      </c>
      <c r="P45" s="251">
        <f>'BGM-3 (4) Rstng Adj'!BN29</f>
        <v>92184.4968333336</v>
      </c>
      <c r="Q45" s="251">
        <f>'BGM-3 (4) Rstng Adj'!BS19</f>
        <v>35617.680293952217</v>
      </c>
      <c r="R45" s="251">
        <f>'BGM-3 (4) Rstng Adj'!BX17</f>
        <v>500530.90389011742</v>
      </c>
      <c r="S45" s="251">
        <f>+'BGM-3 (4) Rstng Adj'!CC28</f>
        <v>-806097.55491695704</v>
      </c>
      <c r="T45" s="251">
        <f>'BGM-3 (4) Rstng Adj'!CH34</f>
        <v>-57368</v>
      </c>
      <c r="U45" s="251">
        <f>'BGM-3 (4) Rstng Adj'!CM22</f>
        <v>-65558</v>
      </c>
      <c r="V45" s="251">
        <f>'BGM-3 (4) Rstng Adj'!CR25</f>
        <v>-297654</v>
      </c>
      <c r="W45" s="251">
        <f>'BGM-3 (4) Rstng Adj'!CW25</f>
        <v>-1662500.6854914231</v>
      </c>
      <c r="X45" s="251">
        <f>'BGM-3 (4) Rstng Adj'!DB32</f>
        <v>233717.31377639933</v>
      </c>
      <c r="Y45" s="251">
        <f>'BGM-3 (4) Rstng Adj'!DG18</f>
        <v>5526</v>
      </c>
      <c r="Z45" s="251">
        <f>-Z40*0.35</f>
        <v>-9728331.6963373013</v>
      </c>
      <c r="AA45" s="251">
        <f>-AA40*0.35</f>
        <v>15337558.677777776</v>
      </c>
      <c r="AB45" s="251">
        <f>-AB40*0.35</f>
        <v>0</v>
      </c>
      <c r="AC45" s="251">
        <f>-AC39*0.35</f>
        <v>119344.58375000001</v>
      </c>
      <c r="AD45" s="251">
        <f>+'BGM-3 (5) PF Adj.'!E33</f>
        <v>-3755044.8104354278</v>
      </c>
      <c r="AE45" s="251">
        <f>+'BGM-3 (5) PF Adj.'!J25</f>
        <v>24402</v>
      </c>
      <c r="AF45" s="251">
        <f>'BGM-3 (5) PF Adj.'!O27</f>
        <v>74248</v>
      </c>
      <c r="AG45" s="251"/>
      <c r="AH45" s="251">
        <f>'BGM-3 (5) PF Adj.'!Y62</f>
        <v>-3614453.5907083321</v>
      </c>
      <c r="AI45" s="251">
        <f>'BGM-3 (5) PF Adj.'!AD59</f>
        <v>934883.35847307055</v>
      </c>
      <c r="AJ45" s="251">
        <f>'BGM-3 (5) PF Adj.'!AI28</f>
        <v>-78340.942953804202</v>
      </c>
      <c r="AK45" s="251">
        <f>+'BGM-3 (5) PF Adj.'!AN28</f>
        <v>-1880693.71</v>
      </c>
      <c r="AL45" s="251">
        <f>'BGM-3 (5) PF Adj.'!AS38</f>
        <v>1160.9741459398122</v>
      </c>
      <c r="AM45" s="251">
        <f>+'BGM-3 (5) PF Adj.'!AX27</f>
        <v>0</v>
      </c>
      <c r="AN45" s="251">
        <f>'BGM-3 (5) PF Adj.'!BC28</f>
        <v>-1818066.1896985958</v>
      </c>
      <c r="AO45" s="251">
        <f>+'BGM-3 (5) PF Adj.'!BH23</f>
        <v>0</v>
      </c>
      <c r="AP45" s="251">
        <f>'BGM-3 (5) PF Adj.'!BM49+'BGM-3 (5) PF Adj.'!BL31</f>
        <v>1771500.795102749</v>
      </c>
      <c r="AQ45" s="251">
        <f>+'BGM-3 (5) PF Adj.'!BB27</f>
        <v>0</v>
      </c>
      <c r="AR45" s="251">
        <f t="shared" si="14"/>
        <v>71839398.582732633</v>
      </c>
      <c r="AS45" s="328">
        <f t="shared" si="15"/>
        <v>71840198.582732633</v>
      </c>
      <c r="AT45" s="133">
        <f t="shared" si="16"/>
        <v>800</v>
      </c>
      <c r="AU45" s="328">
        <f t="shared" si="17"/>
        <v>71839398.582732633</v>
      </c>
      <c r="AV45" s="328">
        <f t="shared" si="18"/>
        <v>71840198.582732633</v>
      </c>
      <c r="AW45" s="133">
        <f>+'BGM-3 (3) Param'!C22*'BGM-3 (3) Param'!M20</f>
        <v>9621125.438719999</v>
      </c>
      <c r="AX45" s="328">
        <f>SUM(AV45:AW45)</f>
        <v>81461324.021452636</v>
      </c>
      <c r="AY45" s="251"/>
      <c r="AZ45" s="313"/>
      <c r="BA45" s="308"/>
      <c r="BB45" s="308"/>
    </row>
    <row r="46" spans="1:54" s="365" customFormat="1">
      <c r="A46" s="375">
        <f t="shared" si="2"/>
        <v>31</v>
      </c>
      <c r="B46" s="374" t="s">
        <v>276</v>
      </c>
      <c r="C46" s="280">
        <f>[13]Allocated!$B38</f>
        <v>181996914.66999999</v>
      </c>
      <c r="D46" s="280"/>
      <c r="E46" s="280"/>
      <c r="F46" s="328"/>
      <c r="G46" s="251">
        <f>'BGM-3 (4) Rstng Adj'!U31</f>
        <v>-117812976.8499999</v>
      </c>
      <c r="H46" s="251"/>
      <c r="I46" s="280"/>
      <c r="J46" s="328"/>
      <c r="K46" s="280"/>
      <c r="L46" s="328"/>
      <c r="M46" s="280"/>
      <c r="N46" s="280"/>
      <c r="O46" s="280"/>
      <c r="P46" s="280"/>
      <c r="Q46" s="280"/>
      <c r="R46" s="280"/>
      <c r="S46" s="280"/>
      <c r="T46" s="280"/>
      <c r="U46" s="280"/>
      <c r="V46" s="420"/>
      <c r="W46" s="420"/>
      <c r="X46" s="420"/>
      <c r="Y46" s="702"/>
      <c r="Z46" s="702"/>
      <c r="AA46" s="702"/>
      <c r="AB46" s="702"/>
      <c r="AC46" s="702"/>
      <c r="AD46" s="280"/>
      <c r="AE46" s="280"/>
      <c r="AF46" s="328"/>
      <c r="AG46" s="251">
        <f>'BGM-3 (5) PF Adj.'!T19</f>
        <v>-22439083.670499962</v>
      </c>
      <c r="AH46" s="280"/>
      <c r="AI46" s="328"/>
      <c r="AJ46" s="280"/>
      <c r="AK46" s="280"/>
      <c r="AL46" s="280"/>
      <c r="AM46" s="280"/>
      <c r="AN46" s="280"/>
      <c r="AO46" s="328"/>
      <c r="AP46" s="328"/>
      <c r="AQ46" s="280"/>
      <c r="AR46" s="251">
        <f t="shared" si="14"/>
        <v>-140252060.52049986</v>
      </c>
      <c r="AS46" s="280">
        <f t="shared" si="15"/>
        <v>41744854.149500132</v>
      </c>
      <c r="AT46" s="133">
        <f t="shared" si="16"/>
        <v>181996914.66999999</v>
      </c>
      <c r="AU46" s="280">
        <f t="shared" si="17"/>
        <v>-140252060.52049986</v>
      </c>
      <c r="AV46" s="280">
        <f t="shared" si="18"/>
        <v>41744854.149500132</v>
      </c>
      <c r="AW46" s="133"/>
      <c r="AX46" s="280">
        <f t="shared" si="19"/>
        <v>41744854.149500132</v>
      </c>
      <c r="AY46" s="251"/>
      <c r="AZ46" s="313"/>
      <c r="BA46" s="308"/>
      <c r="BB46" s="308"/>
    </row>
    <row r="47" spans="1:54" s="365" customFormat="1">
      <c r="A47" s="375">
        <f t="shared" si="2"/>
        <v>32</v>
      </c>
      <c r="B47" s="377" t="s">
        <v>277</v>
      </c>
      <c r="C47" s="778">
        <f t="shared" ref="C47:AX47" si="20">SUM(C30:C46)</f>
        <v>1994336799.3812201</v>
      </c>
      <c r="D47" s="778">
        <f t="shared" si="20"/>
        <v>277799.6191231329</v>
      </c>
      <c r="E47" s="778">
        <f t="shared" si="20"/>
        <v>10785909</v>
      </c>
      <c r="F47" s="778">
        <f t="shared" si="20"/>
        <v>-191823830.72929412</v>
      </c>
      <c r="G47" s="778">
        <f t="shared" si="20"/>
        <v>27023238.806572676</v>
      </c>
      <c r="H47" s="778">
        <f t="shared" si="20"/>
        <v>-50867498.851264626</v>
      </c>
      <c r="I47" s="778">
        <f t="shared" si="20"/>
        <v>20407572.698545069</v>
      </c>
      <c r="J47" s="778">
        <f t="shared" si="20"/>
        <v>-69387.278670666696</v>
      </c>
      <c r="K47" s="778">
        <f t="shared" si="20"/>
        <v>-549350</v>
      </c>
      <c r="L47" s="778">
        <f t="shared" si="20"/>
        <v>-157550.87683768579</v>
      </c>
      <c r="M47" s="778">
        <f t="shared" si="20"/>
        <v>-16141.122864383684</v>
      </c>
      <c r="N47" s="778">
        <f t="shared" si="20"/>
        <v>108170.94876945516</v>
      </c>
      <c r="O47" s="778">
        <f t="shared" si="20"/>
        <v>264904.5667814</v>
      </c>
      <c r="P47" s="778">
        <f t="shared" si="20"/>
        <v>-171199.77983333383</v>
      </c>
      <c r="Q47" s="778">
        <f t="shared" si="20"/>
        <v>-66147.120545911268</v>
      </c>
      <c r="R47" s="778">
        <f t="shared" si="20"/>
        <v>-929557.39293878956</v>
      </c>
      <c r="S47" s="778">
        <f t="shared" si="20"/>
        <v>1497038.3162743491</v>
      </c>
      <c r="T47" s="778">
        <f t="shared" si="20"/>
        <v>106541.622307254</v>
      </c>
      <c r="U47" s="778">
        <f t="shared" si="20"/>
        <v>121750.92923393101</v>
      </c>
      <c r="V47" s="778">
        <f t="shared" si="20"/>
        <v>552786.58200000017</v>
      </c>
      <c r="W47" s="778">
        <f t="shared" si="20"/>
        <v>3087501.2730555004</v>
      </c>
      <c r="X47" s="778">
        <f>SUM(X30:X46)</f>
        <v>-434046.43987045588</v>
      </c>
      <c r="Y47" s="778">
        <f>SUM(Y30:Y46)</f>
        <v>-10262.31709798798</v>
      </c>
      <c r="Z47" s="778">
        <f t="shared" ref="Z47:AB47" si="21">SUM(Z30:Z46)</f>
        <v>18066901.721769273</v>
      </c>
      <c r="AA47" s="778">
        <f>SUM(AA30:AA46)</f>
        <v>-28484037.544444449</v>
      </c>
      <c r="AB47" s="778">
        <f t="shared" si="21"/>
        <v>0</v>
      </c>
      <c r="AC47" s="778">
        <f t="shared" ref="AC47" si="22">SUM(AC30:AC46)</f>
        <v>-221639.94125000003</v>
      </c>
      <c r="AD47" s="778">
        <f t="shared" si="20"/>
        <v>-130644651.272825</v>
      </c>
      <c r="AE47" s="778">
        <f t="shared" si="20"/>
        <v>-45318.08998702839</v>
      </c>
      <c r="AF47" s="778">
        <f t="shared" si="20"/>
        <v>-137890.37865459672</v>
      </c>
      <c r="AG47" s="778">
        <f t="shared" si="20"/>
        <v>41672583.95949994</v>
      </c>
      <c r="AH47" s="778">
        <f t="shared" si="20"/>
        <v>6712556.6684583332</v>
      </c>
      <c r="AI47" s="778">
        <f t="shared" si="20"/>
        <v>-1736211.9514499884</v>
      </c>
      <c r="AJ47" s="778">
        <f t="shared" si="20"/>
        <v>145490.32262849354</v>
      </c>
      <c r="AK47" s="778">
        <f t="shared" si="20"/>
        <v>3492716.8900000006</v>
      </c>
      <c r="AL47" s="778">
        <f t="shared" si="20"/>
        <v>-2156.0948424596518</v>
      </c>
      <c r="AM47" s="778">
        <f t="shared" si="20"/>
        <v>0</v>
      </c>
      <c r="AN47" s="778">
        <f>SUM(AN30:AN46)</f>
        <v>3376408.6380116781</v>
      </c>
      <c r="AO47" s="778">
        <f>SUM(AO30:AO46)</f>
        <v>0</v>
      </c>
      <c r="AP47" s="778">
        <f t="shared" si="20"/>
        <v>-3146682.5716104778</v>
      </c>
      <c r="AQ47" s="778">
        <f t="shared" ref="AQ47" si="23">SUM(AQ30:AQ46)</f>
        <v>0</v>
      </c>
      <c r="AR47" s="778">
        <f t="shared" si="20"/>
        <v>-271813687.1912514</v>
      </c>
      <c r="AS47" s="778">
        <f t="shared" si="20"/>
        <v>1722523112.1899683</v>
      </c>
      <c r="AT47" s="779">
        <f t="shared" si="20"/>
        <v>1994336799.3812201</v>
      </c>
      <c r="AU47" s="778">
        <f t="shared" si="20"/>
        <v>-271813687.1912514</v>
      </c>
      <c r="AV47" s="778">
        <f t="shared" si="20"/>
        <v>1722523112.1899683</v>
      </c>
      <c r="AW47" s="779">
        <f t="shared" si="20"/>
        <v>10995419.367167998</v>
      </c>
      <c r="AX47" s="778">
        <f t="shared" si="20"/>
        <v>1733518531.5571361</v>
      </c>
      <c r="AY47" s="288"/>
      <c r="AZ47" s="343"/>
      <c r="BA47" s="308"/>
      <c r="BB47" s="308"/>
    </row>
    <row r="48" spans="1:54" s="365" customFormat="1">
      <c r="A48" s="375">
        <f t="shared" si="2"/>
        <v>33</v>
      </c>
      <c r="B48" s="374"/>
      <c r="C48" s="287"/>
      <c r="D48" s="287" t="s">
        <v>282</v>
      </c>
      <c r="E48" s="287" t="s">
        <v>282</v>
      </c>
      <c r="F48" s="287"/>
      <c r="G48" s="287" t="s">
        <v>282</v>
      </c>
      <c r="H48" s="287" t="s">
        <v>282</v>
      </c>
      <c r="I48" s="287"/>
      <c r="J48" s="287"/>
      <c r="K48" s="287" t="s">
        <v>282</v>
      </c>
      <c r="L48" s="287"/>
      <c r="M48" s="287" t="s">
        <v>282</v>
      </c>
      <c r="N48" s="287" t="s">
        <v>282</v>
      </c>
      <c r="O48" s="287" t="s">
        <v>282</v>
      </c>
      <c r="P48" s="287" t="s">
        <v>282</v>
      </c>
      <c r="Q48" s="287"/>
      <c r="R48" s="287"/>
      <c r="S48" s="287" t="s">
        <v>282</v>
      </c>
      <c r="T48" s="287" t="s">
        <v>282</v>
      </c>
      <c r="U48" s="287" t="s">
        <v>282</v>
      </c>
      <c r="V48" s="287" t="s">
        <v>282</v>
      </c>
      <c r="W48" s="287"/>
      <c r="X48" s="287"/>
      <c r="Y48" s="287"/>
      <c r="Z48" s="287"/>
      <c r="AA48" s="287"/>
      <c r="AB48" s="287"/>
      <c r="AC48" s="287"/>
      <c r="AD48" s="287" t="s">
        <v>282</v>
      </c>
      <c r="AE48" s="287" t="s">
        <v>282</v>
      </c>
      <c r="AF48" s="287"/>
      <c r="AG48" s="287"/>
      <c r="AH48" s="287" t="s">
        <v>282</v>
      </c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133"/>
      <c r="AU48" s="287"/>
      <c r="AV48" s="287"/>
      <c r="AW48" s="133"/>
      <c r="AX48" s="287"/>
      <c r="AY48" s="287"/>
      <c r="AZ48" s="313"/>
      <c r="BA48" s="308"/>
      <c r="BB48" s="308"/>
    </row>
    <row r="49" spans="1:54" s="365" customFormat="1">
      <c r="A49" s="375">
        <f t="shared" si="2"/>
        <v>34</v>
      </c>
      <c r="B49" s="377" t="s">
        <v>278</v>
      </c>
      <c r="C49" s="904">
        <f t="shared" ref="C49:AU49" si="24">C21-C47</f>
        <v>401002971.69877887</v>
      </c>
      <c r="D49" s="904">
        <f t="shared" si="24"/>
        <v>-29139113.529240973</v>
      </c>
      <c r="E49" s="904">
        <f t="shared" si="24"/>
        <v>17527344</v>
      </c>
      <c r="F49" s="904">
        <f t="shared" si="24"/>
        <v>-1000540.3107059002</v>
      </c>
      <c r="G49" s="904">
        <f t="shared" si="24"/>
        <v>-27023238.806572676</v>
      </c>
      <c r="H49" s="904">
        <f t="shared" si="24"/>
        <v>50867498.851264626</v>
      </c>
      <c r="I49" s="904">
        <f t="shared" si="24"/>
        <v>-20407572.698545069</v>
      </c>
      <c r="J49" s="904">
        <f t="shared" si="24"/>
        <v>69387.278670666696</v>
      </c>
      <c r="K49" s="904">
        <f t="shared" si="24"/>
        <v>549350</v>
      </c>
      <c r="L49" s="904">
        <f t="shared" si="24"/>
        <v>157550.87683768579</v>
      </c>
      <c r="M49" s="904">
        <f t="shared" si="24"/>
        <v>16141.122864383684</v>
      </c>
      <c r="N49" s="904">
        <f t="shared" si="24"/>
        <v>-108170.94876945516</v>
      </c>
      <c r="O49" s="904">
        <f t="shared" si="24"/>
        <v>-264904.5667814</v>
      </c>
      <c r="P49" s="904">
        <f t="shared" si="24"/>
        <v>171199.77983333383</v>
      </c>
      <c r="Q49" s="904">
        <f t="shared" si="24"/>
        <v>66147.120545911268</v>
      </c>
      <c r="R49" s="904">
        <f t="shared" si="24"/>
        <v>929557.39293878956</v>
      </c>
      <c r="S49" s="904">
        <f t="shared" si="24"/>
        <v>-1497038.3162743491</v>
      </c>
      <c r="T49" s="904">
        <f t="shared" si="24"/>
        <v>-106541.622307254</v>
      </c>
      <c r="U49" s="904">
        <f t="shared" si="24"/>
        <v>-121750.92923393101</v>
      </c>
      <c r="V49" s="904">
        <f t="shared" si="24"/>
        <v>-552786.58200000017</v>
      </c>
      <c r="W49" s="904">
        <f t="shared" si="24"/>
        <v>-3087501.2730555004</v>
      </c>
      <c r="X49" s="904">
        <f t="shared" si="24"/>
        <v>434046.43987045588</v>
      </c>
      <c r="Y49" s="904">
        <f t="shared" ref="Y49:AA49" si="25">Y21-Y47</f>
        <v>10262.31709798798</v>
      </c>
      <c r="Z49" s="904">
        <f t="shared" si="25"/>
        <v>-18066901.721769273</v>
      </c>
      <c r="AA49" s="904">
        <f t="shared" si="25"/>
        <v>28484037.544444449</v>
      </c>
      <c r="AB49" s="904">
        <v>0</v>
      </c>
      <c r="AC49" s="904">
        <v>0</v>
      </c>
      <c r="AD49" s="904">
        <f t="shared" si="24"/>
        <v>-6973654.6479514837</v>
      </c>
      <c r="AE49" s="904">
        <f t="shared" si="24"/>
        <v>45318.08998702839</v>
      </c>
      <c r="AF49" s="904">
        <f t="shared" si="24"/>
        <v>137890.37865459672</v>
      </c>
      <c r="AG49" s="904">
        <f t="shared" si="24"/>
        <v>-41672583.95949994</v>
      </c>
      <c r="AH49" s="904">
        <f t="shared" si="24"/>
        <v>-6712556.6684583332</v>
      </c>
      <c r="AI49" s="904">
        <f t="shared" si="24"/>
        <v>1736211.9514499884</v>
      </c>
      <c r="AJ49" s="904">
        <f t="shared" si="24"/>
        <v>-145490.32262849354</v>
      </c>
      <c r="AK49" s="904">
        <f t="shared" si="24"/>
        <v>-3492716.8900000006</v>
      </c>
      <c r="AL49" s="904">
        <f t="shared" si="24"/>
        <v>2156.0948424596518</v>
      </c>
      <c r="AM49" s="904">
        <f t="shared" si="24"/>
        <v>0</v>
      </c>
      <c r="AN49" s="904">
        <f t="shared" si="24"/>
        <v>-3376408.6380116781</v>
      </c>
      <c r="AO49" s="904">
        <f t="shared" si="24"/>
        <v>0</v>
      </c>
      <c r="AP49" s="904">
        <f t="shared" si="24"/>
        <v>3146682.5716104778</v>
      </c>
      <c r="AQ49" s="904">
        <f t="shared" ref="AQ49" si="26">AQ21-AQ47</f>
        <v>0</v>
      </c>
      <c r="AR49" s="904">
        <f t="shared" si="24"/>
        <v>-59177050.679642916</v>
      </c>
      <c r="AS49" s="904">
        <f t="shared" si="24"/>
        <v>341825921.01913619</v>
      </c>
      <c r="AT49" s="904">
        <f t="shared" si="24"/>
        <v>401002971.69877887</v>
      </c>
      <c r="AU49" s="904">
        <f t="shared" si="24"/>
        <v>-59177050.679642975</v>
      </c>
      <c r="AV49" s="904">
        <f t="shared" ref="AV49:AX49" si="27">AV21-AV47</f>
        <v>341825921.01913619</v>
      </c>
      <c r="AW49" s="904">
        <f t="shared" si="27"/>
        <v>17867812.632832002</v>
      </c>
      <c r="AX49" s="904">
        <f t="shared" si="27"/>
        <v>359693733.65196872</v>
      </c>
      <c r="AY49" s="284"/>
      <c r="AZ49" s="334"/>
      <c r="BA49" s="308"/>
      <c r="BB49" s="308"/>
    </row>
    <row r="50" spans="1:54" s="365" customFormat="1">
      <c r="A50" s="375">
        <f t="shared" si="2"/>
        <v>35</v>
      </c>
      <c r="B50" s="374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 t="s">
        <v>282</v>
      </c>
      <c r="AW50" s="29"/>
      <c r="AX50" s="29" t="s">
        <v>282</v>
      </c>
      <c r="AY50" s="29"/>
      <c r="AZ50" s="643"/>
      <c r="BA50" s="308"/>
      <c r="BB50" s="308"/>
    </row>
    <row r="51" spans="1:54" s="365" customFormat="1">
      <c r="A51" s="375">
        <f t="shared" si="2"/>
        <v>36</v>
      </c>
      <c r="B51" s="377" t="s">
        <v>279</v>
      </c>
      <c r="C51" s="904">
        <f>C62</f>
        <v>5153204461.5858841</v>
      </c>
      <c r="D51" s="904">
        <v>0</v>
      </c>
      <c r="E51" s="251">
        <v>0</v>
      </c>
      <c r="F51" s="251">
        <v>0</v>
      </c>
      <c r="G51" s="251">
        <f>G62</f>
        <v>0</v>
      </c>
      <c r="H51" s="251">
        <v>0</v>
      </c>
      <c r="I51" s="904">
        <f>I62</f>
        <v>-10203786.349272529</v>
      </c>
      <c r="J51" s="904">
        <v>0</v>
      </c>
      <c r="K51" s="904">
        <v>0</v>
      </c>
      <c r="L51" s="904">
        <v>0</v>
      </c>
      <c r="M51" s="904">
        <f>'BGM-3 (4) Rstng Adj'!BE20</f>
        <v>0</v>
      </c>
      <c r="N51" s="904">
        <f>'BGM-3 (4) Rstng Adj'!BF20</f>
        <v>0</v>
      </c>
      <c r="O51" s="904">
        <v>0</v>
      </c>
      <c r="P51" s="904">
        <v>0</v>
      </c>
      <c r="Q51" s="904">
        <v>0</v>
      </c>
      <c r="R51" s="904">
        <v>0</v>
      </c>
      <c r="S51" s="904">
        <v>0</v>
      </c>
      <c r="T51" s="904">
        <v>0</v>
      </c>
      <c r="U51" s="904">
        <v>0</v>
      </c>
      <c r="V51" s="904">
        <v>0</v>
      </c>
      <c r="W51" s="904">
        <v>0</v>
      </c>
      <c r="X51" s="904">
        <f>X62</f>
        <v>15915060.097866783</v>
      </c>
      <c r="Y51" s="904">
        <f>Y62</f>
        <v>0</v>
      </c>
      <c r="Z51" s="904">
        <f t="shared" ref="Z51:AA51" si="28">Z62</f>
        <v>-101680983.17993739</v>
      </c>
      <c r="AA51" s="904">
        <f t="shared" si="28"/>
        <v>0</v>
      </c>
      <c r="AB51" s="904">
        <f t="shared" ref="AB51:AC51" si="29">AB62</f>
        <v>-49313213.286249995</v>
      </c>
      <c r="AC51" s="904">
        <f t="shared" si="29"/>
        <v>-13780037.116562499</v>
      </c>
      <c r="AD51" s="904">
        <v>0</v>
      </c>
      <c r="AE51" s="904">
        <v>0</v>
      </c>
      <c r="AF51" s="904">
        <f>'BGM-3 (5) PF Adj.'!O20</f>
        <v>-1969341.3363122563</v>
      </c>
      <c r="AG51" s="904">
        <v>0</v>
      </c>
      <c r="AH51" s="904">
        <v>0</v>
      </c>
      <c r="AI51" s="904">
        <f>AI62</f>
        <v>-44085326.485419184</v>
      </c>
      <c r="AJ51" s="904">
        <f t="shared" ref="AJ51:AM51" si="30">AJ62</f>
        <v>2842787.0613208562</v>
      </c>
      <c r="AK51" s="904">
        <f t="shared" si="30"/>
        <v>5131869.0972135225</v>
      </c>
      <c r="AL51" s="904">
        <f t="shared" si="30"/>
        <v>18140954.4063752</v>
      </c>
      <c r="AM51" s="904">
        <f t="shared" si="30"/>
        <v>19004590.008907948</v>
      </c>
      <c r="AN51" s="904">
        <f>AN62</f>
        <v>-3888478.9757908676</v>
      </c>
      <c r="AO51" s="904">
        <f t="shared" ref="AO51" si="31">AO62</f>
        <v>0</v>
      </c>
      <c r="AP51" s="904">
        <f>+'BGM-3 (5) PF Adj.'!BL96</f>
        <v>-54622970.766517222</v>
      </c>
      <c r="AQ51" s="904">
        <f t="shared" ref="AQ51" si="32">AQ62</f>
        <v>-73969464.23932533</v>
      </c>
      <c r="AR51" s="904">
        <f>SUM(D51:AQ51)</f>
        <v>-292478341.06370294</v>
      </c>
      <c r="AS51" s="251">
        <f>+AR51+C51</f>
        <v>4860726120.5221815</v>
      </c>
      <c r="AT51" s="534">
        <f>C51</f>
        <v>5153204461.5858841</v>
      </c>
      <c r="AU51" s="251">
        <f>AR51</f>
        <v>-292478341.06370294</v>
      </c>
      <c r="AV51" s="251">
        <f>AS51</f>
        <v>4860726120.5221815</v>
      </c>
      <c r="AW51" s="534">
        <v>0</v>
      </c>
      <c r="AX51" s="534">
        <f>SUM(AV51:AW51)</f>
        <v>4860726120.5221815</v>
      </c>
      <c r="AY51" s="287"/>
      <c r="AZ51" s="313"/>
      <c r="BA51" s="308"/>
      <c r="BB51" s="308"/>
    </row>
    <row r="52" spans="1:54" s="365" customFormat="1">
      <c r="A52" s="375">
        <f t="shared" si="2"/>
        <v>37</v>
      </c>
      <c r="B52" s="37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374"/>
      <c r="AZ52" s="313"/>
      <c r="BA52" s="308"/>
      <c r="BB52" s="308"/>
    </row>
    <row r="53" spans="1:54" s="365" customFormat="1">
      <c r="A53" s="375">
        <f t="shared" si="2"/>
        <v>38</v>
      </c>
      <c r="B53" s="377" t="s">
        <v>280</v>
      </c>
      <c r="C53" s="361">
        <f>C49/C51</f>
        <v>7.7816235448839796E-2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361">
        <f>AS49/AS51</f>
        <v>7.0324044709273656E-2</v>
      </c>
      <c r="AT53" s="361">
        <f>AT49/AT51</f>
        <v>7.7816235448839796E-2</v>
      </c>
      <c r="AU53" s="251"/>
      <c r="AV53" s="361">
        <f>AV49/AV51</f>
        <v>7.0324044709273656E-2</v>
      </c>
      <c r="AW53" s="251"/>
      <c r="AX53" s="361">
        <f>AX49/AX51</f>
        <v>7.4000000150867842E-2</v>
      </c>
      <c r="AY53" s="131"/>
      <c r="AZ53" s="313"/>
      <c r="BA53" s="308"/>
      <c r="BB53" s="308"/>
    </row>
    <row r="54" spans="1:54" s="365" customFormat="1">
      <c r="A54" s="375">
        <f t="shared" si="2"/>
        <v>39</v>
      </c>
      <c r="B54" s="37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 t="s">
        <v>282</v>
      </c>
      <c r="AX54" s="284"/>
      <c r="AY54" s="374"/>
      <c r="AZ54" s="313"/>
      <c r="BA54" s="308"/>
      <c r="BB54" s="308"/>
    </row>
    <row r="55" spans="1:54" s="365" customFormat="1">
      <c r="A55" s="375">
        <f t="shared" si="2"/>
        <v>40</v>
      </c>
      <c r="B55" s="374" t="s">
        <v>261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 t="s">
        <v>282</v>
      </c>
      <c r="AX55" s="284"/>
      <c r="AY55" s="374"/>
      <c r="AZ55" s="313"/>
      <c r="BA55" s="308"/>
      <c r="BB55" s="308"/>
    </row>
    <row r="56" spans="1:54" s="365" customFormat="1">
      <c r="A56" s="375">
        <f t="shared" si="2"/>
        <v>41</v>
      </c>
      <c r="B56" s="89" t="s">
        <v>352</v>
      </c>
      <c r="C56" s="904">
        <f>[14]ERB!$D$91</f>
        <v>9760401506.5440865</v>
      </c>
      <c r="D56" s="904">
        <v>0</v>
      </c>
      <c r="E56" s="251">
        <v>0</v>
      </c>
      <c r="F56" s="251">
        <v>0</v>
      </c>
      <c r="G56" s="251">
        <v>0</v>
      </c>
      <c r="H56" s="251">
        <v>0</v>
      </c>
      <c r="I56" s="904">
        <v>0</v>
      </c>
      <c r="J56" s="904">
        <v>0</v>
      </c>
      <c r="K56" s="904">
        <v>0</v>
      </c>
      <c r="L56" s="904">
        <v>0</v>
      </c>
      <c r="M56" s="904">
        <v>0</v>
      </c>
      <c r="N56" s="904">
        <v>0</v>
      </c>
      <c r="O56" s="904">
        <v>0</v>
      </c>
      <c r="P56" s="904">
        <f>+P51</f>
        <v>0</v>
      </c>
      <c r="Q56" s="904">
        <v>0</v>
      </c>
      <c r="R56" s="904">
        <v>0</v>
      </c>
      <c r="S56" s="904">
        <v>0</v>
      </c>
      <c r="T56" s="904">
        <v>0</v>
      </c>
      <c r="U56" s="904">
        <v>0</v>
      </c>
      <c r="V56" s="904">
        <v>0</v>
      </c>
      <c r="W56" s="904">
        <v>0</v>
      </c>
      <c r="X56" s="904">
        <f>'BGM-3 (4) Rstng Adj'!DB15+'BGM-3 (4) Rstng Adj'!DB16</f>
        <v>15741420.734608332</v>
      </c>
      <c r="Y56" s="904"/>
      <c r="Z56" s="904">
        <f>+'BGM-3 (4) Rstng Adj'!DL30</f>
        <v>-101680983.17993739</v>
      </c>
      <c r="AA56" s="904"/>
      <c r="AB56" s="904">
        <f>+'BGM-3 (4) Rstng Adj'!DV14</f>
        <v>-49313213.286249995</v>
      </c>
      <c r="AC56" s="904">
        <v>-13639381</v>
      </c>
      <c r="AD56" s="904">
        <v>0</v>
      </c>
      <c r="AE56" s="904">
        <v>0</v>
      </c>
      <c r="AF56" s="904">
        <f>'BGM-3 (5) PF Adj.'!O15</f>
        <v>-4539303</v>
      </c>
      <c r="AG56" s="904">
        <v>0</v>
      </c>
      <c r="AH56" s="904">
        <v>0</v>
      </c>
      <c r="AI56" s="904"/>
      <c r="AJ56" s="904">
        <f>'BGM-3 (5) PF Adj.'!AI14</f>
        <v>5283142.6882666685</v>
      </c>
      <c r="AK56" s="904">
        <f>+'BGM-3 (5) PF Adj.'!AN15</f>
        <v>16120231.800000003</v>
      </c>
      <c r="AL56" s="904">
        <f>'BGM-3 (5) PF Adj.'!AS14+'BGM-3 (5) PF Adj.'!AS22</f>
        <v>-46656.627500012517</v>
      </c>
      <c r="AM56" s="904">
        <f>+'BGM-3 (5) PF Adj.'!AX15</f>
        <v>24765516.030000001</v>
      </c>
      <c r="AN56" s="904">
        <f>'BGM-3 (5) PF Adj.'!BC15+'BGM-3 (5) PF Adj.'!BC16</f>
        <v>45432.020000000004</v>
      </c>
      <c r="AO56" s="904"/>
      <c r="AP56" s="904">
        <f>AP51-AP59-AP58-AP57</f>
        <v>-105313256</v>
      </c>
      <c r="AQ56" s="904"/>
      <c r="AR56" s="904">
        <f t="shared" ref="AR56:AR62" si="33">SUM(D56:AQ56)</f>
        <v>-212577049.8208124</v>
      </c>
      <c r="AS56" s="251">
        <f t="shared" ref="AS56:AS61" si="34">+AR56+C56</f>
        <v>9547824456.7232742</v>
      </c>
      <c r="AT56" s="534">
        <f t="shared" ref="AT56:AT61" si="35">C56</f>
        <v>9760401506.5440865</v>
      </c>
      <c r="AU56" s="251">
        <f t="shared" ref="AU56:AU61" si="36">+AR56</f>
        <v>-212577049.8208124</v>
      </c>
      <c r="AV56" s="251">
        <f t="shared" ref="AV56:AV61" si="37">+AU56+AT56</f>
        <v>9547824456.7232742</v>
      </c>
      <c r="AW56" s="534"/>
      <c r="AX56" s="534">
        <f t="shared" ref="AX56:AX61" si="38">SUM(AV56:AW56)</f>
        <v>9547824456.7232742</v>
      </c>
      <c r="AY56" s="287"/>
      <c r="AZ56" s="313"/>
      <c r="BA56" s="308"/>
      <c r="BB56" s="308"/>
    </row>
    <row r="57" spans="1:54" s="365" customFormat="1">
      <c r="A57" s="375">
        <f t="shared" si="2"/>
        <v>42</v>
      </c>
      <c r="B57" s="89" t="s">
        <v>353</v>
      </c>
      <c r="C57" s="328">
        <f>[14]ERB!$D$92</f>
        <v>-3743804806.4787149</v>
      </c>
      <c r="D57" s="251"/>
      <c r="E57" s="251"/>
      <c r="F57" s="251"/>
      <c r="G57" s="251"/>
      <c r="H57" s="251"/>
      <c r="I57" s="251">
        <f>+'BGM-3 (4) Rstng Adj'!AD39</f>
        <v>-15698132.845034668</v>
      </c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>
        <f>'BGM-3 (4) Rstng Adj'!DB17+'BGM-3 (4) Rstng Adj'!DB19+'BGM-3 (4) Rstng Adj'!DB18</f>
        <v>-101363.37640134411</v>
      </c>
      <c r="Y57" s="251"/>
      <c r="Z57" s="251"/>
      <c r="AA57" s="251"/>
      <c r="AB57" s="251"/>
      <c r="AC57" s="251">
        <f>+AC39/2</f>
        <v>-170492.26250000001</v>
      </c>
      <c r="AD57" s="251"/>
      <c r="AE57" s="251"/>
      <c r="AF57" s="251">
        <f>'BGM-3 (5) PF Adj.'!O16+'BGM-3 (5) PF Adj.'!O17</f>
        <v>1590015.6893272984</v>
      </c>
      <c r="AG57" s="251"/>
      <c r="AH57" s="251"/>
      <c r="AI57" s="251"/>
      <c r="AJ57" s="251">
        <f>'BGM-3 (5) PF Adj.'!AI15+'BGM-3 (5) PF Adj.'!AI16</f>
        <v>-723725.33830972295</v>
      </c>
      <c r="AK57" s="251">
        <f>+'BGM-3 (5) PF Adj.'!AN16</f>
        <v>-9403468.5500000026</v>
      </c>
      <c r="AL57" s="251">
        <f>'BGM-3 (5) PF Adj.'!AS15+'BGM-3 (5) PF Adj.'!AS16+'BGM-3 (5) PF Adj.'!AS23+'BGM-3 (5) PF Adj.'!AS24</f>
        <v>21111912.982080221</v>
      </c>
      <c r="AM57" s="251">
        <f>+'BGM-3 (5) PF Adj.'!AX16</f>
        <v>-1572187.2608600797</v>
      </c>
      <c r="AN57" s="251"/>
      <c r="AO57" s="251">
        <f>+'BGM-3 (5) PF Adj.'!BH15</f>
        <v>0</v>
      </c>
      <c r="AP57" s="251">
        <f>+'BGM-3 (5) PF Adj.'!BL56+'BGM-3 (5) PF Adj.'!BL58+'BGM-3 (5) PF Adj.'!BL62</f>
        <v>44057476</v>
      </c>
      <c r="AQ57" s="251">
        <f>+'BGM-3 (5) PF Adj.'!BR14</f>
        <v>-73969464.23932533</v>
      </c>
      <c r="AR57" s="251">
        <f t="shared" si="33"/>
        <v>-34879429.201023623</v>
      </c>
      <c r="AS57" s="251">
        <f t="shared" si="34"/>
        <v>-3778684235.6797385</v>
      </c>
      <c r="AT57" s="251">
        <f t="shared" si="35"/>
        <v>-3743804806.4787149</v>
      </c>
      <c r="AU57" s="251">
        <f t="shared" si="36"/>
        <v>-34879429.201023623</v>
      </c>
      <c r="AV57" s="251">
        <f t="shared" si="37"/>
        <v>-3778684235.6797385</v>
      </c>
      <c r="AW57" s="251"/>
      <c r="AX57" s="251">
        <f t="shared" si="38"/>
        <v>-3778684235.6797385</v>
      </c>
      <c r="AY57" s="287"/>
      <c r="AZ57" s="313"/>
      <c r="BA57" s="308"/>
      <c r="BB57" s="308"/>
    </row>
    <row r="58" spans="1:54" s="365" customFormat="1">
      <c r="A58" s="375">
        <f t="shared" si="2"/>
        <v>43</v>
      </c>
      <c r="B58" s="374" t="s">
        <v>308</v>
      </c>
      <c r="C58" s="328">
        <f>[14]ERB!$D$93</f>
        <v>253258620.21125004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>
        <f>'[15]Lead E'!C64</f>
        <v>-58945766.064063393</v>
      </c>
      <c r="AJ58" s="251"/>
      <c r="AK58" s="251"/>
      <c r="AL58" s="251"/>
      <c r="AM58" s="251"/>
      <c r="AN58" s="251">
        <f>'BGM-3 (5) PF Adj.'!BC14+'BGM-3 (5) PF Adj.'!BC18</f>
        <v>-6052169.9764315933</v>
      </c>
      <c r="AO58" s="251">
        <f>+'BGM-3 (5) PF Adj.'!BH14</f>
        <v>0</v>
      </c>
      <c r="AP58" s="251">
        <f>+'BGM-3 (5) PF Adj.'!BL94+'BGM-3 (5) PF Adj.'!BL59+'BGM-3 (5) PF Adj.'!BL60+'[15]RB-IS by FERC'!$J$98</f>
        <v>-5147125.7665172191</v>
      </c>
      <c r="AQ58" s="251"/>
      <c r="AR58" s="251">
        <f t="shared" si="33"/>
        <v>-70145061.8070122</v>
      </c>
      <c r="AS58" s="251">
        <f t="shared" si="34"/>
        <v>183113558.40423784</v>
      </c>
      <c r="AT58" s="251">
        <f t="shared" si="35"/>
        <v>253258620.21125004</v>
      </c>
      <c r="AU58" s="251">
        <f t="shared" si="36"/>
        <v>-70145061.8070122</v>
      </c>
      <c r="AV58" s="251">
        <f t="shared" si="37"/>
        <v>183113558.40423784</v>
      </c>
      <c r="AW58" s="251"/>
      <c r="AX58" s="251">
        <f t="shared" si="38"/>
        <v>183113558.40423784</v>
      </c>
      <c r="AY58" s="287"/>
      <c r="AZ58" s="313"/>
      <c r="BA58" s="308"/>
      <c r="BB58" s="308"/>
    </row>
    <row r="59" spans="1:54" s="365" customFormat="1">
      <c r="A59" s="375">
        <f t="shared" si="2"/>
        <v>44</v>
      </c>
      <c r="B59" s="374" t="s">
        <v>159</v>
      </c>
      <c r="C59" s="328">
        <f>[14]ERB!$D$94</f>
        <v>-1263932467.6059232</v>
      </c>
      <c r="D59" s="251"/>
      <c r="E59" s="251"/>
      <c r="F59" s="251"/>
      <c r="G59" s="251">
        <f>'BGM-3 (4) Rstng Adj'!U35</f>
        <v>0</v>
      </c>
      <c r="H59" s="251"/>
      <c r="I59" s="251">
        <f>'BGM-3 (4) Rstng Adj'!AD40+'BGM-3 (4) Rstng Adj'!AD41</f>
        <v>5494346.4957621396</v>
      </c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>
        <f>'BGM-3 (4) Rstng Adj'!DB20+'BGM-3 (4) Rstng Adj'!DB21</f>
        <v>275002.73965979565</v>
      </c>
      <c r="Y59" s="251"/>
      <c r="Z59" s="251"/>
      <c r="AA59" s="251"/>
      <c r="AB59" s="251"/>
      <c r="AC59" s="251">
        <f>-AC57/2*0.35</f>
        <v>29836.145937500001</v>
      </c>
      <c r="AD59" s="251"/>
      <c r="AE59" s="251"/>
      <c r="AF59" s="251">
        <f>'BGM-3 (5) PF Adj.'!O18+'BGM-3 (5) PF Adj.'!O19</f>
        <v>979945.97436044563</v>
      </c>
      <c r="AG59" s="251"/>
      <c r="AH59" s="251"/>
      <c r="AI59" s="251">
        <f>'[15]Lead E'!C65</f>
        <v>14860439.578644209</v>
      </c>
      <c r="AJ59" s="251">
        <f>'BGM-3 (5) PF Adj.'!AI17+'BGM-3 (5) PF Adj.'!AI18</f>
        <v>-1716630.2886360891</v>
      </c>
      <c r="AK59" s="251">
        <f>+'BGM-3 (5) PF Adj.'!AN17</f>
        <v>-1584894.1527864772</v>
      </c>
      <c r="AL59" s="251">
        <f>'BGM-3 (5) PF Adj.'!AS17+'BGM-3 (5) PF Adj.'!AS18+'BGM-3 (5) PF Adj.'!AS25+'BGM-3 (5) PF Adj.'!AS26</f>
        <v>-2924301.9482050105</v>
      </c>
      <c r="AM59" s="251">
        <f>+'BGM-3 (5) PF Adj.'!AX17</f>
        <v>-4188738.7602319769</v>
      </c>
      <c r="AN59" s="251">
        <f>'BGM-3 (5) PF Adj.'!BC19</f>
        <v>2118258.9806407262</v>
      </c>
      <c r="AO59" s="251"/>
      <c r="AP59" s="251">
        <f>+'BGM-3 (5) PF Adj.'!BL71-'[15]RB-IS by FERC'!$J$98</f>
        <v>11779935</v>
      </c>
      <c r="AQ59" s="251"/>
      <c r="AR59" s="251">
        <f t="shared" si="33"/>
        <v>25123199.765145257</v>
      </c>
      <c r="AS59" s="251">
        <f t="shared" si="34"/>
        <v>-1238809267.8407779</v>
      </c>
      <c r="AT59" s="251">
        <f t="shared" si="35"/>
        <v>-1263932467.6059232</v>
      </c>
      <c r="AU59" s="251">
        <f t="shared" si="36"/>
        <v>25123199.765145257</v>
      </c>
      <c r="AV59" s="251">
        <f t="shared" si="37"/>
        <v>-1238809267.8407779</v>
      </c>
      <c r="AW59" s="251"/>
      <c r="AX59" s="251">
        <f t="shared" si="38"/>
        <v>-1238809267.8407779</v>
      </c>
      <c r="AY59" s="287"/>
      <c r="AZ59" s="313"/>
      <c r="BA59" s="308"/>
      <c r="BB59" s="308"/>
    </row>
    <row r="60" spans="1:54" s="365" customFormat="1">
      <c r="A60" s="375">
        <f t="shared" si="2"/>
        <v>45</v>
      </c>
      <c r="B60" s="374" t="s">
        <v>161</v>
      </c>
      <c r="C60" s="328">
        <f>[14]ERB!$D$95</f>
        <v>227005241.70228952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>
        <f>'BGM-3 (4) Rstng Adj'!BE20</f>
        <v>0</v>
      </c>
      <c r="N60" s="251">
        <f>'BGM-3 (4) Rstng Adj'!BF20</f>
        <v>0</v>
      </c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>
        <f t="shared" si="33"/>
        <v>0</v>
      </c>
      <c r="AS60" s="251">
        <f t="shared" si="34"/>
        <v>227005241.70228952</v>
      </c>
      <c r="AT60" s="251">
        <f t="shared" si="35"/>
        <v>227005241.70228952</v>
      </c>
      <c r="AU60" s="251">
        <f t="shared" si="36"/>
        <v>0</v>
      </c>
      <c r="AV60" s="251">
        <f t="shared" si="37"/>
        <v>227005241.70228952</v>
      </c>
      <c r="AW60" s="251"/>
      <c r="AX60" s="251">
        <f t="shared" si="38"/>
        <v>227005241.70228952</v>
      </c>
      <c r="AY60" s="287"/>
      <c r="AZ60" s="313"/>
      <c r="BA60" s="308"/>
      <c r="BB60" s="308"/>
    </row>
    <row r="61" spans="1:54" s="365" customFormat="1">
      <c r="A61" s="375">
        <f t="shared" si="2"/>
        <v>46</v>
      </c>
      <c r="B61" s="374" t="s">
        <v>160</v>
      </c>
      <c r="C61" s="328">
        <f>[14]ERB!$D$96</f>
        <v>-79723632.787103415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>
        <f t="shared" si="33"/>
        <v>0</v>
      </c>
      <c r="AS61" s="251">
        <f t="shared" si="34"/>
        <v>-79723632.787103415</v>
      </c>
      <c r="AT61" s="251">
        <f t="shared" si="35"/>
        <v>-79723632.787103415</v>
      </c>
      <c r="AU61" s="251">
        <f t="shared" si="36"/>
        <v>0</v>
      </c>
      <c r="AV61" s="251">
        <f t="shared" si="37"/>
        <v>-79723632.787103415</v>
      </c>
      <c r="AW61" s="251"/>
      <c r="AX61" s="251">
        <f t="shared" si="38"/>
        <v>-79723632.787103415</v>
      </c>
      <c r="AY61" s="287"/>
      <c r="AZ61" s="313"/>
      <c r="BA61" s="308"/>
      <c r="BB61" s="308"/>
    </row>
    <row r="62" spans="1:54" s="365" customFormat="1" ht="13.5" thickBot="1">
      <c r="A62" s="375">
        <f t="shared" si="2"/>
        <v>47</v>
      </c>
      <c r="B62" s="374" t="s">
        <v>347</v>
      </c>
      <c r="C62" s="314">
        <f t="shared" ref="C62:AP62" si="39">SUM(C56:C61)</f>
        <v>5153204461.5858841</v>
      </c>
      <c r="D62" s="314">
        <f t="shared" si="39"/>
        <v>0</v>
      </c>
      <c r="E62" s="314">
        <f t="shared" si="39"/>
        <v>0</v>
      </c>
      <c r="F62" s="314">
        <f t="shared" si="39"/>
        <v>0</v>
      </c>
      <c r="G62" s="314">
        <f t="shared" si="39"/>
        <v>0</v>
      </c>
      <c r="H62" s="314">
        <f t="shared" si="39"/>
        <v>0</v>
      </c>
      <c r="I62" s="314">
        <f t="shared" si="39"/>
        <v>-10203786.349272529</v>
      </c>
      <c r="J62" s="314">
        <f t="shared" si="39"/>
        <v>0</v>
      </c>
      <c r="K62" s="314">
        <f t="shared" si="39"/>
        <v>0</v>
      </c>
      <c r="L62" s="314">
        <f t="shared" si="39"/>
        <v>0</v>
      </c>
      <c r="M62" s="314">
        <f t="shared" si="39"/>
        <v>0</v>
      </c>
      <c r="N62" s="314">
        <f t="shared" si="39"/>
        <v>0</v>
      </c>
      <c r="O62" s="314">
        <f t="shared" si="39"/>
        <v>0</v>
      </c>
      <c r="P62" s="314">
        <f t="shared" si="39"/>
        <v>0</v>
      </c>
      <c r="Q62" s="314">
        <f t="shared" si="39"/>
        <v>0</v>
      </c>
      <c r="R62" s="314">
        <f t="shared" si="39"/>
        <v>0</v>
      </c>
      <c r="S62" s="314">
        <f t="shared" si="39"/>
        <v>0</v>
      </c>
      <c r="T62" s="314">
        <f t="shared" si="39"/>
        <v>0</v>
      </c>
      <c r="U62" s="314">
        <f t="shared" si="39"/>
        <v>0</v>
      </c>
      <c r="V62" s="314">
        <f t="shared" si="39"/>
        <v>0</v>
      </c>
      <c r="W62" s="314">
        <f t="shared" si="39"/>
        <v>0</v>
      </c>
      <c r="X62" s="314">
        <f>SUM(X56:X61)</f>
        <v>15915060.097866783</v>
      </c>
      <c r="Y62" s="314">
        <f>SUM(Y56:Y61)</f>
        <v>0</v>
      </c>
      <c r="Z62" s="314">
        <f t="shared" ref="Z62:AB62" si="40">SUM(Z56:Z61)</f>
        <v>-101680983.17993739</v>
      </c>
      <c r="AA62" s="314">
        <f t="shared" si="40"/>
        <v>0</v>
      </c>
      <c r="AB62" s="314">
        <f t="shared" si="40"/>
        <v>-49313213.286249995</v>
      </c>
      <c r="AC62" s="314">
        <f t="shared" ref="AC62" si="41">SUM(AC56:AC61)</f>
        <v>-13780037.116562499</v>
      </c>
      <c r="AD62" s="314">
        <f t="shared" si="39"/>
        <v>0</v>
      </c>
      <c r="AE62" s="314">
        <f t="shared" si="39"/>
        <v>0</v>
      </c>
      <c r="AF62" s="314">
        <f t="shared" si="39"/>
        <v>-1969341.3363122558</v>
      </c>
      <c r="AG62" s="314">
        <f t="shared" si="39"/>
        <v>0</v>
      </c>
      <c r="AH62" s="314">
        <f t="shared" si="39"/>
        <v>0</v>
      </c>
      <c r="AI62" s="314">
        <f t="shared" si="39"/>
        <v>-44085326.485419184</v>
      </c>
      <c r="AJ62" s="314">
        <f t="shared" si="39"/>
        <v>2842787.0613208562</v>
      </c>
      <c r="AK62" s="314">
        <f t="shared" si="39"/>
        <v>5131869.0972135225</v>
      </c>
      <c r="AL62" s="314">
        <f t="shared" si="39"/>
        <v>18140954.4063752</v>
      </c>
      <c r="AM62" s="314">
        <f t="shared" si="39"/>
        <v>19004590.008907948</v>
      </c>
      <c r="AN62" s="314">
        <f>SUM(AN56:AN61)</f>
        <v>-3888478.9757908676</v>
      </c>
      <c r="AO62" s="314">
        <f>SUM(AO56:AO61)</f>
        <v>0</v>
      </c>
      <c r="AP62" s="314">
        <f t="shared" si="39"/>
        <v>-54622970.766517222</v>
      </c>
      <c r="AQ62" s="314">
        <f t="shared" ref="AQ62" si="42">SUM(AQ56:AQ61)</f>
        <v>-73969464.23932533</v>
      </c>
      <c r="AR62" s="314">
        <f t="shared" si="33"/>
        <v>-292478341.06370294</v>
      </c>
      <c r="AS62" s="314">
        <f>SUM(AS56:AS61)</f>
        <v>4860726120.5221806</v>
      </c>
      <c r="AT62" s="314">
        <f>SUM(AT56:AT61)</f>
        <v>5153204461.5858841</v>
      </c>
      <c r="AU62" s="314">
        <f>SUM(AU56:AU61)</f>
        <v>-292478341.063703</v>
      </c>
      <c r="AV62" s="314">
        <f>SUM(AV56:AV61)</f>
        <v>4860726120.5221806</v>
      </c>
      <c r="AW62" s="345"/>
      <c r="AX62" s="314">
        <f>SUM(AX56:AX61)</f>
        <v>4860726120.5221806</v>
      </c>
      <c r="AY62" s="287"/>
      <c r="AZ62" s="313"/>
      <c r="BA62" s="308"/>
      <c r="BB62" s="308"/>
    </row>
    <row r="63" spans="1:54" s="365" customFormat="1" ht="21" thickTop="1">
      <c r="A63" s="357"/>
      <c r="B63" s="338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74"/>
      <c r="AX63" s="38"/>
      <c r="AY63" s="38"/>
      <c r="AZ63" s="313"/>
      <c r="BA63" s="308"/>
      <c r="BB63" s="308"/>
    </row>
    <row r="64" spans="1:54" s="365" customFormat="1">
      <c r="A64" s="142"/>
      <c r="B64" s="373"/>
      <c r="C64" s="287" t="str">
        <f t="shared" ref="C64:AO64" si="43">IF(C62=C51,"OK","ERROR")</f>
        <v>OK</v>
      </c>
      <c r="D64" s="287" t="str">
        <f t="shared" si="43"/>
        <v>OK</v>
      </c>
      <c r="E64" s="287" t="str">
        <f>IF(E62=E51,"OK","ERROR")</f>
        <v>OK</v>
      </c>
      <c r="F64" s="287" t="str">
        <f t="shared" si="43"/>
        <v>OK</v>
      </c>
      <c r="G64" s="287" t="str">
        <f t="shared" si="43"/>
        <v>OK</v>
      </c>
      <c r="H64" s="287" t="str">
        <f t="shared" si="43"/>
        <v>OK</v>
      </c>
      <c r="I64" s="287" t="str">
        <f t="shared" si="43"/>
        <v>OK</v>
      </c>
      <c r="J64" s="287" t="str">
        <f t="shared" si="43"/>
        <v>OK</v>
      </c>
      <c r="K64" s="287" t="str">
        <f t="shared" si="43"/>
        <v>OK</v>
      </c>
      <c r="L64" s="287" t="str">
        <f t="shared" si="43"/>
        <v>OK</v>
      </c>
      <c r="M64" s="287" t="str">
        <f t="shared" si="43"/>
        <v>OK</v>
      </c>
      <c r="N64" s="287" t="str">
        <f t="shared" si="43"/>
        <v>OK</v>
      </c>
      <c r="O64" s="287" t="str">
        <f t="shared" si="43"/>
        <v>OK</v>
      </c>
      <c r="P64" s="287" t="str">
        <f t="shared" si="43"/>
        <v>OK</v>
      </c>
      <c r="Q64" s="287" t="str">
        <f t="shared" si="43"/>
        <v>OK</v>
      </c>
      <c r="R64" s="287" t="str">
        <f t="shared" si="43"/>
        <v>OK</v>
      </c>
      <c r="S64" s="287" t="str">
        <f t="shared" si="43"/>
        <v>OK</v>
      </c>
      <c r="T64" s="287" t="str">
        <f t="shared" si="43"/>
        <v>OK</v>
      </c>
      <c r="U64" s="287" t="str">
        <f t="shared" si="43"/>
        <v>OK</v>
      </c>
      <c r="V64" s="287" t="str">
        <f t="shared" si="43"/>
        <v>OK</v>
      </c>
      <c r="W64" s="287" t="str">
        <f t="shared" si="43"/>
        <v>OK</v>
      </c>
      <c r="X64" s="287" t="str">
        <f>IF(X62=X51,"OK","ERROR")</f>
        <v>OK</v>
      </c>
      <c r="Y64" s="287" t="str">
        <f>IF(Y62=Y51,"OK","ERROR")</f>
        <v>OK</v>
      </c>
      <c r="Z64" s="287" t="str">
        <f t="shared" ref="Z64:AA64" si="44">IF(Z62=Z51,"OK","ERROR")</f>
        <v>OK</v>
      </c>
      <c r="AA64" s="287" t="str">
        <f t="shared" si="44"/>
        <v>OK</v>
      </c>
      <c r="AB64" s="287" t="str">
        <f t="shared" ref="AB64" si="45">IF(AB62=AB51,"OK","ERROR")</f>
        <v>OK</v>
      </c>
      <c r="AC64" s="287"/>
      <c r="AD64" s="287" t="str">
        <f t="shared" si="43"/>
        <v>OK</v>
      </c>
      <c r="AE64" s="287" t="str">
        <f t="shared" si="43"/>
        <v>OK</v>
      </c>
      <c r="AF64" s="287" t="str">
        <f t="shared" si="43"/>
        <v>OK</v>
      </c>
      <c r="AG64" s="287" t="str">
        <f t="shared" si="43"/>
        <v>OK</v>
      </c>
      <c r="AH64" s="287" t="str">
        <f t="shared" si="43"/>
        <v>OK</v>
      </c>
      <c r="AI64" s="287" t="str">
        <f t="shared" si="43"/>
        <v>OK</v>
      </c>
      <c r="AJ64" s="287" t="str">
        <f t="shared" si="43"/>
        <v>OK</v>
      </c>
      <c r="AK64" s="287" t="str">
        <f t="shared" si="43"/>
        <v>OK</v>
      </c>
      <c r="AL64" s="287" t="str">
        <f t="shared" si="43"/>
        <v>OK</v>
      </c>
      <c r="AM64" s="287" t="str">
        <f t="shared" si="43"/>
        <v>OK</v>
      </c>
      <c r="AN64" s="287" t="str">
        <f t="shared" si="43"/>
        <v>OK</v>
      </c>
      <c r="AO64" s="287" t="str">
        <f t="shared" si="43"/>
        <v>OK</v>
      </c>
      <c r="AP64" s="287" t="str">
        <f>IF(AP62=AP51,"OK","ERROR")</f>
        <v>OK</v>
      </c>
      <c r="AQ64" s="287" t="str">
        <f>IF(AQ62=AQ51,"OK","ERROR")</f>
        <v>OK</v>
      </c>
      <c r="AR64" s="287" t="str">
        <f>IF(ROUND(AR62,0)=ROUND(AR51,0),"OK","ERROR")</f>
        <v>OK</v>
      </c>
      <c r="AS64" s="287" t="str">
        <f>IF(ROUND(AS62,0)=ROUND(AS51,0),"OK","ERROR")</f>
        <v>OK</v>
      </c>
      <c r="AT64" s="287" t="str">
        <f>IF(ROUND(AT62,0)=ROUND(AT51,0),"OK","ERROR")</f>
        <v>OK</v>
      </c>
      <c r="AU64" s="287" t="str">
        <f>IF(ROUND(AU62,0)=ROUND(AU51,0),"OK","ERROR")</f>
        <v>OK</v>
      </c>
      <c r="AV64" s="287" t="str">
        <f>IF(ROUND(AV62,0)=ROUND(AV51,0),"OK","ERROR")</f>
        <v>OK</v>
      </c>
      <c r="AW64" s="374"/>
      <c r="AX64" s="143"/>
      <c r="AY64" s="374"/>
      <c r="AZ64" s="313"/>
      <c r="BA64" s="308"/>
      <c r="BB64" s="308"/>
    </row>
    <row r="65" spans="1:54" s="365" customFormat="1">
      <c r="A65" s="397"/>
      <c r="B65" s="377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374"/>
      <c r="AT65" s="284"/>
      <c r="AU65" s="162"/>
      <c r="AV65" s="162"/>
      <c r="AW65" s="162"/>
      <c r="AX65" s="162"/>
      <c r="AY65" s="373"/>
      <c r="AZ65" s="313"/>
      <c r="BA65" s="308"/>
      <c r="BB65" s="308"/>
    </row>
    <row r="66" spans="1:54" s="365" customFormat="1">
      <c r="A66" s="288"/>
      <c r="B66" s="90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566"/>
      <c r="X66" s="566"/>
      <c r="Y66" s="566"/>
      <c r="Z66" s="566"/>
      <c r="AA66" s="566"/>
      <c r="AB66" s="566"/>
      <c r="AC66" s="566"/>
      <c r="AD66" s="398"/>
      <c r="AE66" s="398"/>
      <c r="AF66" s="398"/>
      <c r="AG66" s="398"/>
      <c r="AH66" s="398"/>
      <c r="AI66" s="398"/>
      <c r="AJ66" s="398"/>
      <c r="AK66" s="398"/>
      <c r="AL66" s="398"/>
      <c r="AM66" s="398"/>
      <c r="AN66" s="566"/>
      <c r="AO66" s="566"/>
      <c r="AP66" s="398"/>
      <c r="AQ66" s="566"/>
      <c r="AR66" s="398"/>
      <c r="AS66" s="398"/>
      <c r="AT66" s="398"/>
      <c r="AU66" s="398"/>
      <c r="AV66" s="398"/>
      <c r="AW66" s="398"/>
      <c r="AX66" s="398"/>
      <c r="AY66" s="345"/>
      <c r="AZ66" s="313"/>
    </row>
    <row r="67" spans="1:54" s="365" customFormat="1">
      <c r="A67" s="313"/>
      <c r="B67" s="313"/>
      <c r="C67" s="398"/>
      <c r="D67" s="398"/>
      <c r="E67" s="398"/>
      <c r="F67" s="398"/>
      <c r="G67" s="398"/>
      <c r="H67" s="515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566"/>
      <c r="X67" s="566"/>
      <c r="Y67" s="566"/>
      <c r="Z67" s="566"/>
      <c r="AA67" s="566"/>
      <c r="AB67" s="566"/>
      <c r="AC67" s="566"/>
      <c r="AD67" s="516"/>
      <c r="AE67" s="398"/>
      <c r="AF67" s="398"/>
      <c r="AG67" s="398"/>
      <c r="AH67" s="398"/>
      <c r="AI67" s="398"/>
      <c r="AJ67" s="398"/>
      <c r="AK67" s="398"/>
      <c r="AL67" s="398"/>
      <c r="AM67" s="398"/>
      <c r="AN67" s="566"/>
      <c r="AO67" s="566"/>
      <c r="AP67" s="398"/>
      <c r="AQ67" s="566"/>
      <c r="AR67" s="398"/>
      <c r="AS67" s="398"/>
      <c r="AT67" s="398"/>
      <c r="AU67" s="398"/>
      <c r="AV67" s="398"/>
      <c r="AW67" s="398"/>
      <c r="AX67" s="398"/>
      <c r="AY67" s="374"/>
      <c r="AZ67" s="313"/>
    </row>
    <row r="68" spans="1:54" s="365" customFormat="1">
      <c r="A68" s="313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43"/>
      <c r="T68" s="313"/>
      <c r="U68" s="313"/>
      <c r="V68" s="313"/>
      <c r="W68" s="313"/>
      <c r="X68" s="313"/>
      <c r="Y68" s="313"/>
      <c r="Z68" s="313"/>
      <c r="AA68" s="313"/>
      <c r="AB68" s="313"/>
      <c r="AC68" s="566"/>
      <c r="AD68" s="516"/>
      <c r="AE68" s="313"/>
      <c r="AF68" s="313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74"/>
      <c r="AS68" s="374"/>
      <c r="AT68" s="374"/>
      <c r="AU68" s="374"/>
      <c r="AV68" s="374"/>
      <c r="AW68" s="374"/>
      <c r="AX68" s="374"/>
      <c r="AY68" s="374"/>
      <c r="AZ68" s="313"/>
    </row>
    <row r="69" spans="1:54" s="365" customFormat="1">
      <c r="A69" s="313"/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566"/>
      <c r="AD69" s="516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74"/>
      <c r="AS69" s="374"/>
      <c r="AT69" s="374"/>
      <c r="AU69" s="374"/>
      <c r="AV69" s="374"/>
      <c r="AW69" s="374"/>
      <c r="AX69" s="374"/>
      <c r="AY69" s="374"/>
      <c r="AZ69" s="313"/>
    </row>
    <row r="70" spans="1:54" s="365" customFormat="1">
      <c r="A70" s="313"/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516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74"/>
      <c r="AS70" s="374"/>
      <c r="AT70" s="374"/>
      <c r="AU70" s="374"/>
      <c r="AV70" s="374"/>
      <c r="AW70" s="374"/>
      <c r="AX70" s="374"/>
      <c r="AY70" s="374"/>
      <c r="AZ70" s="313"/>
    </row>
    <row r="71" spans="1:54" s="365" customFormat="1">
      <c r="A71" s="313"/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516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74"/>
      <c r="AS71" s="374"/>
      <c r="AT71" s="374"/>
      <c r="AU71" s="374"/>
      <c r="AV71" s="374"/>
      <c r="AW71" s="374"/>
      <c r="AX71" s="374"/>
      <c r="AY71" s="374"/>
      <c r="AZ71" s="313"/>
    </row>
    <row r="72" spans="1:54" s="365" customFormat="1">
      <c r="A72" s="313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516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74"/>
      <c r="AS72" s="374"/>
      <c r="AT72" s="374"/>
      <c r="AU72" s="374"/>
      <c r="AV72" s="374"/>
      <c r="AW72" s="374"/>
      <c r="AX72" s="373"/>
      <c r="AY72" s="374"/>
      <c r="AZ72" s="313"/>
    </row>
    <row r="73" spans="1:54" s="365" customFormat="1">
      <c r="A73" s="313"/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74"/>
      <c r="AS73" s="374"/>
      <c r="AT73" s="374"/>
      <c r="AU73" s="374"/>
      <c r="AV73" s="374"/>
      <c r="AW73" s="374"/>
      <c r="AX73" s="373"/>
      <c r="AY73" s="374"/>
      <c r="AZ73" s="313"/>
    </row>
    <row r="74" spans="1:54" s="365" customFormat="1">
      <c r="A74" s="313"/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74"/>
      <c r="AS74" s="374"/>
      <c r="AT74" s="374"/>
      <c r="AU74" s="374"/>
      <c r="AV74" s="374"/>
      <c r="AW74" s="374"/>
      <c r="AX74" s="373"/>
      <c r="AY74" s="374"/>
      <c r="AZ74" s="313"/>
    </row>
    <row r="75" spans="1:54" s="365" customFormat="1">
      <c r="A75" s="313"/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74"/>
      <c r="AS75" s="374"/>
      <c r="AT75" s="374"/>
      <c r="AU75" s="374"/>
      <c r="AV75" s="374"/>
      <c r="AW75" s="374"/>
      <c r="AX75" s="374"/>
      <c r="AY75" s="374"/>
      <c r="AZ75" s="313"/>
    </row>
    <row r="76" spans="1:5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 s="286"/>
      <c r="W76" s="286"/>
      <c r="X76" s="286"/>
      <c r="Y76" s="286"/>
      <c r="Z76" s="286"/>
      <c r="AA76" s="286"/>
      <c r="AB76" s="286"/>
      <c r="AC76" s="286"/>
      <c r="AD76"/>
      <c r="AE76"/>
      <c r="AF76"/>
      <c r="AG76"/>
      <c r="AH76"/>
      <c r="AI76"/>
      <c r="AJ76" s="286"/>
      <c r="AK76" s="286"/>
      <c r="AL76"/>
      <c r="AM76" s="286"/>
      <c r="AN76" s="286"/>
      <c r="AO76" s="286"/>
      <c r="AP76"/>
      <c r="AQ76" s="286"/>
      <c r="AX76" s="11"/>
    </row>
    <row r="77" spans="1:5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 s="286"/>
      <c r="W77" s="286"/>
      <c r="X77" s="286"/>
      <c r="Y77" s="286"/>
      <c r="Z77" s="286"/>
      <c r="AA77" s="286"/>
      <c r="AB77" s="286"/>
      <c r="AC77" s="286"/>
      <c r="AD77"/>
      <c r="AE77"/>
      <c r="AF77"/>
      <c r="AG77"/>
      <c r="AH77"/>
      <c r="AI77"/>
      <c r="AJ77" s="286"/>
      <c r="AK77" s="286"/>
      <c r="AL77"/>
      <c r="AM77" s="286"/>
      <c r="AN77" s="286"/>
      <c r="AO77" s="286"/>
      <c r="AP77"/>
      <c r="AQ77" s="286"/>
      <c r="AX77" s="11"/>
    </row>
    <row r="78" spans="1:5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 s="286"/>
      <c r="W78" s="286"/>
      <c r="X78" s="286"/>
      <c r="Y78" s="286"/>
      <c r="Z78" s="286"/>
      <c r="AA78" s="286"/>
      <c r="AB78" s="286"/>
      <c r="AC78" s="286"/>
      <c r="AD78"/>
      <c r="AE78"/>
      <c r="AF78"/>
      <c r="AG78"/>
      <c r="AH78"/>
      <c r="AI78"/>
      <c r="AJ78" s="286"/>
      <c r="AK78" s="286"/>
      <c r="AL78"/>
      <c r="AM78" s="286"/>
      <c r="AN78" s="286"/>
      <c r="AO78" s="286"/>
      <c r="AP78"/>
      <c r="AQ78" s="286"/>
      <c r="AX78" s="11"/>
    </row>
    <row r="79" spans="1:5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 s="286"/>
      <c r="W79" s="286"/>
      <c r="X79" s="286"/>
      <c r="Y79" s="286"/>
      <c r="Z79" s="286"/>
      <c r="AA79" s="286"/>
      <c r="AB79" s="286"/>
      <c r="AC79" s="286"/>
      <c r="AD79"/>
      <c r="AE79"/>
      <c r="AF79"/>
      <c r="AG79"/>
      <c r="AH79"/>
      <c r="AI79"/>
      <c r="AJ79" s="286"/>
      <c r="AK79" s="286"/>
      <c r="AL79"/>
      <c r="AM79" s="286"/>
      <c r="AN79" s="286"/>
      <c r="AO79" s="286"/>
      <c r="AP79"/>
      <c r="AQ79" s="286"/>
      <c r="AX79" s="11"/>
    </row>
    <row r="80" spans="1:5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 s="286"/>
      <c r="W80" s="286"/>
      <c r="X80" s="286"/>
      <c r="Y80" s="286"/>
      <c r="Z80" s="286"/>
      <c r="AA80" s="286"/>
      <c r="AB80" s="286"/>
      <c r="AC80" s="286"/>
      <c r="AD80"/>
      <c r="AE80"/>
      <c r="AF80"/>
      <c r="AG80"/>
      <c r="AH80"/>
      <c r="AI80"/>
      <c r="AJ80" s="286"/>
      <c r="AK80" s="286"/>
      <c r="AL80"/>
      <c r="AM80" s="286"/>
      <c r="AN80" s="286"/>
      <c r="AO80" s="286"/>
      <c r="AP80"/>
      <c r="AQ80" s="286"/>
      <c r="AX80" s="11"/>
    </row>
    <row r="81" spans="1:50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 s="286"/>
      <c r="W81" s="286"/>
      <c r="X81" s="286"/>
      <c r="Y81" s="286"/>
      <c r="Z81" s="286"/>
      <c r="AA81" s="286"/>
      <c r="AB81" s="286"/>
      <c r="AC81" s="286"/>
      <c r="AD81"/>
      <c r="AE81"/>
      <c r="AF81"/>
      <c r="AG81"/>
      <c r="AH81"/>
      <c r="AI81"/>
      <c r="AJ81" s="286"/>
      <c r="AK81" s="286"/>
      <c r="AL81"/>
      <c r="AM81" s="286"/>
      <c r="AN81" s="286"/>
      <c r="AO81" s="286"/>
      <c r="AP81"/>
      <c r="AQ81" s="286"/>
      <c r="AX81" s="11"/>
    </row>
    <row r="82" spans="1:50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 s="286"/>
      <c r="W82" s="286"/>
      <c r="X82" s="286"/>
      <c r="Y82" s="286"/>
      <c r="Z82" s="286"/>
      <c r="AA82" s="286"/>
      <c r="AB82" s="286"/>
      <c r="AC82" s="286"/>
      <c r="AD82"/>
      <c r="AE82"/>
      <c r="AF82"/>
      <c r="AG82"/>
      <c r="AH82"/>
      <c r="AI82"/>
      <c r="AJ82" s="286"/>
      <c r="AK82" s="286"/>
      <c r="AL82"/>
      <c r="AM82" s="286"/>
      <c r="AN82" s="286"/>
      <c r="AO82" s="286"/>
      <c r="AP82"/>
      <c r="AQ82" s="286"/>
      <c r="AX82" s="11"/>
    </row>
    <row r="83" spans="1:50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 s="286"/>
      <c r="W83" s="286"/>
      <c r="X83" s="286"/>
      <c r="Y83" s="286"/>
      <c r="Z83" s="286"/>
      <c r="AA83" s="286"/>
      <c r="AB83" s="286"/>
      <c r="AC83" s="286"/>
      <c r="AD83"/>
      <c r="AE83"/>
      <c r="AF83"/>
      <c r="AG83"/>
      <c r="AH83"/>
      <c r="AI83"/>
      <c r="AJ83" s="286"/>
      <c r="AK83" s="286"/>
      <c r="AL83"/>
      <c r="AM83" s="286"/>
      <c r="AN83" s="286"/>
      <c r="AO83" s="286"/>
      <c r="AP83"/>
      <c r="AQ83" s="286"/>
    </row>
    <row r="84" spans="1:50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 s="286"/>
      <c r="W84" s="286"/>
      <c r="X84" s="286"/>
      <c r="Y84" s="286"/>
      <c r="Z84" s="286"/>
      <c r="AA84" s="286"/>
      <c r="AB84" s="286"/>
      <c r="AC84" s="286"/>
      <c r="AD84"/>
      <c r="AE84"/>
      <c r="AF84"/>
      <c r="AG84"/>
      <c r="AH84"/>
      <c r="AI84"/>
      <c r="AJ84" s="286"/>
      <c r="AK84" s="286"/>
      <c r="AL84"/>
      <c r="AM84" s="286"/>
      <c r="AN84" s="286"/>
      <c r="AO84" s="286"/>
      <c r="AP84"/>
      <c r="AQ84" s="286"/>
    </row>
    <row r="85" spans="1:50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 s="286"/>
      <c r="W85" s="286"/>
      <c r="X85" s="286"/>
      <c r="Y85" s="286"/>
      <c r="Z85" s="286"/>
      <c r="AA85" s="286"/>
      <c r="AB85" s="286"/>
      <c r="AC85" s="286"/>
      <c r="AD85"/>
      <c r="AE85"/>
      <c r="AF85"/>
      <c r="AG85"/>
      <c r="AH85"/>
      <c r="AI85"/>
      <c r="AJ85" s="286"/>
      <c r="AK85" s="286"/>
      <c r="AL85"/>
      <c r="AM85" s="286"/>
      <c r="AN85" s="286"/>
      <c r="AO85" s="286"/>
      <c r="AP85"/>
      <c r="AQ85" s="286"/>
    </row>
    <row r="86" spans="1:50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 s="286"/>
      <c r="W86" s="286"/>
      <c r="X86" s="286"/>
      <c r="Y86" s="286"/>
      <c r="Z86" s="286"/>
      <c r="AA86" s="286"/>
      <c r="AB86" s="286"/>
      <c r="AC86" s="286"/>
      <c r="AD86"/>
      <c r="AE86"/>
      <c r="AF86"/>
      <c r="AG86"/>
      <c r="AH86"/>
      <c r="AI86"/>
      <c r="AJ86" s="286"/>
      <c r="AK86" s="286"/>
      <c r="AL86"/>
      <c r="AM86" s="286"/>
      <c r="AN86" s="286"/>
      <c r="AO86" s="286"/>
      <c r="AP86"/>
      <c r="AQ86" s="286"/>
    </row>
    <row r="87" spans="1:50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 s="286"/>
      <c r="W87" s="286"/>
      <c r="X87" s="286"/>
      <c r="Y87" s="286"/>
      <c r="Z87" s="286"/>
      <c r="AA87" s="286"/>
      <c r="AB87" s="286"/>
      <c r="AC87" s="286"/>
      <c r="AD87"/>
      <c r="AE87"/>
      <c r="AF87"/>
      <c r="AG87"/>
      <c r="AH87"/>
      <c r="AI87"/>
      <c r="AJ87" s="286"/>
      <c r="AK87" s="286"/>
      <c r="AL87"/>
      <c r="AM87" s="286"/>
      <c r="AN87" s="286"/>
      <c r="AO87" s="286"/>
      <c r="AP87"/>
      <c r="AQ87" s="286"/>
      <c r="AT87"/>
    </row>
    <row r="88" spans="1:50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 s="286"/>
      <c r="W88" s="286"/>
      <c r="X88" s="286"/>
      <c r="Y88" s="286"/>
      <c r="Z88" s="286"/>
      <c r="AA88" s="286"/>
      <c r="AB88" s="286"/>
      <c r="AC88" s="286"/>
      <c r="AD88"/>
      <c r="AE88"/>
      <c r="AF88"/>
      <c r="AG88"/>
      <c r="AH88"/>
      <c r="AI88"/>
      <c r="AJ88" s="286"/>
      <c r="AK88" s="286"/>
      <c r="AL88"/>
      <c r="AM88" s="286"/>
      <c r="AN88" s="286"/>
      <c r="AO88" s="286"/>
      <c r="AP88"/>
      <c r="AQ88" s="286"/>
    </row>
    <row r="89" spans="1:50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 s="286"/>
      <c r="W89" s="286"/>
      <c r="X89" s="286"/>
      <c r="Y89" s="286"/>
      <c r="Z89" s="286"/>
      <c r="AA89" s="286"/>
      <c r="AB89" s="286"/>
      <c r="AC89" s="286"/>
      <c r="AD89"/>
      <c r="AE89"/>
      <c r="AF89"/>
      <c r="AG89"/>
      <c r="AH89"/>
      <c r="AI89"/>
      <c r="AJ89" s="286"/>
      <c r="AK89" s="286"/>
      <c r="AL89"/>
      <c r="AM89" s="286"/>
      <c r="AN89" s="286"/>
      <c r="AO89" s="286"/>
      <c r="AP89"/>
      <c r="AQ89" s="286"/>
    </row>
    <row r="90" spans="1:50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 s="286"/>
      <c r="W90" s="286"/>
      <c r="X90" s="286"/>
      <c r="Y90" s="286"/>
      <c r="Z90" s="286"/>
      <c r="AA90" s="286"/>
      <c r="AB90" s="286"/>
      <c r="AC90" s="286"/>
      <c r="AD90"/>
      <c r="AE90"/>
      <c r="AF90"/>
      <c r="AG90"/>
      <c r="AH90"/>
      <c r="AI90"/>
      <c r="AJ90" s="286"/>
      <c r="AK90" s="286"/>
      <c r="AL90"/>
      <c r="AM90" s="286"/>
      <c r="AN90" s="286"/>
      <c r="AO90" s="286"/>
      <c r="AP90"/>
      <c r="AQ90" s="286"/>
    </row>
    <row r="91" spans="1:50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 s="286"/>
      <c r="W91" s="286"/>
      <c r="X91" s="286"/>
      <c r="Y91" s="286"/>
      <c r="Z91" s="286"/>
      <c r="AA91" s="286"/>
      <c r="AB91" s="286"/>
      <c r="AC91" s="286"/>
      <c r="AD91"/>
      <c r="AE91"/>
      <c r="AF91"/>
      <c r="AG91"/>
      <c r="AH91"/>
      <c r="AI91"/>
      <c r="AJ91" s="286"/>
      <c r="AK91" s="286"/>
      <c r="AL91"/>
      <c r="AM91" s="286"/>
      <c r="AN91" s="286"/>
      <c r="AO91" s="286"/>
      <c r="AP91"/>
      <c r="AQ91" s="286"/>
    </row>
    <row r="92" spans="1:50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 s="286"/>
      <c r="W92" s="286"/>
      <c r="X92" s="286"/>
      <c r="Y92" s="286"/>
      <c r="Z92" s="286"/>
      <c r="AA92" s="286"/>
      <c r="AB92" s="286"/>
      <c r="AC92" s="286"/>
      <c r="AD92"/>
      <c r="AE92"/>
      <c r="AF92"/>
      <c r="AG92"/>
      <c r="AH92"/>
      <c r="AI92"/>
      <c r="AJ92" s="286"/>
      <c r="AK92" s="286"/>
      <c r="AL92"/>
      <c r="AM92" s="286"/>
      <c r="AN92" s="286"/>
      <c r="AO92" s="286"/>
      <c r="AP92"/>
      <c r="AQ92" s="286"/>
    </row>
  </sheetData>
  <mergeCells count="8">
    <mergeCell ref="J5:Q5"/>
    <mergeCell ref="J6:Q6"/>
    <mergeCell ref="J7:Q7"/>
    <mergeCell ref="J8:Q8"/>
    <mergeCell ref="R5:Y5"/>
    <mergeCell ref="R6:Y6"/>
    <mergeCell ref="R7:Y7"/>
    <mergeCell ref="R8:Y8"/>
  </mergeCells>
  <phoneticPr fontId="13" type="noConversion"/>
  <conditionalFormatting sqref="AR64:AV64 AL64 AN64:AO64 C64:Y64 AD64:AI64">
    <cfRule type="cellIs" dxfId="53" priority="25" stopIfTrue="1" operator="equal">
      <formula>"OK"</formula>
    </cfRule>
    <cfRule type="cellIs" dxfId="52" priority="26" stopIfTrue="1" operator="equal">
      <formula>"ERROR"</formula>
    </cfRule>
  </conditionalFormatting>
  <conditionalFormatting sqref="AR1 A1:Y1 AD1:AO1 AT1:AZ1">
    <cfRule type="cellIs" dxfId="51" priority="24" stopIfTrue="1" operator="notEqual">
      <formula>0</formula>
    </cfRule>
  </conditionalFormatting>
  <conditionalFormatting sqref="AP64:AQ64">
    <cfRule type="cellIs" dxfId="50" priority="19" stopIfTrue="1" operator="equal">
      <formula>"OK"</formula>
    </cfRule>
    <cfRule type="cellIs" dxfId="49" priority="20" stopIfTrue="1" operator="equal">
      <formula>"ERROR"</formula>
    </cfRule>
  </conditionalFormatting>
  <conditionalFormatting sqref="AP1:AQ1">
    <cfRule type="cellIs" dxfId="48" priority="18" stopIfTrue="1" operator="notEqual">
      <formula>0</formula>
    </cfRule>
  </conditionalFormatting>
  <conditionalFormatting sqref="AM64">
    <cfRule type="cellIs" dxfId="47" priority="13" stopIfTrue="1" operator="equal">
      <formula>"OK"</formula>
    </cfRule>
    <cfRule type="cellIs" dxfId="46" priority="14" stopIfTrue="1" operator="equal">
      <formula>"ERROR"</formula>
    </cfRule>
  </conditionalFormatting>
  <conditionalFormatting sqref="AJ64">
    <cfRule type="cellIs" dxfId="45" priority="11" stopIfTrue="1" operator="equal">
      <formula>"OK"</formula>
    </cfRule>
    <cfRule type="cellIs" dxfId="44" priority="12" stopIfTrue="1" operator="equal">
      <formula>"ERROR"</formula>
    </cfRule>
  </conditionalFormatting>
  <conditionalFormatting sqref="AK64">
    <cfRule type="cellIs" dxfId="43" priority="9" stopIfTrue="1" operator="equal">
      <formula>"OK"</formula>
    </cfRule>
    <cfRule type="cellIs" dxfId="42" priority="10" stopIfTrue="1" operator="equal">
      <formula>"ERROR"</formula>
    </cfRule>
  </conditionalFormatting>
  <conditionalFormatting sqref="Z64:AC64">
    <cfRule type="cellIs" dxfId="41" priority="2" stopIfTrue="1" operator="equal">
      <formula>"OK"</formula>
    </cfRule>
    <cfRule type="cellIs" dxfId="40" priority="3" stopIfTrue="1" operator="equal">
      <formula>"ERROR"</formula>
    </cfRule>
  </conditionalFormatting>
  <conditionalFormatting sqref="Z1:AC1">
    <cfRule type="cellIs" dxfId="39" priority="1" stopIfTrue="1" operator="notEqual">
      <formula>0</formula>
    </cfRule>
  </conditionalFormatting>
  <printOptions horizontalCentered="1"/>
  <pageMargins left="0.45" right="0.46" top="0.48" bottom="0.57999999999999996" header="0.24" footer="0.31"/>
  <pageSetup scale="64" fitToHeight="0" orientation="landscape" r:id="rId1"/>
  <headerFooter alignWithMargins="0"/>
  <colBreaks count="5" manualBreakCount="5">
    <brk id="9" min="1" max="61" man="1"/>
    <brk id="17" min="1" max="61" man="1"/>
    <brk id="25" min="1" max="61" man="1"/>
    <brk id="35" min="1" max="61" man="1"/>
    <brk id="44" min="1" max="6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18"/>
  <sheetViews>
    <sheetView zoomScaleNormal="100" zoomScaleSheetLayoutView="100" workbookViewId="0">
      <pane xSplit="1" ySplit="1" topLeftCell="B2" activePane="bottomRight" state="frozen"/>
      <selection activeCell="B12" sqref="B12"/>
      <selection pane="topRight" activeCell="B12" sqref="B12"/>
      <selection pane="bottomLeft" activeCell="B12" sqref="B12"/>
      <selection pane="bottomRight" activeCell="B2" sqref="B2"/>
    </sheetView>
  </sheetViews>
  <sheetFormatPr defaultColWidth="19.33203125" defaultRowHeight="12.75"/>
  <cols>
    <col min="1" max="1" width="5.83203125" style="11" customWidth="1"/>
    <col min="2" max="2" width="46" style="11" customWidth="1"/>
    <col min="3" max="3" width="20.6640625" style="11" customWidth="1"/>
    <col min="4" max="4" width="6.5" bestFit="1" customWidth="1"/>
    <col min="5" max="5" width="55.83203125" bestFit="1" customWidth="1"/>
    <col min="7" max="7" width="13.83203125" customWidth="1"/>
    <col min="9" max="9" width="5.1640625" customWidth="1"/>
    <col min="10" max="10" width="72.5" bestFit="1" customWidth="1"/>
    <col min="11" max="11" width="5" customWidth="1"/>
    <col min="12" max="12" width="10.83203125" customWidth="1"/>
  </cols>
  <sheetData>
    <row r="1" spans="1:14" s="104" customFormat="1">
      <c r="A1" s="1034"/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4" s="104" customFormat="1">
      <c r="A2" s="371"/>
      <c r="B2" s="374"/>
      <c r="C2" s="8"/>
      <c r="D2" s="371"/>
      <c r="E2" s="374"/>
      <c r="F2" s="374"/>
      <c r="G2" s="374"/>
      <c r="H2" s="8"/>
      <c r="I2" s="371"/>
      <c r="J2" s="374"/>
      <c r="K2" s="374"/>
      <c r="L2" s="374"/>
      <c r="M2" s="8"/>
    </row>
    <row r="3" spans="1:14" s="104" customFormat="1" ht="13.5" thickBot="1">
      <c r="A3" s="371"/>
      <c r="B3" s="374"/>
      <c r="C3" s="8"/>
      <c r="D3" s="93"/>
      <c r="E3" s="374"/>
      <c r="F3" s="374"/>
      <c r="G3" s="374"/>
      <c r="H3" s="8"/>
      <c r="I3" s="371"/>
      <c r="J3" s="371"/>
      <c r="K3" s="371"/>
      <c r="L3" s="371"/>
      <c r="M3" s="8"/>
    </row>
    <row r="4" spans="1:14" s="104" customFormat="1" ht="16.5" thickBot="1">
      <c r="A4" s="137"/>
      <c r="B4" s="36"/>
      <c r="C4" s="777">
        <v>3.01</v>
      </c>
      <c r="D4" s="11"/>
      <c r="E4" s="11"/>
      <c r="F4" s="11"/>
      <c r="G4" s="11"/>
      <c r="H4" s="777">
        <f>+C4+0.01</f>
        <v>3.0199999999999996</v>
      </c>
      <c r="I4" s="19"/>
      <c r="J4" s="19"/>
      <c r="K4" s="19"/>
      <c r="L4" s="19"/>
      <c r="M4" s="777">
        <f>+H4+0.01</f>
        <v>3.0299999999999994</v>
      </c>
    </row>
    <row r="5" spans="1:14" s="104" customFormat="1" ht="24" customHeight="1">
      <c r="A5" s="1089" t="s">
        <v>351</v>
      </c>
      <c r="B5" s="1089"/>
      <c r="C5" s="1089"/>
      <c r="D5" s="21" t="s">
        <v>351</v>
      </c>
      <c r="E5" s="36"/>
      <c r="F5" s="20"/>
      <c r="G5" s="20"/>
      <c r="H5" s="20"/>
      <c r="I5" s="21" t="s">
        <v>351</v>
      </c>
      <c r="J5" s="20"/>
      <c r="K5" s="20"/>
      <c r="L5" s="20"/>
      <c r="M5" s="20"/>
    </row>
    <row r="6" spans="1:14" s="319" customFormat="1">
      <c r="A6" s="246" t="s">
        <v>35</v>
      </c>
      <c r="B6" s="36"/>
      <c r="C6" s="36"/>
      <c r="D6" s="368" t="s">
        <v>51</v>
      </c>
      <c r="E6" s="36"/>
      <c r="F6" s="368"/>
      <c r="G6" s="368"/>
      <c r="H6" s="368"/>
      <c r="I6" s="368" t="s">
        <v>81</v>
      </c>
      <c r="J6" s="368"/>
      <c r="K6" s="368"/>
      <c r="L6" s="368"/>
      <c r="M6" s="368"/>
    </row>
    <row r="7" spans="1:14">
      <c r="A7" s="20" t="str">
        <f>keep_TESTYEAR</f>
        <v>FOR THE TWELVE MONTHS ENDED SEPTEMBER 30, 2016</v>
      </c>
      <c r="B7" s="36"/>
      <c r="C7" s="36"/>
      <c r="D7" s="20" t="str">
        <f>keep_TESTYEAR</f>
        <v>FOR THE TWELVE MONTHS ENDED SEPTEMBER 30, 2016</v>
      </c>
      <c r="E7" s="36"/>
      <c r="F7" s="20"/>
      <c r="G7" s="20"/>
      <c r="H7" s="20"/>
      <c r="I7" s="20" t="str">
        <f>keep_TESTYEAR</f>
        <v>FOR THE TWELVE MONTHS ENDED SEPTEMBER 30, 2016</v>
      </c>
      <c r="J7" s="20"/>
      <c r="K7" s="20"/>
      <c r="L7" s="20"/>
      <c r="M7" s="20"/>
    </row>
    <row r="8" spans="1:14">
      <c r="A8" s="21" t="s">
        <v>62</v>
      </c>
      <c r="B8" s="88"/>
      <c r="C8" s="36"/>
      <c r="D8" s="246" t="s">
        <v>62</v>
      </c>
      <c r="E8" s="36"/>
      <c r="F8" s="20"/>
      <c r="G8" s="20"/>
      <c r="H8" s="20"/>
      <c r="I8" s="246" t="s">
        <v>62</v>
      </c>
      <c r="J8" s="20"/>
      <c r="K8" s="20"/>
      <c r="L8" s="20"/>
      <c r="M8" s="20"/>
    </row>
    <row r="9" spans="1:14">
      <c r="D9" s="111"/>
      <c r="E9" s="11"/>
      <c r="F9" s="11"/>
      <c r="G9" s="10"/>
      <c r="H9" s="10"/>
      <c r="I9" s="19"/>
      <c r="J9" s="19"/>
      <c r="K9" s="19"/>
      <c r="L9" s="19"/>
      <c r="M9" s="19"/>
    </row>
    <row r="10" spans="1:14">
      <c r="A10" s="10" t="s">
        <v>313</v>
      </c>
      <c r="C10" s="10"/>
      <c r="D10" s="10" t="s">
        <v>313</v>
      </c>
      <c r="E10" s="11"/>
      <c r="F10" s="580" t="s">
        <v>150</v>
      </c>
      <c r="G10" s="580" t="s">
        <v>1111</v>
      </c>
      <c r="H10" s="580" t="s">
        <v>262</v>
      </c>
      <c r="I10" s="10" t="s">
        <v>313</v>
      </c>
      <c r="J10" s="19"/>
      <c r="K10" s="19"/>
      <c r="L10" s="19"/>
      <c r="M10" s="19"/>
    </row>
    <row r="11" spans="1:14">
      <c r="A11" s="15" t="s">
        <v>330</v>
      </c>
      <c r="B11" s="25" t="s">
        <v>83</v>
      </c>
      <c r="C11" s="37" t="s">
        <v>282</v>
      </c>
      <c r="D11" s="15" t="s">
        <v>330</v>
      </c>
      <c r="E11" s="25" t="s">
        <v>83</v>
      </c>
      <c r="F11" s="247" t="s">
        <v>263</v>
      </c>
      <c r="G11" s="247" t="s">
        <v>1112</v>
      </c>
      <c r="H11" s="247" t="s">
        <v>28</v>
      </c>
      <c r="I11" s="15" t="s">
        <v>330</v>
      </c>
      <c r="J11" s="108" t="s">
        <v>83</v>
      </c>
      <c r="K11" s="70"/>
      <c r="L11" s="70"/>
      <c r="M11" s="26" t="s">
        <v>109</v>
      </c>
    </row>
    <row r="12" spans="1:14">
      <c r="C12" s="311"/>
      <c r="D12" s="17"/>
      <c r="E12" s="17"/>
      <c r="F12" s="17"/>
      <c r="G12" s="17"/>
      <c r="H12" s="17"/>
      <c r="I12" s="11"/>
      <c r="J12" s="11"/>
      <c r="K12" s="11"/>
      <c r="L12" s="11"/>
      <c r="M12" s="39"/>
    </row>
    <row r="13" spans="1:14">
      <c r="A13" s="12">
        <v>1</v>
      </c>
      <c r="B13" s="11" t="s">
        <v>118</v>
      </c>
      <c r="C13" s="210">
        <f>'BGM-3 (2) Detail '!AV51</f>
        <v>4860726120.5221815</v>
      </c>
      <c r="D13" s="12">
        <v>1</v>
      </c>
      <c r="E13" s="374" t="s">
        <v>789</v>
      </c>
      <c r="F13" s="136">
        <f>'[16]Pg 1 CofCap'!D21</f>
        <v>0.51500000000000001</v>
      </c>
      <c r="G13" s="136">
        <f>'[16]Pg 1 CofCap'!E21</f>
        <v>5.8058252427184473E-2</v>
      </c>
      <c r="H13" s="136">
        <f>ROUND(+F13*G13,4)</f>
        <v>2.9899999999999999E-2</v>
      </c>
      <c r="I13" s="12">
        <v>1</v>
      </c>
      <c r="J13" s="13" t="s">
        <v>283</v>
      </c>
      <c r="K13" s="374"/>
      <c r="L13" s="374"/>
      <c r="M13" s="225">
        <f>'BGM-3 (4) Rstng Adj'!AQ22</f>
        <v>7.1570000000000002E-3</v>
      </c>
      <c r="N13" s="405"/>
    </row>
    <row r="14" spans="1:14">
      <c r="A14" s="12">
        <f t="shared" ref="A14:A25" si="0">A13+1</f>
        <v>2</v>
      </c>
      <c r="B14" s="13" t="s">
        <v>280</v>
      </c>
      <c r="C14" s="614">
        <f>+H15</f>
        <v>7.3999999999999996E-2</v>
      </c>
      <c r="D14" s="12">
        <v>2</v>
      </c>
      <c r="E14" s="374" t="s">
        <v>786</v>
      </c>
      <c r="F14" s="136">
        <f>+'[16]Pg 1 CofCap'!$D$22</f>
        <v>0.48499999999999999</v>
      </c>
      <c r="G14" s="1071">
        <v>9.0999999999999998E-2</v>
      </c>
      <c r="H14" s="136">
        <f>ROUND(+F14*G14,4)</f>
        <v>4.41E-2</v>
      </c>
      <c r="I14" s="12">
        <v>2</v>
      </c>
      <c r="J14" s="13" t="s">
        <v>119</v>
      </c>
      <c r="K14" s="374"/>
      <c r="L14" s="374"/>
      <c r="M14" s="225">
        <f>+'[17]3.04 E'!$E$15</f>
        <v>2E-3</v>
      </c>
      <c r="N14" s="104"/>
    </row>
    <row r="15" spans="1:14">
      <c r="A15" s="12">
        <f t="shared" si="0"/>
        <v>3</v>
      </c>
      <c r="B15" s="13"/>
      <c r="C15" s="374"/>
      <c r="D15" s="12">
        <v>3</v>
      </c>
      <c r="E15" s="374" t="s">
        <v>788</v>
      </c>
      <c r="F15" s="770">
        <f>SUM(F13:F14)</f>
        <v>1</v>
      </c>
      <c r="G15" s="771"/>
      <c r="H15" s="770">
        <f>SUM(H13:H14)</f>
        <v>7.3999999999999996E-2</v>
      </c>
      <c r="I15" s="12">
        <v>3</v>
      </c>
      <c r="J15" s="13" t="str">
        <f>"STATE UTILITY TAX ( "&amp;L15*100&amp;"% - ( LINE 1 * "&amp;L15*100&amp;"% )  )"</f>
        <v>STATE UTILITY TAX ( 3.8734% - ( LINE 1 * 3.8734% )  )</v>
      </c>
      <c r="K15" s="405"/>
      <c r="L15" s="647">
        <f>'[17]3.04 E'!$D$16</f>
        <v>3.8733999999999998E-2</v>
      </c>
      <c r="M15" s="226">
        <f>ROUND(L15-(L15*M13),6)</f>
        <v>3.8456999999999998E-2</v>
      </c>
      <c r="N15" s="104"/>
    </row>
    <row r="16" spans="1:14">
      <c r="A16" s="12">
        <f t="shared" si="0"/>
        <v>4</v>
      </c>
      <c r="B16" s="11" t="s">
        <v>39</v>
      </c>
      <c r="C16" s="307">
        <f>+C13*C14</f>
        <v>359693732.91864139</v>
      </c>
      <c r="D16" s="12">
        <v>4</v>
      </c>
      <c r="F16" s="374"/>
      <c r="G16" s="374"/>
      <c r="H16" s="373"/>
      <c r="I16" s="12">
        <v>4</v>
      </c>
      <c r="J16" s="13"/>
      <c r="K16" s="374"/>
      <c r="L16" s="374"/>
      <c r="M16" s="359"/>
      <c r="N16" s="104"/>
    </row>
    <row r="17" spans="1:14">
      <c r="A17" s="12">
        <f t="shared" si="0"/>
        <v>5</v>
      </c>
      <c r="C17" s="96"/>
      <c r="D17" s="12">
        <v>5</v>
      </c>
      <c r="E17" s="374" t="s">
        <v>785</v>
      </c>
      <c r="F17" s="131">
        <f>+F13</f>
        <v>0.51500000000000001</v>
      </c>
      <c r="G17" s="131">
        <f>+G13</f>
        <v>5.8058252427184473E-2</v>
      </c>
      <c r="H17" s="136">
        <f>ROUND(H13*0.65,4)</f>
        <v>1.9400000000000001E-2</v>
      </c>
      <c r="I17" s="375">
        <v>5</v>
      </c>
      <c r="J17" s="13" t="s">
        <v>19</v>
      </c>
      <c r="K17" s="374"/>
      <c r="L17" s="374"/>
      <c r="M17" s="225">
        <f>ROUND(SUM(M13:M15),6)</f>
        <v>4.7613999999999997E-2</v>
      </c>
      <c r="N17" s="104"/>
    </row>
    <row r="18" spans="1:14">
      <c r="A18" s="12">
        <f t="shared" si="0"/>
        <v>6</v>
      </c>
      <c r="B18" s="13" t="s">
        <v>40</v>
      </c>
      <c r="C18" s="903">
        <f>'BGM-3 (2) Detail '!AS49</f>
        <v>341825921.01913619</v>
      </c>
      <c r="D18" s="12">
        <v>6</v>
      </c>
      <c r="E18" s="374" t="s">
        <v>786</v>
      </c>
      <c r="F18" s="131">
        <f>+F14</f>
        <v>0.48499999999999999</v>
      </c>
      <c r="G18" s="1072">
        <f>+G14</f>
        <v>9.0999999999999998E-2</v>
      </c>
      <c r="H18" s="136">
        <f>ROUND(F18*G18,4)</f>
        <v>4.41E-2</v>
      </c>
      <c r="I18" s="375">
        <v>6</v>
      </c>
      <c r="J18" s="11"/>
      <c r="K18" s="374"/>
      <c r="L18" s="374"/>
      <c r="M18" s="225"/>
      <c r="N18" s="104"/>
    </row>
    <row r="19" spans="1:14">
      <c r="A19" s="12">
        <f t="shared" si="0"/>
        <v>7</v>
      </c>
      <c r="B19" s="13" t="s">
        <v>157</v>
      </c>
      <c r="C19" s="613">
        <f>+C16-C18+0.5</f>
        <v>17867812.399505198</v>
      </c>
      <c r="D19" s="12">
        <v>7</v>
      </c>
      <c r="E19" s="374" t="s">
        <v>787</v>
      </c>
      <c r="F19" s="770">
        <f>SUM(F17:F18)</f>
        <v>1</v>
      </c>
      <c r="G19" s="771"/>
      <c r="H19" s="770">
        <f>SUM(H17:H18)</f>
        <v>6.3500000000000001E-2</v>
      </c>
      <c r="I19" s="375">
        <v>7</v>
      </c>
      <c r="J19" s="11" t="str">
        <f>"CONVERSION FACTOR EXCLUDING FEDERAL INCOME TAX ( 1 - LINE "&amp;$I$17&amp;" )"</f>
        <v>CONVERSION FACTOR EXCLUDING FEDERAL INCOME TAX ( 1 - LINE 5 )</v>
      </c>
      <c r="K19" s="374"/>
      <c r="L19" s="374"/>
      <c r="M19" s="225">
        <f>ROUND(1-M17,6)</f>
        <v>0.95238599999999995</v>
      </c>
      <c r="N19" s="104"/>
    </row>
    <row r="20" spans="1:14">
      <c r="A20" s="12">
        <f t="shared" si="0"/>
        <v>8</v>
      </c>
      <c r="C20" s="96"/>
      <c r="D20" s="12"/>
      <c r="F20" s="104"/>
      <c r="G20" s="104"/>
      <c r="H20" s="104"/>
      <c r="I20" s="375">
        <v>8</v>
      </c>
      <c r="J20" s="13" t="str">
        <f>"FEDERAL INCOME TAX ( LINE "&amp;I19&amp;"  * "&amp;k_FITrate*100&amp;"% )"</f>
        <v>FEDERAL INCOME TAX ( LINE 7  * 35% )</v>
      </c>
      <c r="K20" s="374"/>
      <c r="L20" s="223">
        <v>0.35</v>
      </c>
      <c r="M20" s="225">
        <f>ROUND((M19)*k_FITrate,6)</f>
        <v>0.33333499999999999</v>
      </c>
      <c r="N20" s="104"/>
    </row>
    <row r="21" spans="1:14" ht="19.5" customHeight="1" thickBot="1">
      <c r="A21" s="12">
        <f t="shared" si="0"/>
        <v>9</v>
      </c>
      <c r="B21" s="374" t="s">
        <v>81</v>
      </c>
      <c r="C21" s="768">
        <f>+M21</f>
        <v>0.61905100000000002</v>
      </c>
      <c r="D21" s="12"/>
      <c r="F21" s="374"/>
      <c r="G21" s="374"/>
      <c r="H21" s="374"/>
      <c r="I21" s="375">
        <v>9</v>
      </c>
      <c r="J21" s="13" t="str">
        <f>"CONVERSION FACTOR INCL FEDERAL INCOME TAX ( LINE "&amp;I19&amp;" - LINE "&amp;I20&amp;" ) "</f>
        <v xml:space="preserve">CONVERSION FACTOR INCL FEDERAL INCOME TAX ( LINE 7 - LINE 8 ) </v>
      </c>
      <c r="K21" s="374"/>
      <c r="L21" s="374"/>
      <c r="M21" s="769">
        <f>M19-M20</f>
        <v>0.61905100000000002</v>
      </c>
      <c r="N21" s="104"/>
    </row>
    <row r="22" spans="1:14" ht="13.5" thickTop="1">
      <c r="A22" s="12">
        <f t="shared" si="0"/>
        <v>10</v>
      </c>
      <c r="B22" s="374" t="s">
        <v>158</v>
      </c>
      <c r="C22" s="289">
        <f>ROUND(+C19/C21,0)</f>
        <v>28863232</v>
      </c>
      <c r="D22" s="12"/>
      <c r="F22" s="581"/>
      <c r="G22" s="581"/>
      <c r="H22" s="581"/>
      <c r="I22" s="581"/>
    </row>
    <row r="23" spans="1:14">
      <c r="A23" s="12">
        <f t="shared" si="0"/>
        <v>11</v>
      </c>
      <c r="B23" s="377" t="s">
        <v>295</v>
      </c>
      <c r="C23" s="289">
        <f>'JAP-07'!P36</f>
        <v>406089.5577419175</v>
      </c>
      <c r="F23" s="581"/>
      <c r="H23" s="136"/>
      <c r="L23" s="104"/>
      <c r="M23" s="104"/>
    </row>
    <row r="24" spans="1:14">
      <c r="A24" s="12">
        <f t="shared" si="0"/>
        <v>12</v>
      </c>
      <c r="B24" s="377"/>
      <c r="C24" s="613"/>
      <c r="I24" s="104"/>
    </row>
    <row r="25" spans="1:14" ht="13.5" thickBot="1">
      <c r="A25" s="12">
        <f t="shared" si="0"/>
        <v>13</v>
      </c>
      <c r="B25" s="374" t="s">
        <v>158</v>
      </c>
      <c r="C25" s="615">
        <f>+C22-C24-C23</f>
        <v>28457142.442258082</v>
      </c>
      <c r="M25" s="104"/>
    </row>
    <row r="26" spans="1:14" s="286" customFormat="1" ht="14.25" thickTop="1">
      <c r="A26" s="375"/>
      <c r="B26" s="374"/>
      <c r="C26" s="208"/>
      <c r="F26"/>
      <c r="G26"/>
      <c r="H26"/>
    </row>
    <row r="27" spans="1:14" s="286" customFormat="1" ht="13.5">
      <c r="A27" s="375"/>
      <c r="B27" s="237"/>
      <c r="C27"/>
      <c r="E27"/>
      <c r="F27"/>
      <c r="G27"/>
      <c r="H27"/>
    </row>
    <row r="28" spans="1:14" s="286" customFormat="1" ht="13.5">
      <c r="A28" s="375"/>
      <c r="B28" s="374"/>
      <c r="C28" s="208"/>
    </row>
    <row r="29" spans="1:14" s="286" customFormat="1">
      <c r="A29" s="375"/>
      <c r="B29"/>
      <c r="C29"/>
    </row>
    <row r="30" spans="1:14">
      <c r="B30"/>
      <c r="C30"/>
    </row>
    <row r="31" spans="1:14">
      <c r="B31"/>
      <c r="C31"/>
    </row>
    <row r="32" spans="1:14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1:3">
      <c r="B49"/>
      <c r="C49"/>
    </row>
    <row r="50" spans="1:3">
      <c r="B50"/>
      <c r="C50"/>
    </row>
    <row r="51" spans="1:3" ht="13.5" customHeight="1">
      <c r="A51" s="12"/>
      <c r="B51"/>
      <c r="C51"/>
    </row>
    <row r="52" spans="1:3">
      <c r="B52"/>
      <c r="C52"/>
    </row>
    <row r="53" spans="1:3">
      <c r="B53"/>
      <c r="C53"/>
    </row>
    <row r="54" spans="1:3">
      <c r="B54"/>
      <c r="C54"/>
    </row>
    <row r="55" spans="1:3">
      <c r="B55"/>
      <c r="C55"/>
    </row>
    <row r="56" spans="1:3">
      <c r="B56"/>
      <c r="C56"/>
    </row>
    <row r="57" spans="1:3">
      <c r="B57"/>
      <c r="C57"/>
    </row>
    <row r="58" spans="1:3">
      <c r="B58"/>
      <c r="C58"/>
    </row>
    <row r="59" spans="1:3">
      <c r="B59"/>
      <c r="C59"/>
    </row>
    <row r="60" spans="1:3">
      <c r="B60"/>
      <c r="C60"/>
    </row>
    <row r="61" spans="1:3">
      <c r="B61"/>
      <c r="C61"/>
    </row>
    <row r="62" spans="1:3">
      <c r="B62"/>
      <c r="C62"/>
    </row>
    <row r="63" spans="1:3">
      <c r="B63"/>
      <c r="C63"/>
    </row>
    <row r="64" spans="1:3">
      <c r="B64"/>
      <c r="C64"/>
    </row>
    <row r="65" spans="1:3">
      <c r="B65"/>
      <c r="C65"/>
    </row>
    <row r="66" spans="1:3">
      <c r="B66"/>
      <c r="C66"/>
    </row>
    <row r="67" spans="1:3">
      <c r="B67"/>
      <c r="C67"/>
    </row>
    <row r="68" spans="1:3">
      <c r="B68"/>
      <c r="C68"/>
    </row>
    <row r="69" spans="1:3">
      <c r="B69"/>
      <c r="C69"/>
    </row>
    <row r="70" spans="1:3">
      <c r="B70"/>
      <c r="C70"/>
    </row>
    <row r="71" spans="1:3">
      <c r="B71"/>
      <c r="C71"/>
    </row>
    <row r="72" spans="1:3">
      <c r="B72"/>
      <c r="C72"/>
    </row>
    <row r="73" spans="1:3">
      <c r="B73"/>
      <c r="C73"/>
    </row>
    <row r="74" spans="1:3">
      <c r="B74"/>
      <c r="C74"/>
    </row>
    <row r="75" spans="1:3">
      <c r="B75"/>
      <c r="C75"/>
    </row>
    <row r="76" spans="1:3">
      <c r="A76" s="12"/>
      <c r="B76"/>
      <c r="C76"/>
    </row>
    <row r="77" spans="1:3">
      <c r="A77" s="12"/>
      <c r="B77"/>
      <c r="C77"/>
    </row>
    <row r="78" spans="1:3">
      <c r="A78" s="12"/>
      <c r="B78"/>
      <c r="C78"/>
    </row>
    <row r="79" spans="1:3">
      <c r="A79" s="106"/>
      <c r="B79"/>
      <c r="C79"/>
    </row>
    <row r="80" spans="1:3" ht="15.75">
      <c r="A80" s="212"/>
      <c r="B80"/>
      <c r="C80"/>
    </row>
    <row r="81" spans="1:3">
      <c r="A81" s="213"/>
      <c r="B81"/>
      <c r="C81"/>
    </row>
    <row r="82" spans="1:3">
      <c r="A82" s="213"/>
      <c r="B82"/>
      <c r="C82"/>
    </row>
    <row r="83" spans="1:3">
      <c r="A83" s="66"/>
      <c r="B83"/>
      <c r="C83"/>
    </row>
    <row r="84" spans="1:3">
      <c r="A84" s="213"/>
      <c r="B84"/>
      <c r="C84"/>
    </row>
    <row r="85" spans="1:3">
      <c r="A85" s="98"/>
      <c r="B85"/>
      <c r="C85"/>
    </row>
    <row r="86" spans="1:3">
      <c r="A86" s="51"/>
      <c r="B86"/>
      <c r="C86"/>
    </row>
    <row r="87" spans="1:3">
      <c r="A87" s="51"/>
      <c r="B87"/>
      <c r="C87"/>
    </row>
    <row r="88" spans="1:3">
      <c r="A88" s="98"/>
      <c r="B88"/>
      <c r="C88"/>
    </row>
    <row r="89" spans="1:3">
      <c r="A89" s="40"/>
      <c r="B89"/>
      <c r="C89"/>
    </row>
    <row r="90" spans="1:3">
      <c r="A90" s="40"/>
      <c r="B90"/>
      <c r="C90"/>
    </row>
    <row r="91" spans="1:3">
      <c r="A91" s="40"/>
      <c r="B91"/>
      <c r="C91"/>
    </row>
    <row r="92" spans="1:3">
      <c r="A92" s="40"/>
      <c r="B92"/>
      <c r="C92"/>
    </row>
    <row r="93" spans="1:3">
      <c r="A93" s="40"/>
      <c r="B93"/>
      <c r="C93"/>
    </row>
    <row r="94" spans="1:3">
      <c r="A94" s="40"/>
      <c r="B94"/>
      <c r="C94"/>
    </row>
    <row r="95" spans="1:3">
      <c r="A95" s="40"/>
      <c r="B95"/>
      <c r="C95"/>
    </row>
    <row r="96" spans="1:3">
      <c r="A96" s="40"/>
      <c r="B96"/>
      <c r="C96"/>
    </row>
    <row r="97" spans="1:3">
      <c r="A97" s="40"/>
      <c r="B97"/>
      <c r="C97"/>
    </row>
    <row r="98" spans="1:3">
      <c r="A98" s="40"/>
      <c r="B98"/>
      <c r="C98"/>
    </row>
    <row r="99" spans="1:3">
      <c r="A99" s="40"/>
      <c r="B99"/>
      <c r="C99"/>
    </row>
    <row r="100" spans="1:3">
      <c r="A100" s="40"/>
      <c r="B100"/>
      <c r="C100"/>
    </row>
    <row r="101" spans="1:3">
      <c r="A101" s="40"/>
      <c r="B101"/>
      <c r="C101"/>
    </row>
    <row r="102" spans="1:3">
      <c r="A102" s="40"/>
      <c r="B102"/>
      <c r="C102"/>
    </row>
    <row r="103" spans="1:3">
      <c r="A103" s="98"/>
      <c r="B103"/>
      <c r="C103"/>
    </row>
    <row r="104" spans="1:3">
      <c r="A104" s="40"/>
      <c r="B104"/>
      <c r="C104"/>
    </row>
    <row r="105" spans="1:3">
      <c r="A105" s="40"/>
      <c r="B105"/>
      <c r="C105"/>
    </row>
    <row r="106" spans="1:3">
      <c r="A106" s="40"/>
      <c r="B106" s="72"/>
      <c r="C106" s="98"/>
    </row>
    <row r="107" spans="1:3">
      <c r="A107" s="40"/>
      <c r="B107" s="98"/>
      <c r="C107" s="128"/>
    </row>
    <row r="108" spans="1:3">
      <c r="A108" s="40"/>
      <c r="B108" s="98"/>
      <c r="C108" s="98"/>
    </row>
    <row r="109" spans="1:3">
      <c r="A109" s="40"/>
      <c r="B109" s="72"/>
      <c r="C109" s="128"/>
    </row>
    <row r="110" spans="1:3">
      <c r="A110" s="40"/>
      <c r="B110" s="72"/>
      <c r="C110" s="128"/>
    </row>
    <row r="111" spans="1:3">
      <c r="A111" s="40"/>
      <c r="B111" s="98"/>
      <c r="C111" s="98"/>
    </row>
    <row r="112" spans="1:3">
      <c r="A112" s="40"/>
      <c r="B112" s="98"/>
      <c r="C112" s="214"/>
    </row>
    <row r="113" spans="1:3" ht="13.5">
      <c r="A113" s="40"/>
      <c r="B113" s="98"/>
      <c r="C113" s="207"/>
    </row>
    <row r="114" spans="1:3">
      <c r="A114" s="40"/>
      <c r="B114" s="72"/>
      <c r="C114" s="98"/>
    </row>
    <row r="115" spans="1:3">
      <c r="A115" s="40"/>
      <c r="B115" s="72"/>
      <c r="C115" s="98"/>
    </row>
    <row r="116" spans="1:3">
      <c r="A116" s="40"/>
      <c r="B116" s="98"/>
      <c r="C116" s="98"/>
    </row>
    <row r="117" spans="1:3">
      <c r="A117" s="40"/>
      <c r="B117" s="98"/>
      <c r="C117" s="98"/>
    </row>
    <row r="118" spans="1:3">
      <c r="A118" s="40"/>
    </row>
  </sheetData>
  <mergeCells count="1">
    <mergeCell ref="A5:C5"/>
  </mergeCells>
  <phoneticPr fontId="17" type="noConversion"/>
  <conditionalFormatting sqref="A1:IV1">
    <cfRule type="cellIs" dxfId="38" priority="3" stopIfTrue="1" operator="notEqual">
      <formula>0</formula>
    </cfRule>
  </conditionalFormatting>
  <printOptions horizontalCentered="1"/>
  <pageMargins left="0.95" right="0.7" top="0.75" bottom="0.75" header="0.3" footer="0.3"/>
  <pageSetup scale="80" fitToWidth="0" fitToHeight="0" orientation="portrait" r:id="rId1"/>
  <colBreaks count="2" manualBreakCount="2">
    <brk id="3" min="1" max="37" man="1"/>
    <brk id="8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W121"/>
  <sheetViews>
    <sheetView zoomScale="85" zoomScaleNormal="85" zoomScaleSheetLayoutView="85" workbookViewId="0">
      <pane xSplit="1" ySplit="11" topLeftCell="V12" activePane="bottomRight" state="frozen"/>
      <selection activeCell="B12" sqref="B12"/>
      <selection pane="topRight" activeCell="B12" sqref="B12"/>
      <selection pane="bottomLeft" activeCell="B12" sqref="B12"/>
      <selection pane="bottomRight" activeCell="V12" sqref="V12"/>
    </sheetView>
  </sheetViews>
  <sheetFormatPr defaultRowHeight="12.75" outlineLevelCol="1"/>
  <cols>
    <col min="1" max="1" width="6.1640625" style="286" hidden="1" customWidth="1"/>
    <col min="2" max="2" width="57.5" hidden="1" customWidth="1"/>
    <col min="3" max="3" width="25.33203125" hidden="1" customWidth="1"/>
    <col min="4" max="4" width="17.5" hidden="1" customWidth="1"/>
    <col min="5" max="5" width="26.33203125" hidden="1" customWidth="1"/>
    <col min="6" max="6" width="9.5" style="286" hidden="1" customWidth="1"/>
    <col min="7" max="7" width="26.5" style="286" hidden="1" customWidth="1"/>
    <col min="8" max="8" width="19.6640625" style="286" hidden="1" customWidth="1"/>
    <col min="9" max="9" width="18.83203125" style="286" hidden="1" customWidth="1"/>
    <col min="10" max="10" width="17.1640625" style="286" hidden="1" customWidth="1"/>
    <col min="11" max="11" width="18.5" style="286" hidden="1" customWidth="1"/>
    <col min="12" max="12" width="15.5" style="286" hidden="1" customWidth="1"/>
    <col min="13" max="13" width="6.5" hidden="1" customWidth="1"/>
    <col min="14" max="14" width="74.6640625" hidden="1" customWidth="1"/>
    <col min="15" max="15" width="9.33203125" hidden="1" customWidth="1"/>
    <col min="16" max="16" width="13.33203125" hidden="1" customWidth="1"/>
    <col min="17" max="17" width="17.83203125" hidden="1" customWidth="1"/>
    <col min="18" max="18" width="6.5" hidden="1" customWidth="1"/>
    <col min="19" max="19" width="74.33203125" hidden="1" customWidth="1"/>
    <col min="20" max="20" width="7.6640625" hidden="1" customWidth="1"/>
    <col min="21" max="21" width="18.83203125" hidden="1" customWidth="1"/>
    <col min="22" max="22" width="5.83203125" customWidth="1"/>
    <col min="23" max="23" width="57.5" customWidth="1"/>
    <col min="24" max="24" width="21.33203125" customWidth="1"/>
    <col min="25" max="25" width="16.33203125" customWidth="1"/>
    <col min="26" max="26" width="5.83203125" style="11" bestFit="1" customWidth="1"/>
    <col min="27" max="27" width="70.33203125" style="11" customWidth="1"/>
    <col min="28" max="28" width="16.6640625" style="11" customWidth="1"/>
    <col min="29" max="29" width="17.6640625" style="11" customWidth="1"/>
    <col min="30" max="30" width="16.6640625" style="11" customWidth="1"/>
    <col min="31" max="31" width="6.83203125" hidden="1" customWidth="1"/>
    <col min="32" max="32" width="68.33203125" hidden="1" customWidth="1"/>
    <col min="33" max="33" width="13.6640625" hidden="1" customWidth="1"/>
    <col min="34" max="34" width="15.5" hidden="1" customWidth="1"/>
    <col min="35" max="35" width="19.1640625" hidden="1" customWidth="1"/>
    <col min="36" max="36" width="7.5" hidden="1" customWidth="1"/>
    <col min="37" max="37" width="44.5" hidden="1" customWidth="1"/>
    <col min="38" max="38" width="17.5" hidden="1" customWidth="1"/>
    <col min="39" max="39" width="21" hidden="1" customWidth="1" outlineLevel="1"/>
    <col min="40" max="40" width="18.33203125" hidden="1" customWidth="1" outlineLevel="1"/>
    <col min="41" max="41" width="22.6640625" hidden="1" customWidth="1" outlineLevel="1"/>
    <col min="42" max="42" width="15.5" hidden="1" customWidth="1" outlineLevel="1"/>
    <col min="43" max="43" width="19.5" hidden="1" customWidth="1" collapsed="1"/>
    <col min="44" max="44" width="16.5" hidden="1" customWidth="1"/>
    <col min="45" max="45" width="6.83203125" style="11" hidden="1" customWidth="1"/>
    <col min="46" max="46" width="52" hidden="1" customWidth="1"/>
    <col min="47" max="47" width="19.1640625" hidden="1" customWidth="1"/>
    <col min="48" max="48" width="18.33203125" hidden="1" customWidth="1"/>
    <col min="49" max="49" width="19.6640625" hidden="1" customWidth="1"/>
    <col min="50" max="50" width="5.83203125" hidden="1" customWidth="1"/>
    <col min="51" max="51" width="47.83203125" hidden="1" customWidth="1"/>
    <col min="52" max="52" width="14.6640625" hidden="1" customWidth="1"/>
    <col min="53" max="53" width="14.83203125" hidden="1" customWidth="1"/>
    <col min="54" max="54" width="16.5" hidden="1" customWidth="1"/>
    <col min="55" max="55" width="6.83203125" style="11" hidden="1" customWidth="1"/>
    <col min="56" max="56" width="53.5" style="11" hidden="1" customWidth="1"/>
    <col min="57" max="57" width="7.1640625" style="11" hidden="1" customWidth="1"/>
    <col min="58" max="58" width="18.33203125" style="11" hidden="1" customWidth="1"/>
    <col min="59" max="59" width="5.83203125" style="11" hidden="1" customWidth="1"/>
    <col min="60" max="60" width="62.1640625" style="11" hidden="1" customWidth="1"/>
    <col min="61" max="61" width="20.83203125" style="11" hidden="1" customWidth="1"/>
    <col min="62" max="62" width="15.6640625" style="11" hidden="1" customWidth="1"/>
    <col min="63" max="63" width="5" style="11" hidden="1" customWidth="1"/>
    <col min="64" max="64" width="71.33203125" style="11" hidden="1" customWidth="1"/>
    <col min="65" max="65" width="20" style="11" hidden="1" customWidth="1"/>
    <col min="66" max="66" width="15" style="11" hidden="1" customWidth="1"/>
    <col min="67" max="67" width="5.83203125" style="11" hidden="1" customWidth="1"/>
    <col min="68" max="68" width="40.5" style="11" hidden="1" customWidth="1"/>
    <col min="69" max="69" width="16.83203125" style="11" hidden="1" customWidth="1"/>
    <col min="70" max="70" width="14.83203125" style="11" hidden="1" customWidth="1"/>
    <col min="71" max="71" width="15.83203125" style="11" hidden="1" customWidth="1"/>
    <col min="72" max="72" width="5.83203125" style="11" customWidth="1"/>
    <col min="73" max="73" width="35.33203125" style="11" customWidth="1"/>
    <col min="74" max="74" width="18.6640625" style="11" customWidth="1"/>
    <col min="75" max="75" width="16.5" style="11" customWidth="1"/>
    <col min="76" max="76" width="16.6640625" style="11" customWidth="1"/>
    <col min="77" max="77" width="6.83203125" style="11" hidden="1" customWidth="1"/>
    <col min="78" max="78" width="53" style="11" hidden="1" customWidth="1"/>
    <col min="79" max="79" width="15.83203125" style="11" hidden="1" customWidth="1"/>
    <col min="80" max="80" width="20.5" style="11" hidden="1" customWidth="1"/>
    <col min="81" max="81" width="16" style="11" hidden="1" customWidth="1"/>
    <col min="82" max="82" width="5.83203125" style="11" hidden="1" customWidth="1"/>
    <col min="83" max="83" width="58.83203125" style="11" hidden="1" customWidth="1"/>
    <col min="84" max="84" width="10" style="11" hidden="1" customWidth="1"/>
    <col min="85" max="85" width="14.33203125" style="11" hidden="1" customWidth="1"/>
    <col min="86" max="86" width="17" style="11" hidden="1" customWidth="1"/>
    <col min="87" max="87" width="6.83203125" style="11" hidden="1" customWidth="1"/>
    <col min="88" max="88" width="38" style="11" hidden="1" customWidth="1"/>
    <col min="89" max="89" width="8.83203125" style="11" hidden="1" customWidth="1"/>
    <col min="90" max="90" width="6.1640625" style="11" hidden="1" customWidth="1"/>
    <col min="91" max="91" width="19.5" style="11" hidden="1" customWidth="1"/>
    <col min="92" max="92" width="6.83203125" style="374" customWidth="1"/>
    <col min="93" max="93" width="80.83203125" style="374" customWidth="1"/>
    <col min="94" max="94" width="9.83203125" style="374" customWidth="1"/>
    <col min="95" max="95" width="14.1640625" style="374" customWidth="1"/>
    <col min="96" max="96" width="13.1640625" style="374" customWidth="1"/>
    <col min="97" max="97" width="6.5" hidden="1" customWidth="1"/>
    <col min="98" max="98" width="47.5" hidden="1" customWidth="1"/>
    <col min="99" max="99" width="15.5" hidden="1" customWidth="1"/>
    <col min="100" max="100" width="15.6640625" hidden="1" customWidth="1"/>
    <col min="101" max="101" width="16" hidden="1" customWidth="1"/>
    <col min="102" max="102" width="6.5" style="286" hidden="1" customWidth="1"/>
    <col min="103" max="103" width="60.5" style="286" hidden="1" customWidth="1"/>
    <col min="104" max="104" width="14.6640625" style="286" hidden="1" customWidth="1"/>
    <col min="105" max="105" width="15.83203125" style="286" hidden="1" customWidth="1"/>
    <col min="106" max="106" width="15.5" style="286" hidden="1" customWidth="1"/>
    <col min="107" max="107" width="9.33203125" hidden="1" customWidth="1"/>
    <col min="108" max="108" width="59" hidden="1" customWidth="1"/>
    <col min="109" max="110" width="15.83203125" hidden="1" customWidth="1"/>
    <col min="111" max="111" width="17.33203125" hidden="1" customWidth="1"/>
    <col min="112" max="112" width="9.33203125" style="286"/>
    <col min="113" max="113" width="61" style="286" customWidth="1"/>
    <col min="114" max="115" width="20.6640625" style="286" customWidth="1"/>
    <col min="116" max="116" width="17.33203125" style="286" customWidth="1"/>
    <col min="117" max="117" width="9.33203125" style="286"/>
    <col min="118" max="118" width="59" style="286" customWidth="1"/>
    <col min="119" max="120" width="15.83203125" style="286" customWidth="1"/>
    <col min="121" max="121" width="17.33203125" style="286" customWidth="1"/>
    <col min="122" max="122" width="9.33203125" style="286"/>
    <col min="123" max="123" width="46.5" style="286" customWidth="1"/>
    <col min="124" max="125" width="15.83203125" style="286" customWidth="1"/>
    <col min="126" max="126" width="17.33203125" style="286" customWidth="1"/>
  </cols>
  <sheetData>
    <row r="1" spans="1:127" s="1037" customFormat="1">
      <c r="A1" s="1035"/>
      <c r="B1" s="373"/>
      <c r="C1" s="373"/>
      <c r="D1" s="373"/>
      <c r="E1" s="329"/>
      <c r="F1" s="1035"/>
      <c r="G1" s="373"/>
      <c r="H1" s="373"/>
      <c r="I1" s="373"/>
      <c r="J1" s="373"/>
      <c r="K1" s="373"/>
      <c r="L1" s="288"/>
      <c r="M1" s="373"/>
      <c r="N1" s="329"/>
      <c r="O1" s="329"/>
      <c r="P1" s="329"/>
      <c r="Q1" s="329"/>
      <c r="R1" s="373"/>
      <c r="S1" s="373"/>
      <c r="T1" s="373"/>
      <c r="U1" s="288"/>
      <c r="V1" s="373"/>
      <c r="W1" s="373"/>
      <c r="X1" s="373"/>
      <c r="Y1" s="288"/>
      <c r="Z1" s="373"/>
      <c r="AA1" s="373"/>
      <c r="AB1" s="373"/>
      <c r="AC1" s="288"/>
      <c r="AD1" s="288"/>
      <c r="AE1" s="288"/>
      <c r="AF1" s="288"/>
      <c r="AG1" s="288"/>
      <c r="AH1" s="288"/>
      <c r="AI1" s="288"/>
      <c r="AJ1" s="373"/>
      <c r="AK1" s="373"/>
      <c r="AL1" s="373"/>
      <c r="AM1" s="373"/>
      <c r="AN1" s="373"/>
      <c r="AO1" s="373"/>
      <c r="AP1" s="373"/>
      <c r="AQ1" s="373"/>
      <c r="AR1" s="1036"/>
      <c r="AS1" s="373"/>
      <c r="AW1" s="288"/>
      <c r="AX1" s="373"/>
      <c r="AY1" s="373"/>
      <c r="AZ1" s="373"/>
      <c r="BA1" s="373"/>
      <c r="BB1" s="288"/>
      <c r="BC1" s="373"/>
      <c r="BD1" s="373"/>
      <c r="BE1" s="288"/>
      <c r="BF1" s="288"/>
      <c r="BG1" s="373"/>
      <c r="BH1" s="373"/>
      <c r="BI1" s="373"/>
      <c r="BJ1" s="288"/>
      <c r="BK1" s="373"/>
      <c r="BL1" s="373"/>
      <c r="BM1" s="373"/>
      <c r="BN1" s="288"/>
      <c r="BO1" s="373"/>
      <c r="BP1" s="373"/>
      <c r="BQ1" s="373"/>
      <c r="BR1" s="373"/>
      <c r="BS1" s="288"/>
      <c r="BT1" s="373"/>
      <c r="BU1" s="373"/>
      <c r="BV1" s="373"/>
      <c r="BW1" s="373"/>
      <c r="BX1" s="288"/>
      <c r="BY1" s="373"/>
      <c r="BZ1" s="373"/>
      <c r="CA1" s="373"/>
      <c r="CB1" s="373"/>
      <c r="CC1" s="288"/>
      <c r="CD1" s="373"/>
      <c r="CE1" s="373"/>
      <c r="CF1" s="373"/>
      <c r="CG1" s="373"/>
      <c r="CH1" s="288"/>
      <c r="CI1" s="373"/>
      <c r="CJ1" s="373"/>
      <c r="CK1" s="373"/>
      <c r="CL1" s="373"/>
      <c r="CM1" s="288"/>
      <c r="CN1" s="373"/>
      <c r="CO1" s="373"/>
      <c r="CP1" s="373"/>
      <c r="CQ1" s="373"/>
      <c r="CR1" s="289"/>
      <c r="CS1" s="373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</row>
    <row r="2" spans="1:127" s="1037" customFormat="1">
      <c r="A2" s="106"/>
      <c r="B2" s="373"/>
      <c r="C2" s="373"/>
      <c r="D2" s="373"/>
      <c r="E2" s="378"/>
      <c r="F2" s="106"/>
      <c r="G2" s="373"/>
      <c r="H2" s="373"/>
      <c r="I2" s="373"/>
      <c r="J2" s="373"/>
      <c r="K2" s="373"/>
      <c r="L2" s="378"/>
      <c r="M2" s="373"/>
      <c r="N2" s="1038"/>
      <c r="O2" s="1038"/>
      <c r="P2" s="1038"/>
      <c r="Q2" s="378"/>
      <c r="R2" s="106"/>
      <c r="S2" s="373"/>
      <c r="T2" s="373"/>
      <c r="U2" s="378"/>
      <c r="V2" s="106"/>
      <c r="W2" s="373"/>
      <c r="X2" s="373"/>
      <c r="Y2" s="378"/>
      <c r="Z2" s="106"/>
      <c r="AA2" s="373"/>
      <c r="AB2" s="373"/>
      <c r="AC2" s="373"/>
      <c r="AD2" s="378"/>
      <c r="AE2" s="378"/>
      <c r="AF2" s="378"/>
      <c r="AG2" s="378"/>
      <c r="AH2" s="378"/>
      <c r="AI2" s="378"/>
      <c r="AJ2" s="106"/>
      <c r="AK2" s="373"/>
      <c r="AL2" s="373"/>
      <c r="AM2" s="373"/>
      <c r="AN2" s="373"/>
      <c r="AO2" s="373"/>
      <c r="AP2" s="373"/>
      <c r="AQ2" s="373"/>
      <c r="AR2" s="378"/>
      <c r="AS2" s="106"/>
      <c r="AT2" s="373"/>
      <c r="AU2" s="373"/>
      <c r="AV2" s="373"/>
      <c r="AW2" s="378"/>
      <c r="AX2" s="373"/>
      <c r="AY2" s="373"/>
      <c r="AZ2" s="373"/>
      <c r="BB2" s="378"/>
      <c r="BC2" s="106"/>
      <c r="BD2" s="373"/>
      <c r="BE2" s="373"/>
      <c r="BF2" s="378"/>
      <c r="BG2" s="106"/>
      <c r="BH2" s="373"/>
      <c r="BI2" s="373"/>
      <c r="BJ2" s="378"/>
      <c r="BK2" s="106"/>
      <c r="BL2" s="1039"/>
      <c r="BM2" s="1039"/>
      <c r="BN2" s="378"/>
      <c r="BO2" s="106"/>
      <c r="BP2" s="373"/>
      <c r="BQ2" s="373"/>
      <c r="BR2" s="373"/>
      <c r="BS2" s="378"/>
      <c r="BT2" s="106"/>
      <c r="BU2" s="373"/>
      <c r="BV2" s="373"/>
      <c r="BW2" s="373"/>
      <c r="BX2" s="378"/>
      <c r="BY2" s="106"/>
      <c r="BZ2" s="373"/>
      <c r="CA2" s="373"/>
      <c r="CB2" s="373"/>
      <c r="CC2" s="378"/>
      <c r="CD2" s="106"/>
      <c r="CE2" s="373"/>
      <c r="CF2" s="373"/>
      <c r="CG2" s="373"/>
      <c r="CH2" s="378"/>
      <c r="CI2" s="106"/>
      <c r="CJ2" s="373"/>
      <c r="CK2" s="373"/>
      <c r="CL2" s="373"/>
      <c r="CM2" s="378"/>
      <c r="CN2" s="106"/>
      <c r="CO2" s="373"/>
      <c r="CP2" s="373"/>
      <c r="CQ2" s="373"/>
      <c r="CR2" s="378"/>
      <c r="CS2" s="373"/>
      <c r="CT2" s="373"/>
      <c r="CU2" s="373"/>
      <c r="CW2" s="378"/>
      <c r="CX2" s="373"/>
      <c r="CY2" s="373"/>
      <c r="CZ2" s="373"/>
      <c r="DB2" s="378"/>
      <c r="DC2" s="373"/>
      <c r="DD2" s="373"/>
      <c r="DE2" s="373"/>
      <c r="DG2" s="378"/>
      <c r="DH2" s="373"/>
      <c r="DI2" s="373"/>
      <c r="DJ2" s="373"/>
      <c r="DL2" s="378"/>
      <c r="DM2" s="373"/>
      <c r="DN2" s="373"/>
      <c r="DO2" s="373"/>
      <c r="DQ2" s="378"/>
      <c r="DR2" s="373"/>
      <c r="DS2" s="373"/>
      <c r="DT2" s="373"/>
      <c r="DV2" s="378"/>
    </row>
    <row r="3" spans="1:127" s="104" customFormat="1" ht="14.25" customHeight="1" thickBot="1">
      <c r="A3" s="35"/>
      <c r="B3" s="374"/>
      <c r="C3" s="374"/>
      <c r="D3" s="374"/>
      <c r="E3" s="8"/>
      <c r="F3" s="35"/>
      <c r="G3" s="371"/>
      <c r="H3" s="371"/>
      <c r="I3" s="371"/>
      <c r="J3" s="371"/>
      <c r="K3" s="371"/>
      <c r="L3" s="8"/>
      <c r="M3" s="374"/>
      <c r="N3" s="172"/>
      <c r="O3" s="172"/>
      <c r="P3" s="172"/>
      <c r="Q3" s="8"/>
      <c r="R3" s="374"/>
      <c r="S3" s="374"/>
      <c r="T3" s="374"/>
      <c r="U3" s="8"/>
      <c r="V3" s="374"/>
      <c r="W3" s="374"/>
      <c r="X3" s="374"/>
      <c r="Y3" s="8"/>
      <c r="Z3" s="374"/>
      <c r="AA3" s="95"/>
      <c r="AB3" s="95"/>
      <c r="AE3" s="8"/>
      <c r="AF3" s="8"/>
      <c r="AG3" s="8"/>
      <c r="AH3" s="8"/>
      <c r="AI3" s="8"/>
      <c r="AJ3" s="374"/>
      <c r="AK3" s="374"/>
      <c r="AL3" s="374"/>
      <c r="AM3" s="374"/>
      <c r="AN3" s="374"/>
      <c r="AO3" s="374"/>
      <c r="AP3" s="374"/>
      <c r="AQ3" s="374"/>
      <c r="AR3" s="8"/>
      <c r="AS3" s="374"/>
      <c r="AT3" s="374"/>
      <c r="AU3" s="374"/>
      <c r="AV3" s="374"/>
      <c r="AW3" s="8"/>
      <c r="AX3" s="374"/>
      <c r="AY3" s="374"/>
      <c r="AZ3" s="374"/>
      <c r="BB3" s="8"/>
      <c r="BC3" s="374"/>
      <c r="BD3" s="374"/>
      <c r="BE3" s="374"/>
      <c r="BF3" s="8"/>
      <c r="BG3" s="374"/>
      <c r="BH3" s="374"/>
      <c r="BI3" s="374"/>
      <c r="BJ3" s="8"/>
      <c r="BK3" s="374"/>
      <c r="BL3" s="374"/>
      <c r="BM3" s="374"/>
      <c r="BN3" s="8"/>
      <c r="BO3" s="374"/>
      <c r="BP3" s="374"/>
      <c r="BQ3" s="374"/>
      <c r="BR3" s="374"/>
      <c r="BS3" s="8"/>
      <c r="BT3" s="374"/>
      <c r="BU3" s="374"/>
      <c r="BV3" s="374"/>
      <c r="BW3" s="374"/>
      <c r="BX3" s="8"/>
      <c r="BY3" s="374"/>
      <c r="BZ3" s="374"/>
      <c r="CA3" s="374"/>
      <c r="CB3" s="374"/>
      <c r="CC3" s="8"/>
      <c r="CD3" s="374"/>
      <c r="CE3" s="374"/>
      <c r="CF3" s="374"/>
      <c r="CG3" s="374"/>
      <c r="CH3" s="8"/>
      <c r="CI3" s="374"/>
      <c r="CJ3" s="374"/>
      <c r="CK3" s="374"/>
      <c r="CL3" s="374"/>
      <c r="CM3" s="8"/>
      <c r="CN3" s="374"/>
      <c r="CO3" s="374"/>
      <c r="CP3" s="374"/>
      <c r="CQ3" s="374"/>
      <c r="CR3" s="8"/>
      <c r="CS3" s="374"/>
      <c r="CT3" s="374"/>
      <c r="CU3" s="374"/>
      <c r="CW3" s="8"/>
      <c r="CX3" s="374"/>
      <c r="CY3" s="374"/>
      <c r="CZ3" s="374"/>
      <c r="DB3" s="8"/>
      <c r="DC3" s="374"/>
      <c r="DD3" s="374"/>
      <c r="DE3" s="374"/>
      <c r="DG3" s="8"/>
      <c r="DH3" s="374"/>
      <c r="DI3" s="374"/>
      <c r="DJ3" s="374"/>
      <c r="DL3" s="8"/>
      <c r="DM3" s="374"/>
      <c r="DN3" s="374"/>
      <c r="DO3" s="374"/>
      <c r="DQ3" s="8"/>
      <c r="DR3" s="374"/>
      <c r="DS3" s="374"/>
      <c r="DT3" s="374"/>
      <c r="DV3" s="8"/>
    </row>
    <row r="4" spans="1:127" s="104" customFormat="1" ht="13.5" thickBot="1">
      <c r="A4" s="371"/>
      <c r="B4" s="50"/>
      <c r="C4" s="50"/>
      <c r="D4" s="50"/>
      <c r="E4" s="777">
        <v>6.01</v>
      </c>
      <c r="F4" s="371"/>
      <c r="G4" s="371"/>
      <c r="H4" s="371"/>
      <c r="I4" s="371"/>
      <c r="J4" s="371"/>
      <c r="K4" s="371"/>
      <c r="L4" s="777">
        <f>+E4+0.01</f>
        <v>6.02</v>
      </c>
      <c r="M4" s="19"/>
      <c r="N4" s="172"/>
      <c r="O4" s="172"/>
      <c r="P4" s="169"/>
      <c r="Q4" s="777">
        <f>L4+0.01</f>
        <v>6.0299999999999994</v>
      </c>
      <c r="R4" s="19"/>
      <c r="S4" s="19"/>
      <c r="T4" s="19"/>
      <c r="U4" s="777">
        <f>+Q4+0.01</f>
        <v>6.0399999999999991</v>
      </c>
      <c r="V4" s="19"/>
      <c r="W4" s="19"/>
      <c r="X4" s="19"/>
      <c r="Y4" s="777">
        <f>+U4+0.01</f>
        <v>6.0499999999999989</v>
      </c>
      <c r="Z4" s="19"/>
      <c r="AA4" s="74"/>
      <c r="AB4" s="74"/>
      <c r="AC4" s="74"/>
      <c r="AD4" s="777">
        <v>6.0599999999999987</v>
      </c>
      <c r="AE4" s="30"/>
      <c r="AF4" s="92"/>
      <c r="AG4" s="30"/>
      <c r="AH4" s="30"/>
      <c r="AI4" s="777">
        <f>+AD4+0.01</f>
        <v>6.0699999999999985</v>
      </c>
      <c r="AJ4" s="19"/>
      <c r="AK4" s="19"/>
      <c r="AL4" s="19"/>
      <c r="AM4" s="19"/>
      <c r="AN4" s="19"/>
      <c r="AO4" s="19"/>
      <c r="AP4" s="19"/>
      <c r="AQ4" s="19"/>
      <c r="AR4" s="777">
        <f>AI4+0.01</f>
        <v>6.0799999999999983</v>
      </c>
      <c r="AS4" s="19"/>
      <c r="AT4" s="19"/>
      <c r="AU4" s="19"/>
      <c r="AV4" s="19"/>
      <c r="AW4" s="777">
        <f>AR4+0.01</f>
        <v>6.0899999999999981</v>
      </c>
      <c r="AX4" s="11"/>
      <c r="AY4" s="11"/>
      <c r="AZ4" s="11"/>
      <c r="BB4" s="777">
        <f>AW4+0.01</f>
        <v>6.0999999999999979</v>
      </c>
      <c r="BC4" s="19"/>
      <c r="BD4" s="19"/>
      <c r="BE4" s="19"/>
      <c r="BF4" s="777">
        <f>BB4+0.01</f>
        <v>6.1099999999999977</v>
      </c>
      <c r="BG4" s="19"/>
      <c r="BH4" s="11"/>
      <c r="BI4" s="19"/>
      <c r="BJ4" s="777">
        <f>BF4+0.01</f>
        <v>6.1199999999999974</v>
      </c>
      <c r="BK4" s="19"/>
      <c r="BL4" s="19"/>
      <c r="BM4" s="19"/>
      <c r="BN4" s="777">
        <f>BJ4+0.01</f>
        <v>6.1299999999999972</v>
      </c>
      <c r="BO4" s="30"/>
      <c r="BP4" s="30"/>
      <c r="BQ4" s="30"/>
      <c r="BR4" s="30"/>
      <c r="BS4" s="777">
        <f>+BN4+0.01</f>
        <v>6.139999999999997</v>
      </c>
      <c r="BT4" s="30"/>
      <c r="BU4" s="30"/>
      <c r="BV4" s="30"/>
      <c r="BW4" s="30"/>
      <c r="BX4" s="777">
        <f>+BS4+0.01</f>
        <v>6.1499999999999968</v>
      </c>
      <c r="BY4" s="19"/>
      <c r="BZ4" s="19"/>
      <c r="CA4" s="19"/>
      <c r="CB4" s="19"/>
      <c r="CC4" s="777">
        <f>+BX4+0.01</f>
        <v>6.1599999999999966</v>
      </c>
      <c r="CD4" s="19"/>
      <c r="CE4" s="19"/>
      <c r="CF4" s="19"/>
      <c r="CG4" s="19"/>
      <c r="CH4" s="777">
        <f>+CC4+0.01</f>
        <v>6.1699999999999964</v>
      </c>
      <c r="CI4" s="19"/>
      <c r="CJ4" s="19"/>
      <c r="CK4" s="19"/>
      <c r="CL4" s="19"/>
      <c r="CM4" s="777">
        <f>+CH4+0.01</f>
        <v>6.1799999999999962</v>
      </c>
      <c r="CN4" s="371"/>
      <c r="CO4" s="371"/>
      <c r="CP4" s="371"/>
      <c r="CQ4" s="371"/>
      <c r="CR4" s="777">
        <f>+CM4+0.01</f>
        <v>6.1899999999999959</v>
      </c>
      <c r="CS4" s="374"/>
      <c r="CT4" s="374"/>
      <c r="CU4" s="374"/>
      <c r="CW4" s="777">
        <f>+CR4+0.01</f>
        <v>6.1999999999999957</v>
      </c>
      <c r="CX4" s="374"/>
      <c r="CY4" s="374"/>
      <c r="CZ4" s="374"/>
      <c r="DB4" s="777">
        <f>+CW4+0.01</f>
        <v>6.2099999999999955</v>
      </c>
      <c r="DC4" s="374"/>
      <c r="DD4" s="374"/>
      <c r="DE4" s="374"/>
      <c r="DG4" s="777">
        <f>+DB4+0.01</f>
        <v>6.2199999999999953</v>
      </c>
      <c r="DH4" s="374"/>
      <c r="DI4" s="374"/>
      <c r="DJ4" s="374"/>
      <c r="DL4" s="936" t="s">
        <v>1198</v>
      </c>
      <c r="DM4" s="58"/>
      <c r="DN4" s="58"/>
      <c r="DO4" s="58"/>
      <c r="DP4" s="1075"/>
      <c r="DQ4" s="936" t="s">
        <v>1202</v>
      </c>
      <c r="DR4" s="58"/>
      <c r="DS4" s="58"/>
      <c r="DT4" s="58"/>
      <c r="DU4" s="1075"/>
      <c r="DV4" s="936" t="s">
        <v>1219</v>
      </c>
      <c r="DW4" s="1075"/>
    </row>
    <row r="5" spans="1:127" s="104" customFormat="1" ht="13.5">
      <c r="B5" s="246" t="s">
        <v>351</v>
      </c>
      <c r="C5" s="368"/>
      <c r="D5" s="368"/>
      <c r="E5" s="20"/>
      <c r="F5" s="606"/>
      <c r="G5" s="607"/>
      <c r="H5" s="607"/>
      <c r="I5" s="21" t="s">
        <v>351</v>
      </c>
      <c r="J5" s="607"/>
      <c r="K5" s="607"/>
      <c r="L5" s="607"/>
      <c r="M5" s="21" t="s">
        <v>351</v>
      </c>
      <c r="N5" s="173"/>
      <c r="O5" s="174"/>
      <c r="P5" s="174"/>
      <c r="Q5" s="174"/>
      <c r="R5" s="21" t="s">
        <v>351</v>
      </c>
      <c r="S5" s="20"/>
      <c r="T5" s="20"/>
      <c r="U5" s="75"/>
      <c r="V5" s="21" t="s">
        <v>351</v>
      </c>
      <c r="W5" s="20"/>
      <c r="X5" s="20"/>
      <c r="Y5" s="20"/>
      <c r="Z5" s="21" t="s">
        <v>351</v>
      </c>
      <c r="AA5" s="20"/>
      <c r="AB5" s="20"/>
      <c r="AC5" s="20"/>
      <c r="AD5" s="66"/>
      <c r="AE5" s="21" t="s">
        <v>351</v>
      </c>
      <c r="AF5" s="20"/>
      <c r="AG5" s="20"/>
      <c r="AH5" s="20"/>
      <c r="AI5" s="20"/>
      <c r="AJ5" s="21" t="s">
        <v>351</v>
      </c>
      <c r="AK5" s="20"/>
      <c r="AL5" s="20"/>
      <c r="AM5" s="20"/>
      <c r="AN5" s="20"/>
      <c r="AO5" s="20"/>
      <c r="AP5" s="20"/>
      <c r="AQ5" s="20"/>
      <c r="AR5" s="20"/>
      <c r="AS5" s="21" t="s">
        <v>351</v>
      </c>
      <c r="AT5" s="144"/>
      <c r="AU5" s="144"/>
      <c r="AV5" s="144"/>
      <c r="AW5" s="144"/>
      <c r="AX5" s="21" t="s">
        <v>351</v>
      </c>
      <c r="AY5" s="20"/>
      <c r="AZ5" s="20"/>
      <c r="BA5" s="20"/>
      <c r="BB5" s="66"/>
      <c r="BC5" s="21" t="s">
        <v>351</v>
      </c>
      <c r="BD5" s="20"/>
      <c r="BE5" s="20"/>
      <c r="BF5" s="20"/>
      <c r="BG5" s="21" t="s">
        <v>351</v>
      </c>
      <c r="BH5" s="20"/>
      <c r="BI5" s="20"/>
      <c r="BJ5" s="20"/>
      <c r="BK5" s="21" t="s">
        <v>351</v>
      </c>
      <c r="BL5" s="20"/>
      <c r="BM5" s="20"/>
      <c r="BN5" s="20"/>
      <c r="BO5" s="21" t="s">
        <v>351</v>
      </c>
      <c r="BP5" s="31"/>
      <c r="BQ5" s="20"/>
      <c r="BR5" s="20"/>
      <c r="BS5" s="20"/>
      <c r="BT5" s="21" t="s">
        <v>351</v>
      </c>
      <c r="BU5" s="31"/>
      <c r="BV5" s="20"/>
      <c r="BW5" s="20"/>
      <c r="BX5" s="20"/>
      <c r="BY5" s="21" t="s">
        <v>351</v>
      </c>
      <c r="BZ5" s="20"/>
      <c r="CA5" s="20"/>
      <c r="CB5" s="20"/>
      <c r="CC5" s="20"/>
      <c r="CD5" s="20" t="s">
        <v>351</v>
      </c>
      <c r="CE5" s="20"/>
      <c r="CF5" s="20"/>
      <c r="CG5" s="20"/>
      <c r="CH5" s="20"/>
      <c r="CI5" s="21" t="s">
        <v>351</v>
      </c>
      <c r="CJ5" s="20"/>
      <c r="CK5" s="20"/>
      <c r="CL5" s="20"/>
      <c r="CM5" s="20"/>
      <c r="CN5" s="246" t="s">
        <v>351</v>
      </c>
      <c r="CO5" s="368"/>
      <c r="CP5" s="368"/>
      <c r="CQ5" s="368"/>
      <c r="CR5" s="368"/>
      <c r="CS5" s="246" t="s">
        <v>351</v>
      </c>
      <c r="CT5" s="368"/>
      <c r="CU5" s="368"/>
      <c r="CV5" s="368"/>
      <c r="CW5" s="370"/>
      <c r="CX5" s="246" t="s">
        <v>351</v>
      </c>
      <c r="CY5" s="368"/>
      <c r="CZ5" s="368"/>
      <c r="DA5" s="368"/>
      <c r="DB5" s="370"/>
      <c r="DC5" s="246" t="s">
        <v>351</v>
      </c>
      <c r="DD5" s="368"/>
      <c r="DE5" s="368"/>
      <c r="DF5" s="368"/>
      <c r="DG5" s="370"/>
      <c r="DH5" s="246" t="s">
        <v>351</v>
      </c>
      <c r="DI5" s="368"/>
      <c r="DJ5" s="368"/>
      <c r="DK5" s="368"/>
      <c r="DL5" s="370"/>
      <c r="DM5" s="246" t="s">
        <v>351</v>
      </c>
      <c r="DN5" s="368"/>
      <c r="DO5" s="368"/>
      <c r="DP5" s="368"/>
      <c r="DQ5" s="370"/>
      <c r="DR5" s="246" t="s">
        <v>351</v>
      </c>
      <c r="DS5" s="368"/>
      <c r="DT5" s="368"/>
      <c r="DU5" s="368"/>
      <c r="DV5" s="370"/>
    </row>
    <row r="6" spans="1:127" s="1076" customFormat="1" ht="13.5" customHeight="1">
      <c r="B6" s="1077" t="s">
        <v>203</v>
      </c>
      <c r="C6" s="1078"/>
      <c r="D6" s="1078"/>
      <c r="E6" s="1078"/>
      <c r="F6" s="1079"/>
      <c r="H6" s="1079"/>
      <c r="I6" s="1079" t="s">
        <v>202</v>
      </c>
      <c r="J6" s="1079"/>
      <c r="K6" s="1079"/>
      <c r="M6" s="1092" t="s">
        <v>204</v>
      </c>
      <c r="N6" s="1092"/>
      <c r="O6" s="1092"/>
      <c r="P6" s="1092"/>
      <c r="Q6" s="1092"/>
      <c r="R6" s="1077" t="s">
        <v>205</v>
      </c>
      <c r="S6" s="1080"/>
      <c r="T6" s="1080"/>
      <c r="U6" s="1081"/>
      <c r="V6" s="1077" t="s">
        <v>206</v>
      </c>
      <c r="W6" s="1080"/>
      <c r="X6" s="1080"/>
      <c r="Y6" s="1078"/>
      <c r="Z6" s="1077" t="s">
        <v>663</v>
      </c>
      <c r="AA6" s="1080"/>
      <c r="AB6" s="1080"/>
      <c r="AC6" s="1080"/>
      <c r="AD6" s="1078"/>
      <c r="AE6" s="1077" t="s">
        <v>225</v>
      </c>
      <c r="AF6" s="1082"/>
      <c r="AG6" s="1082"/>
      <c r="AH6" s="1082"/>
      <c r="AI6" s="1082"/>
      <c r="AJ6" s="1077" t="s">
        <v>283</v>
      </c>
      <c r="AK6" s="1080"/>
      <c r="AL6" s="1080"/>
      <c r="AM6" s="1080"/>
      <c r="AN6" s="1080"/>
      <c r="AO6" s="1080"/>
      <c r="AP6" s="1080"/>
      <c r="AQ6" s="1078"/>
      <c r="AR6" s="1078"/>
      <c r="AS6" s="1080" t="s">
        <v>207</v>
      </c>
      <c r="AT6" s="1083"/>
      <c r="AU6" s="1083"/>
      <c r="AV6" s="1083"/>
      <c r="AW6" s="1083"/>
      <c r="AX6" s="1080" t="s">
        <v>196</v>
      </c>
      <c r="AY6" s="1080"/>
      <c r="AZ6" s="1080"/>
      <c r="BA6" s="1080"/>
      <c r="BB6" s="1080"/>
      <c r="BC6" s="1077" t="s">
        <v>208</v>
      </c>
      <c r="BD6" s="1080"/>
      <c r="BE6" s="1080"/>
      <c r="BF6" s="1080"/>
      <c r="BG6" s="1077" t="s">
        <v>209</v>
      </c>
      <c r="BH6" s="1080"/>
      <c r="BI6" s="1080"/>
      <c r="BJ6" s="1078"/>
      <c r="BK6" s="1077" t="s">
        <v>210</v>
      </c>
      <c r="BL6" s="1080"/>
      <c r="BM6" s="1080"/>
      <c r="BN6" s="1080"/>
      <c r="BO6" s="1092" t="s">
        <v>211</v>
      </c>
      <c r="BP6" s="1092"/>
      <c r="BQ6" s="1092"/>
      <c r="BR6" s="1092"/>
      <c r="BS6" s="1092"/>
      <c r="BT6" s="1092" t="s">
        <v>144</v>
      </c>
      <c r="BU6" s="1092"/>
      <c r="BV6" s="1092"/>
      <c r="BW6" s="1092"/>
      <c r="BX6" s="1092"/>
      <c r="BY6" s="1080" t="s">
        <v>145</v>
      </c>
      <c r="BZ6" s="1080"/>
      <c r="CA6" s="1080"/>
      <c r="CB6" s="1080"/>
      <c r="CC6" s="1078"/>
      <c r="CD6" s="1080" t="s">
        <v>146</v>
      </c>
      <c r="CE6" s="1080"/>
      <c r="CF6" s="1080"/>
      <c r="CG6" s="1080"/>
      <c r="CH6" s="1080"/>
      <c r="CI6" s="1080" t="s">
        <v>147</v>
      </c>
      <c r="CJ6" s="1080"/>
      <c r="CK6" s="1080"/>
      <c r="CL6" s="1080"/>
      <c r="CM6" s="1078"/>
      <c r="CN6" s="1080" t="s">
        <v>628</v>
      </c>
      <c r="CO6" s="1080"/>
      <c r="CP6" s="1080"/>
      <c r="CQ6" s="1080"/>
      <c r="CR6" s="1078"/>
      <c r="CS6" s="1080" t="s">
        <v>1018</v>
      </c>
      <c r="CT6" s="1080"/>
      <c r="CU6" s="1080"/>
      <c r="CV6" s="1080"/>
      <c r="CW6" s="1080"/>
      <c r="CX6" s="1080" t="s">
        <v>835</v>
      </c>
      <c r="CY6" s="1080"/>
      <c r="CZ6" s="1080"/>
      <c r="DA6" s="1080"/>
      <c r="DB6" s="1080"/>
      <c r="DC6" s="1080" t="s">
        <v>967</v>
      </c>
      <c r="DD6" s="1080"/>
      <c r="DE6" s="1080"/>
      <c r="DF6" s="1080"/>
      <c r="DG6" s="1080"/>
      <c r="DH6" s="1080" t="s">
        <v>1199</v>
      </c>
      <c r="DI6" s="1080"/>
      <c r="DJ6" s="1080"/>
      <c r="DK6" s="1080"/>
      <c r="DL6" s="1080"/>
      <c r="DM6" s="1080" t="s">
        <v>1203</v>
      </c>
      <c r="DN6" s="1080"/>
      <c r="DO6" s="1080"/>
      <c r="DP6" s="1080"/>
      <c r="DQ6" s="1080"/>
      <c r="DR6" s="1080" t="s">
        <v>1220</v>
      </c>
      <c r="DS6" s="1080"/>
      <c r="DT6" s="1080"/>
      <c r="DU6" s="1080"/>
      <c r="DV6" s="1080"/>
    </row>
    <row r="7" spans="1:127">
      <c r="B7" s="246" t="s">
        <v>834</v>
      </c>
      <c r="C7" s="368"/>
      <c r="D7" s="368"/>
      <c r="E7" s="23"/>
      <c r="F7" s="607"/>
      <c r="G7" s="606"/>
      <c r="H7" s="606"/>
      <c r="I7" s="20" t="str">
        <f>keep_TESTYEAR</f>
        <v>FOR THE TWELVE MONTHS ENDED SEPTEMBER 30, 2016</v>
      </c>
      <c r="J7" s="607"/>
      <c r="K7" s="608"/>
      <c r="L7" s="608"/>
      <c r="M7" s="20" t="str">
        <f>keep_TESTYEAR</f>
        <v>FOR THE TWELVE MONTHS ENDED SEPTEMBER 30, 2016</v>
      </c>
      <c r="N7" s="186"/>
      <c r="O7" s="186"/>
      <c r="P7" s="186"/>
      <c r="Q7" s="186"/>
      <c r="R7" s="20" t="str">
        <f>keep_TESTYEAR</f>
        <v>FOR THE TWELVE MONTHS ENDED SEPTEMBER 30, 2016</v>
      </c>
      <c r="S7" s="20"/>
      <c r="T7" s="20"/>
      <c r="U7" s="75"/>
      <c r="V7" s="20" t="str">
        <f>keep_TESTYEAR</f>
        <v>FOR THE TWELVE MONTHS ENDED SEPTEMBER 30, 2016</v>
      </c>
      <c r="W7" s="20"/>
      <c r="X7" s="20"/>
      <c r="Y7" s="23"/>
      <c r="Z7" s="20" t="str">
        <f>keep_TESTYEAR</f>
        <v>FOR THE TWELVE MONTHS ENDED SEPTEMBER 30, 2016</v>
      </c>
      <c r="AA7" s="20"/>
      <c r="AB7" s="20"/>
      <c r="AC7" s="20"/>
      <c r="AD7" s="23"/>
      <c r="AE7" s="20" t="str">
        <f>keep_TESTYEAR</f>
        <v>FOR THE TWELVE MONTHS ENDED SEPTEMBER 30, 2016</v>
      </c>
      <c r="AF7" s="253"/>
      <c r="AG7" s="253"/>
      <c r="AH7" s="253"/>
      <c r="AI7" s="253"/>
      <c r="AJ7" s="20" t="str">
        <f>keep_TESTYEAR</f>
        <v>FOR THE TWELVE MONTHS ENDED SEPTEMBER 30, 2016</v>
      </c>
      <c r="AK7" s="20"/>
      <c r="AL7" s="20"/>
      <c r="AM7" s="20"/>
      <c r="AN7" s="20"/>
      <c r="AO7" s="20"/>
      <c r="AP7" s="20"/>
      <c r="AQ7" s="23"/>
      <c r="AR7" s="23"/>
      <c r="AS7" s="20" t="str">
        <f>keep_TESTYEAR</f>
        <v>FOR THE TWELVE MONTHS ENDED SEPTEMBER 30, 2016</v>
      </c>
      <c r="AT7" s="144"/>
      <c r="AU7" s="144"/>
      <c r="AV7" s="144"/>
      <c r="AW7" s="144"/>
      <c r="AX7" s="1090" t="s">
        <v>834</v>
      </c>
      <c r="AY7" s="1090"/>
      <c r="AZ7" s="1090"/>
      <c r="BA7" s="1090"/>
      <c r="BB7" s="1090"/>
      <c r="BC7" s="21" t="str">
        <f>keep_TESTYEAR</f>
        <v>FOR THE TWELVE MONTHS ENDED SEPTEMBER 30, 2016</v>
      </c>
      <c r="BD7" s="20"/>
      <c r="BE7" s="20"/>
      <c r="BF7" s="20"/>
      <c r="BG7" s="20" t="str">
        <f>keep_TESTYEAR</f>
        <v>FOR THE TWELVE MONTHS ENDED SEPTEMBER 30, 2016</v>
      </c>
      <c r="BH7" s="21"/>
      <c r="BI7" s="20"/>
      <c r="BJ7" s="23"/>
      <c r="BK7" s="20" t="str">
        <f>keep_TESTYEAR</f>
        <v>FOR THE TWELVE MONTHS ENDED SEPTEMBER 30, 2016</v>
      </c>
      <c r="BL7" s="20"/>
      <c r="BM7" s="20"/>
      <c r="BN7" s="20"/>
      <c r="BO7" s="20" t="str">
        <f>keep_TESTYEAR</f>
        <v>FOR THE TWELVE MONTHS ENDED SEPTEMBER 30, 2016</v>
      </c>
      <c r="BP7" s="32"/>
      <c r="BQ7" s="23"/>
      <c r="BR7" s="23"/>
      <c r="BS7" s="23"/>
      <c r="BT7" s="20" t="str">
        <f>keep_TESTYEAR</f>
        <v>FOR THE TWELVE MONTHS ENDED SEPTEMBER 30, 2016</v>
      </c>
      <c r="BU7" s="32"/>
      <c r="BV7" s="23"/>
      <c r="BW7" s="23"/>
      <c r="BX7" s="23"/>
      <c r="BY7" s="20" t="str">
        <f>keep_TESTYEAR</f>
        <v>FOR THE TWELVE MONTHS ENDED SEPTEMBER 30, 2016</v>
      </c>
      <c r="BZ7" s="20"/>
      <c r="CA7" s="20"/>
      <c r="CB7" s="20"/>
      <c r="CC7" s="23"/>
      <c r="CD7" s="20" t="str">
        <f>keep_TESTYEAR</f>
        <v>FOR THE TWELVE MONTHS ENDED SEPTEMBER 30, 2016</v>
      </c>
      <c r="CE7" s="20"/>
      <c r="CF7" s="20"/>
      <c r="CG7" s="20"/>
      <c r="CH7" s="20"/>
      <c r="CI7" s="20" t="str">
        <f>keep_TESTYEAR</f>
        <v>FOR THE TWELVE MONTHS ENDED SEPTEMBER 30, 2016</v>
      </c>
      <c r="CJ7" s="20"/>
      <c r="CK7" s="20"/>
      <c r="CL7" s="20"/>
      <c r="CM7" s="23"/>
      <c r="CN7" s="368" t="str">
        <f>keep_TESTYEAR</f>
        <v>FOR THE TWELVE MONTHS ENDED SEPTEMBER 30, 2016</v>
      </c>
      <c r="CO7" s="368"/>
      <c r="CP7" s="368"/>
      <c r="CQ7" s="368"/>
      <c r="CR7" s="23"/>
      <c r="CS7" s="1090" t="s">
        <v>834</v>
      </c>
      <c r="CT7" s="1090"/>
      <c r="CU7" s="1090"/>
      <c r="CV7" s="1090"/>
      <c r="CW7" s="1090"/>
      <c r="CX7" s="1090" t="s">
        <v>834</v>
      </c>
      <c r="CY7" s="1090"/>
      <c r="CZ7" s="1090"/>
      <c r="DA7" s="1090"/>
      <c r="DB7" s="1090"/>
      <c r="DC7" s="1090" t="s">
        <v>834</v>
      </c>
      <c r="DD7" s="1090"/>
      <c r="DE7" s="1090"/>
      <c r="DF7" s="1090"/>
      <c r="DG7" s="1090"/>
      <c r="DH7" s="1090" t="s">
        <v>834</v>
      </c>
      <c r="DI7" s="1090"/>
      <c r="DJ7" s="1090"/>
      <c r="DK7" s="1090"/>
      <c r="DL7" s="1090"/>
      <c r="DM7" s="1090" t="s">
        <v>834</v>
      </c>
      <c r="DN7" s="1090"/>
      <c r="DO7" s="1090"/>
      <c r="DP7" s="1090"/>
      <c r="DQ7" s="1090"/>
      <c r="DR7" s="1090" t="s">
        <v>834</v>
      </c>
      <c r="DS7" s="1090"/>
      <c r="DT7" s="1090"/>
      <c r="DU7" s="1090"/>
      <c r="DV7" s="1090"/>
    </row>
    <row r="8" spans="1:127" ht="15.75">
      <c r="B8" s="246" t="s">
        <v>833</v>
      </c>
      <c r="C8" s="368"/>
      <c r="D8" s="368"/>
      <c r="E8" s="20"/>
      <c r="F8" s="606"/>
      <c r="G8" s="606"/>
      <c r="H8" s="606"/>
      <c r="I8" s="21" t="str">
        <f>Case_Name</f>
        <v xml:space="preserve">2017 GENERAL RATE CASE </v>
      </c>
      <c r="J8" s="607"/>
      <c r="K8" s="607"/>
      <c r="L8" s="607"/>
      <c r="M8" s="21" t="str">
        <f>+I8</f>
        <v xml:space="preserve">2017 GENERAL RATE CASE </v>
      </c>
      <c r="N8" s="246"/>
      <c r="O8" s="149"/>
      <c r="P8" s="150"/>
      <c r="Q8" s="150"/>
      <c r="R8" s="21" t="str">
        <f>+M8</f>
        <v xml:space="preserve">2017 GENERAL RATE CASE </v>
      </c>
      <c r="S8" s="21"/>
      <c r="T8" s="21"/>
      <c r="U8" s="421"/>
      <c r="V8" s="21" t="s">
        <v>1276</v>
      </c>
      <c r="W8" s="20"/>
      <c r="X8" s="20"/>
      <c r="Y8" s="23"/>
      <c r="Z8" s="246" t="str">
        <f>+V8</f>
        <v>RESTATING ADJUSTMENT DETAIL</v>
      </c>
      <c r="AA8" s="20"/>
      <c r="AB8" s="20"/>
      <c r="AC8" s="21"/>
      <c r="AD8" s="23"/>
      <c r="AE8" s="20" t="str">
        <f>+Z8</f>
        <v>RESTATING ADJUSTMENT DETAIL</v>
      </c>
      <c r="AF8" s="253"/>
      <c r="AG8" s="253"/>
      <c r="AH8" s="253"/>
      <c r="AI8" s="253"/>
      <c r="AJ8" s="21" t="str">
        <f>+AE8</f>
        <v>RESTATING ADJUSTMENT DETAIL</v>
      </c>
      <c r="AK8" s="20"/>
      <c r="AL8" s="20"/>
      <c r="AM8" s="20"/>
      <c r="AN8" s="20"/>
      <c r="AO8" s="20"/>
      <c r="AP8" s="20"/>
      <c r="AQ8" s="23"/>
      <c r="AR8" s="20"/>
      <c r="AS8" s="20" t="str">
        <f>+AJ8</f>
        <v>RESTATING ADJUSTMENT DETAIL</v>
      </c>
      <c r="AT8" s="144"/>
      <c r="AU8" s="144"/>
      <c r="AV8" s="144"/>
      <c r="AW8" s="144"/>
      <c r="AX8" s="1090" t="str">
        <f>+AS8</f>
        <v>RESTATING ADJUSTMENT DETAIL</v>
      </c>
      <c r="AY8" s="1090"/>
      <c r="AZ8" s="1090"/>
      <c r="BA8" s="1090"/>
      <c r="BB8" s="1090"/>
      <c r="BC8" s="21" t="str">
        <f>+AX8</f>
        <v>RESTATING ADJUSTMENT DETAIL</v>
      </c>
      <c r="BD8" s="20"/>
      <c r="BE8" s="20"/>
      <c r="BF8" s="20"/>
      <c r="BG8" s="21" t="str">
        <f>+BC8</f>
        <v>RESTATING ADJUSTMENT DETAIL</v>
      </c>
      <c r="BH8" s="21"/>
      <c r="BI8" s="20"/>
      <c r="BJ8" s="20"/>
      <c r="BK8" s="21" t="str">
        <f>+BG8</f>
        <v>RESTATING ADJUSTMENT DETAIL</v>
      </c>
      <c r="BL8" s="20"/>
      <c r="BM8" s="20"/>
      <c r="BN8" s="20"/>
      <c r="BO8" s="21" t="str">
        <f>+BK8</f>
        <v>RESTATING ADJUSTMENT DETAIL</v>
      </c>
      <c r="BP8" s="31"/>
      <c r="BQ8" s="20"/>
      <c r="BR8" s="20"/>
      <c r="BS8" s="20"/>
      <c r="BT8" s="21" t="str">
        <f>+BO8</f>
        <v>RESTATING ADJUSTMENT DETAIL</v>
      </c>
      <c r="BU8" s="31"/>
      <c r="BV8" s="20"/>
      <c r="BW8" s="20"/>
      <c r="BX8" s="20"/>
      <c r="BY8" s="21" t="str">
        <f>+BT8</f>
        <v>RESTATING ADJUSTMENT DETAIL</v>
      </c>
      <c r="BZ8" s="20"/>
      <c r="CA8" s="20"/>
      <c r="CB8" s="20"/>
      <c r="CC8" s="23"/>
      <c r="CD8" s="20" t="str">
        <f>+BY8</f>
        <v>RESTATING ADJUSTMENT DETAIL</v>
      </c>
      <c r="CE8" s="20"/>
      <c r="CF8" s="20"/>
      <c r="CG8" s="20"/>
      <c r="CH8" s="20"/>
      <c r="CI8" s="21" t="str">
        <f>+CD8</f>
        <v>RESTATING ADJUSTMENT DETAIL</v>
      </c>
      <c r="CJ8" s="20"/>
      <c r="CK8" s="20"/>
      <c r="CL8" s="20"/>
      <c r="CM8" s="20"/>
      <c r="CN8" s="246" t="str">
        <f>+CI8</f>
        <v>RESTATING ADJUSTMENT DETAIL</v>
      </c>
      <c r="CO8" s="368"/>
      <c r="CP8" s="368"/>
      <c r="CQ8" s="368"/>
      <c r="CR8" s="368"/>
      <c r="CS8" s="1090" t="str">
        <f>+CN8</f>
        <v>RESTATING ADJUSTMENT DETAIL</v>
      </c>
      <c r="CT8" s="1090"/>
      <c r="CU8" s="1090"/>
      <c r="CV8" s="1090"/>
      <c r="CW8" s="1090"/>
      <c r="CX8" s="1090" t="str">
        <f>+CS8</f>
        <v>RESTATING ADJUSTMENT DETAIL</v>
      </c>
      <c r="CY8" s="1090"/>
      <c r="CZ8" s="1090"/>
      <c r="DA8" s="1090"/>
      <c r="DB8" s="1090"/>
      <c r="DC8" s="1090" t="str">
        <f>+CX8</f>
        <v>RESTATING ADJUSTMENT DETAIL</v>
      </c>
      <c r="DD8" s="1090"/>
      <c r="DE8" s="1090"/>
      <c r="DF8" s="1090"/>
      <c r="DG8" s="1090"/>
      <c r="DH8" s="1090" t="str">
        <f>+DC8</f>
        <v>RESTATING ADJUSTMENT DETAIL</v>
      </c>
      <c r="DI8" s="1090"/>
      <c r="DJ8" s="1090"/>
      <c r="DK8" s="1090"/>
      <c r="DL8" s="1090"/>
      <c r="DM8" s="1090" t="str">
        <f>+DH8</f>
        <v>RESTATING ADJUSTMENT DETAIL</v>
      </c>
      <c r="DN8" s="1090"/>
      <c r="DO8" s="1090"/>
      <c r="DP8" s="1090"/>
      <c r="DQ8" s="1090"/>
      <c r="DR8" s="1090" t="str">
        <f>+DM8</f>
        <v>RESTATING ADJUSTMENT DETAIL</v>
      </c>
      <c r="DS8" s="1090"/>
      <c r="DT8" s="1090"/>
      <c r="DU8" s="1090"/>
      <c r="DV8" s="1090"/>
    </row>
    <row r="9" spans="1:127" ht="15.75">
      <c r="A9" s="371"/>
      <c r="B9" s="19"/>
      <c r="C9" s="19"/>
      <c r="D9" s="19"/>
      <c r="E9" s="19"/>
      <c r="F9" s="371"/>
      <c r="G9" s="371"/>
      <c r="H9" s="371"/>
      <c r="I9" s="371"/>
      <c r="J9" s="371"/>
      <c r="K9" s="371"/>
      <c r="L9" s="371"/>
      <c r="M9" s="19"/>
      <c r="N9" s="150"/>
      <c r="O9" s="150"/>
      <c r="P9" s="150"/>
      <c r="Q9" s="150"/>
      <c r="R9" s="19"/>
      <c r="S9" s="421"/>
      <c r="T9" s="101"/>
      <c r="U9" s="105"/>
      <c r="V9" s="19"/>
      <c r="W9" s="101"/>
      <c r="X9" s="51"/>
      <c r="Y9" s="51"/>
      <c r="Z9" s="19"/>
      <c r="AA9" s="73"/>
      <c r="AB9" s="73"/>
      <c r="AC9" s="74"/>
      <c r="AD9" s="74"/>
      <c r="AE9" s="21"/>
      <c r="AF9" s="253"/>
      <c r="AG9" s="253"/>
      <c r="AH9" s="253"/>
      <c r="AI9" s="253"/>
      <c r="AJ9" s="19"/>
      <c r="AK9" s="19"/>
      <c r="AL9" s="10"/>
      <c r="AM9" s="10"/>
      <c r="AN9" s="10"/>
      <c r="AO9" s="10"/>
      <c r="AP9" s="10"/>
      <c r="AQ9" s="10"/>
      <c r="AR9" s="10" t="s">
        <v>82</v>
      </c>
      <c r="AS9" s="19"/>
      <c r="AT9" s="19"/>
      <c r="AU9" s="19"/>
      <c r="AV9" s="19"/>
      <c r="AW9" s="19"/>
      <c r="AX9" s="91"/>
      <c r="AY9" s="91"/>
      <c r="AZ9" s="91"/>
      <c r="BA9" s="91"/>
      <c r="BB9" s="91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01"/>
      <c r="CD9" s="19"/>
      <c r="CE9" s="19"/>
      <c r="CF9" s="19"/>
      <c r="CG9" s="19"/>
      <c r="CH9" s="19"/>
      <c r="CI9" s="71"/>
      <c r="CJ9" s="101"/>
      <c r="CK9" s="101"/>
      <c r="CL9" s="19"/>
      <c r="CM9" s="19"/>
      <c r="CN9" s="71"/>
      <c r="CO9" s="101"/>
      <c r="CP9" s="101"/>
      <c r="CQ9" s="371"/>
      <c r="CR9" s="371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</row>
    <row r="10" spans="1:127" ht="15">
      <c r="A10" s="606" t="s">
        <v>313</v>
      </c>
      <c r="B10" s="19"/>
      <c r="C10" s="10"/>
      <c r="D10" s="239"/>
      <c r="E10" s="239"/>
      <c r="F10" s="28" t="s">
        <v>313</v>
      </c>
      <c r="G10" s="101"/>
      <c r="H10" s="101"/>
      <c r="I10" s="101"/>
      <c r="J10" s="371"/>
      <c r="K10" s="371"/>
      <c r="L10" s="607"/>
      <c r="M10" s="188" t="s">
        <v>313</v>
      </c>
      <c r="N10" s="189"/>
      <c r="O10" s="189"/>
      <c r="P10" s="151"/>
      <c r="Q10" s="151"/>
      <c r="R10" s="10" t="s">
        <v>313</v>
      </c>
      <c r="S10" s="19"/>
      <c r="T10" s="11"/>
      <c r="U10" s="77"/>
      <c r="V10" s="10" t="s">
        <v>313</v>
      </c>
      <c r="W10" s="19"/>
      <c r="X10" s="310"/>
      <c r="Y10" s="310"/>
      <c r="Z10" s="10" t="s">
        <v>313</v>
      </c>
      <c r="AA10" s="74"/>
      <c r="AB10" s="10"/>
      <c r="AC10" s="74"/>
      <c r="AD10" s="74"/>
      <c r="AE10" s="28" t="s">
        <v>313</v>
      </c>
      <c r="AF10" s="19"/>
      <c r="AG10" s="28"/>
      <c r="AH10" s="28"/>
      <c r="AI10" s="28"/>
      <c r="AJ10" s="10" t="s">
        <v>313</v>
      </c>
      <c r="AK10" s="19"/>
      <c r="AL10" s="10" t="s">
        <v>315</v>
      </c>
      <c r="AM10" s="10" t="s">
        <v>316</v>
      </c>
      <c r="AN10" s="10" t="s">
        <v>317</v>
      </c>
      <c r="AO10" s="10" t="s">
        <v>288</v>
      </c>
      <c r="AP10" s="10" t="s">
        <v>317</v>
      </c>
      <c r="AQ10" s="10" t="s">
        <v>315</v>
      </c>
      <c r="AR10" s="10" t="s">
        <v>377</v>
      </c>
      <c r="AS10" s="28" t="s">
        <v>313</v>
      </c>
      <c r="AT10" s="19"/>
      <c r="AX10" s="257" t="s">
        <v>313</v>
      </c>
      <c r="AY10" s="257"/>
      <c r="AZ10" s="257"/>
      <c r="BA10" s="257"/>
      <c r="BB10" s="257"/>
      <c r="BC10" s="28" t="s">
        <v>313</v>
      </c>
      <c r="BD10" s="101"/>
      <c r="BE10" s="101"/>
      <c r="BF10" s="19"/>
      <c r="BG10" s="28" t="s">
        <v>313</v>
      </c>
      <c r="BH10" s="19"/>
      <c r="BI10" s="19"/>
      <c r="BJ10" s="19"/>
      <c r="BK10" s="28" t="s">
        <v>313</v>
      </c>
      <c r="BL10" s="101"/>
      <c r="BM10" s="101"/>
      <c r="BN10" s="19"/>
      <c r="BO10" s="28" t="s">
        <v>313</v>
      </c>
      <c r="BP10" s="19"/>
      <c r="BQ10" s="19"/>
      <c r="BR10" s="19"/>
      <c r="BS10" s="19"/>
      <c r="BT10" s="28" t="s">
        <v>313</v>
      </c>
      <c r="BU10" s="19"/>
      <c r="BV10" s="19"/>
      <c r="BW10" s="19"/>
      <c r="BX10" s="19"/>
      <c r="BY10" s="28" t="s">
        <v>313</v>
      </c>
      <c r="BZ10" s="19"/>
      <c r="CA10" s="1091"/>
      <c r="CB10" s="1091"/>
      <c r="CC10" s="1091"/>
      <c r="CD10" s="28" t="s">
        <v>313</v>
      </c>
      <c r="CE10" s="19"/>
      <c r="CF10" s="237"/>
      <c r="CG10" s="239"/>
      <c r="CH10" s="309"/>
      <c r="CI10" s="10" t="s">
        <v>313</v>
      </c>
      <c r="CJ10" s="19"/>
      <c r="CK10" s="19"/>
      <c r="CL10" s="19"/>
      <c r="CM10" s="309"/>
      <c r="CN10" s="372" t="s">
        <v>313</v>
      </c>
      <c r="CO10" s="371"/>
      <c r="CP10" s="371"/>
      <c r="CQ10" s="371"/>
      <c r="CR10" s="309"/>
      <c r="CS10" s="257" t="s">
        <v>313</v>
      </c>
      <c r="CT10" s="257"/>
      <c r="CU10" s="257"/>
      <c r="CV10" s="257"/>
      <c r="CW10" s="257"/>
      <c r="CX10" s="257" t="s">
        <v>313</v>
      </c>
      <c r="CY10" s="257"/>
      <c r="CZ10" s="257"/>
      <c r="DA10" s="257"/>
      <c r="DB10" s="257"/>
      <c r="DC10" s="152" t="s">
        <v>313</v>
      </c>
      <c r="DD10" s="744"/>
      <c r="DE10" s="744"/>
      <c r="DF10" s="746"/>
      <c r="DG10" s="745"/>
      <c r="DH10" s="152" t="s">
        <v>313</v>
      </c>
      <c r="DI10" s="744"/>
      <c r="DJ10" s="744"/>
      <c r="DK10" s="746"/>
      <c r="DL10" s="745"/>
      <c r="DM10" s="152" t="s">
        <v>313</v>
      </c>
      <c r="DN10" s="744"/>
      <c r="DO10" s="744"/>
      <c r="DP10" s="746"/>
      <c r="DQ10" s="745"/>
      <c r="DR10" s="152" t="s">
        <v>313</v>
      </c>
      <c r="DS10" s="744"/>
      <c r="DT10" s="744"/>
      <c r="DU10" s="746"/>
      <c r="DV10" s="745"/>
    </row>
    <row r="11" spans="1:127">
      <c r="A11" s="24" t="s">
        <v>330</v>
      </c>
      <c r="B11" s="70" t="s">
        <v>83</v>
      </c>
      <c r="C11" s="70"/>
      <c r="D11" s="49" t="s">
        <v>87</v>
      </c>
      <c r="E11" s="49"/>
      <c r="F11" s="24" t="s">
        <v>330</v>
      </c>
      <c r="G11" s="248" t="s">
        <v>83</v>
      </c>
      <c r="H11" s="248"/>
      <c r="I11" s="248"/>
      <c r="J11" s="248"/>
      <c r="K11" s="248"/>
      <c r="L11" s="247"/>
      <c r="M11" s="190" t="s">
        <v>330</v>
      </c>
      <c r="N11" s="182" t="s">
        <v>83</v>
      </c>
      <c r="O11" s="190"/>
      <c r="P11" s="183"/>
      <c r="Q11" s="153" t="s">
        <v>87</v>
      </c>
      <c r="R11" s="15" t="s">
        <v>330</v>
      </c>
      <c r="S11" s="108" t="s">
        <v>83</v>
      </c>
      <c r="T11" s="110"/>
      <c r="U11" s="78" t="s">
        <v>86</v>
      </c>
      <c r="V11" s="15" t="s">
        <v>330</v>
      </c>
      <c r="W11" s="108" t="s">
        <v>83</v>
      </c>
      <c r="X11" s="15"/>
      <c r="Y11" s="15" t="s">
        <v>86</v>
      </c>
      <c r="Z11" s="15" t="s">
        <v>330</v>
      </c>
      <c r="AA11" s="25" t="s">
        <v>83</v>
      </c>
      <c r="AB11" s="15" t="s">
        <v>88</v>
      </c>
      <c r="AC11" s="15" t="s">
        <v>84</v>
      </c>
      <c r="AD11" s="79" t="s">
        <v>87</v>
      </c>
      <c r="AE11" s="15" t="s">
        <v>330</v>
      </c>
      <c r="AF11" s="70" t="s">
        <v>83</v>
      </c>
      <c r="AG11" s="15" t="s">
        <v>88</v>
      </c>
      <c r="AH11" s="15" t="s">
        <v>84</v>
      </c>
      <c r="AI11" s="24" t="s">
        <v>87</v>
      </c>
      <c r="AJ11" s="15" t="s">
        <v>330</v>
      </c>
      <c r="AK11" s="15" t="s">
        <v>89</v>
      </c>
      <c r="AL11" s="15" t="s">
        <v>318</v>
      </c>
      <c r="AM11" s="15" t="s">
        <v>90</v>
      </c>
      <c r="AN11" s="15" t="s">
        <v>91</v>
      </c>
      <c r="AO11" s="15" t="s">
        <v>90</v>
      </c>
      <c r="AP11" s="15" t="s">
        <v>92</v>
      </c>
      <c r="AQ11" s="15" t="s">
        <v>90</v>
      </c>
      <c r="AR11" s="15" t="s">
        <v>93</v>
      </c>
      <c r="AS11" s="15" t="s">
        <v>330</v>
      </c>
      <c r="AT11" s="108" t="s">
        <v>83</v>
      </c>
      <c r="AU11" s="60" t="s">
        <v>329</v>
      </c>
      <c r="AV11" s="728" t="s">
        <v>84</v>
      </c>
      <c r="AW11" s="24" t="s">
        <v>87</v>
      </c>
      <c r="AX11" s="306" t="s">
        <v>330</v>
      </c>
      <c r="AY11" s="306" t="s">
        <v>83</v>
      </c>
      <c r="AZ11" s="304" t="s">
        <v>88</v>
      </c>
      <c r="BA11" s="304" t="s">
        <v>84</v>
      </c>
      <c r="BB11" s="304" t="s">
        <v>87</v>
      </c>
      <c r="BC11" s="24" t="s">
        <v>330</v>
      </c>
      <c r="BD11" s="25" t="s">
        <v>83</v>
      </c>
      <c r="BE11" s="15"/>
      <c r="BF11" s="26" t="s">
        <v>86</v>
      </c>
      <c r="BG11" s="15" t="s">
        <v>330</v>
      </c>
      <c r="BH11" s="25" t="s">
        <v>83</v>
      </c>
      <c r="BI11" s="108"/>
      <c r="BJ11" s="26" t="s">
        <v>86</v>
      </c>
      <c r="BK11" s="24" t="s">
        <v>330</v>
      </c>
      <c r="BL11" s="70" t="s">
        <v>83</v>
      </c>
      <c r="BM11" s="70"/>
      <c r="BN11" s="247" t="s">
        <v>86</v>
      </c>
      <c r="BO11" s="15" t="s">
        <v>330</v>
      </c>
      <c r="BP11" s="25" t="s">
        <v>83</v>
      </c>
      <c r="BQ11" s="24" t="s">
        <v>329</v>
      </c>
      <c r="BR11" s="24" t="s">
        <v>326</v>
      </c>
      <c r="BS11" s="24" t="s">
        <v>87</v>
      </c>
      <c r="BT11" s="15" t="s">
        <v>330</v>
      </c>
      <c r="BU11" s="25" t="s">
        <v>83</v>
      </c>
      <c r="BV11" s="24" t="s">
        <v>329</v>
      </c>
      <c r="BW11" s="24" t="s">
        <v>84</v>
      </c>
      <c r="BX11" s="24" t="s">
        <v>87</v>
      </c>
      <c r="BY11" s="24" t="s">
        <v>330</v>
      </c>
      <c r="BZ11" s="70" t="s">
        <v>83</v>
      </c>
      <c r="CA11" s="15" t="s">
        <v>88</v>
      </c>
      <c r="CB11" s="15" t="s">
        <v>95</v>
      </c>
      <c r="CC11" s="15" t="s">
        <v>87</v>
      </c>
      <c r="CD11" s="15" t="s">
        <v>330</v>
      </c>
      <c r="CE11" s="70" t="s">
        <v>83</v>
      </c>
      <c r="CF11" s="15"/>
      <c r="CG11" s="15"/>
      <c r="CH11" s="61" t="s">
        <v>86</v>
      </c>
      <c r="CI11" s="15" t="s">
        <v>330</v>
      </c>
      <c r="CJ11" s="70" t="s">
        <v>83</v>
      </c>
      <c r="CK11" s="70"/>
      <c r="CL11" s="15"/>
      <c r="CM11" s="61" t="s">
        <v>86</v>
      </c>
      <c r="CN11" s="247" t="s">
        <v>330</v>
      </c>
      <c r="CO11" s="248" t="s">
        <v>83</v>
      </c>
      <c r="CP11" s="248"/>
      <c r="CQ11" s="247"/>
      <c r="CR11" s="61" t="s">
        <v>86</v>
      </c>
      <c r="CS11" s="306" t="s">
        <v>330</v>
      </c>
      <c r="CT11" s="306" t="s">
        <v>83</v>
      </c>
      <c r="CU11" s="304" t="s">
        <v>88</v>
      </c>
      <c r="CV11" s="304" t="s">
        <v>84</v>
      </c>
      <c r="CW11" s="304" t="s">
        <v>87</v>
      </c>
      <c r="CX11" s="306" t="s">
        <v>330</v>
      </c>
      <c r="CY11" s="306" t="s">
        <v>83</v>
      </c>
      <c r="CZ11" s="306" t="s">
        <v>88</v>
      </c>
      <c r="DA11" s="306" t="s">
        <v>84</v>
      </c>
      <c r="DB11" s="304" t="s">
        <v>87</v>
      </c>
      <c r="DC11" s="747" t="s">
        <v>330</v>
      </c>
      <c r="DD11" s="748" t="s">
        <v>83</v>
      </c>
      <c r="DE11" s="749" t="s">
        <v>88</v>
      </c>
      <c r="DF11" s="750" t="s">
        <v>84</v>
      </c>
      <c r="DG11" s="750" t="s">
        <v>87</v>
      </c>
      <c r="DH11" s="747" t="s">
        <v>330</v>
      </c>
      <c r="DI11" s="748" t="s">
        <v>83</v>
      </c>
      <c r="DJ11" s="749" t="s">
        <v>1200</v>
      </c>
      <c r="DK11" s="750" t="s">
        <v>1201</v>
      </c>
      <c r="DL11" s="750" t="s">
        <v>87</v>
      </c>
      <c r="DM11" s="747" t="s">
        <v>330</v>
      </c>
      <c r="DN11" s="748" t="s">
        <v>83</v>
      </c>
      <c r="DO11" s="749" t="s">
        <v>1200</v>
      </c>
      <c r="DP11" s="750" t="s">
        <v>1201</v>
      </c>
      <c r="DQ11" s="750" t="s">
        <v>87</v>
      </c>
      <c r="DR11" s="747" t="s">
        <v>330</v>
      </c>
      <c r="DS11" s="748" t="s">
        <v>83</v>
      </c>
      <c r="DT11" s="749" t="s">
        <v>1222</v>
      </c>
      <c r="DU11" s="750" t="s">
        <v>84</v>
      </c>
      <c r="DV11" s="750" t="s">
        <v>87</v>
      </c>
    </row>
    <row r="12" spans="1:127" s="313" customFormat="1" ht="15">
      <c r="A12" s="375">
        <v>1</v>
      </c>
      <c r="B12" s="98"/>
      <c r="C12" s="98"/>
      <c r="D12" s="40"/>
      <c r="E12" s="40"/>
      <c r="F12" s="203"/>
      <c r="G12" s="87" t="s">
        <v>148</v>
      </c>
      <c r="H12" s="377"/>
      <c r="I12" s="377"/>
      <c r="J12" s="374"/>
      <c r="K12" s="38"/>
      <c r="L12" s="374"/>
      <c r="M12" s="17"/>
      <c r="N12" s="331"/>
      <c r="O12" s="331"/>
      <c r="P12" s="331"/>
      <c r="Q12" s="331"/>
      <c r="R12" s="17"/>
      <c r="S12" s="311"/>
      <c r="T12" s="83"/>
      <c r="U12" s="95"/>
      <c r="V12" s="17"/>
      <c r="W12" s="67"/>
      <c r="X12" s="553"/>
      <c r="Y12" s="54"/>
      <c r="Z12" s="17"/>
      <c r="AA12" s="13"/>
      <c r="AB12" s="29"/>
      <c r="AC12" s="29"/>
      <c r="AD12" s="29"/>
      <c r="AE12" s="311"/>
      <c r="AF12" s="122"/>
      <c r="AG12" s="122"/>
      <c r="AH12" s="122"/>
      <c r="AI12" s="122"/>
      <c r="AJ12" s="17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74"/>
      <c r="AV12" s="374"/>
      <c r="AW12" s="95"/>
      <c r="AX12" s="272"/>
      <c r="AY12" s="272"/>
      <c r="AZ12" s="272"/>
      <c r="BA12" s="272"/>
      <c r="BB12" s="272"/>
      <c r="BC12" s="311"/>
      <c r="BD12" s="311"/>
      <c r="BE12" s="311"/>
      <c r="BF12" s="311"/>
      <c r="BG12" s="311"/>
      <c r="BH12" s="311"/>
      <c r="BI12" s="114"/>
      <c r="BJ12" s="114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12"/>
      <c r="BZ12" s="13"/>
      <c r="CA12" s="374"/>
      <c r="CB12" s="374"/>
      <c r="CC12" s="374"/>
      <c r="CD12" s="17"/>
      <c r="CE12" s="17"/>
      <c r="CF12" s="17"/>
      <c r="CG12" s="17"/>
      <c r="CH12" s="17"/>
      <c r="CI12" s="311"/>
      <c r="CJ12" s="311"/>
      <c r="CK12" s="311"/>
      <c r="CL12" s="40"/>
      <c r="CM12" s="40"/>
      <c r="CN12" s="374"/>
      <c r="CO12" s="374"/>
      <c r="CP12" s="374"/>
      <c r="CQ12" s="397"/>
      <c r="CR12" s="397"/>
      <c r="CS12" s="272"/>
      <c r="CU12" s="272"/>
      <c r="CV12" s="272"/>
      <c r="CW12" s="272"/>
      <c r="CX12" s="272"/>
      <c r="CY12" s="272"/>
      <c r="CZ12" s="272"/>
      <c r="DA12" s="272"/>
      <c r="DB12" s="272"/>
      <c r="DC12" s="631"/>
      <c r="DD12" s="631"/>
      <c r="DE12" s="261"/>
      <c r="DF12" s="745"/>
      <c r="DG12" s="486"/>
      <c r="DH12" s="631"/>
      <c r="DI12" s="631"/>
      <c r="DJ12" s="261"/>
      <c r="DK12" s="745"/>
      <c r="DL12" s="486"/>
      <c r="DM12" s="631"/>
      <c r="DN12" s="631"/>
      <c r="DO12" s="261"/>
      <c r="DP12" s="745"/>
      <c r="DQ12" s="486"/>
      <c r="DR12" s="631"/>
      <c r="DS12" s="631"/>
      <c r="DT12" s="261"/>
      <c r="DU12" s="745"/>
      <c r="DV12" s="486"/>
    </row>
    <row r="13" spans="1:127" s="313" customFormat="1">
      <c r="A13" s="9">
        <f t="shared" ref="A13:A44" si="0">+A12+1</f>
        <v>2</v>
      </c>
      <c r="C13" s="311"/>
      <c r="D13" s="311"/>
      <c r="E13" s="311"/>
      <c r="F13" s="12">
        <v>1</v>
      </c>
      <c r="G13" s="374"/>
      <c r="H13" s="39" t="s">
        <v>329</v>
      </c>
      <c r="I13" s="397" t="s">
        <v>112</v>
      </c>
      <c r="J13" s="41" t="s">
        <v>113</v>
      </c>
      <c r="K13" s="375" t="s">
        <v>114</v>
      </c>
      <c r="L13" s="374"/>
      <c r="M13" s="12">
        <v>1</v>
      </c>
      <c r="N13" s="206" t="s">
        <v>268</v>
      </c>
      <c r="O13" s="185"/>
      <c r="P13" s="185"/>
      <c r="Q13" s="406"/>
      <c r="R13" s="12">
        <v>1</v>
      </c>
      <c r="S13" s="83" t="s">
        <v>680</v>
      </c>
      <c r="T13" s="204"/>
      <c r="U13" s="57">
        <f>'[18]Lead E'!$D$12</f>
        <v>413817759.0187788</v>
      </c>
      <c r="V13" s="12">
        <v>1</v>
      </c>
      <c r="W13" s="67" t="s">
        <v>118</v>
      </c>
      <c r="X13" s="772">
        <f>+'BGM-3 (2) Detail '!AX51</f>
        <v>4860726120.5221815</v>
      </c>
      <c r="Y13" s="54" t="s">
        <v>282</v>
      </c>
      <c r="Z13" s="12">
        <v>1</v>
      </c>
      <c r="AA13" s="308" t="s">
        <v>664</v>
      </c>
      <c r="AB13" s="146">
        <f>+'[9]Lead E'!C12</f>
        <v>249419038.22</v>
      </c>
      <c r="AC13" s="1045">
        <f>+'[9]Lead E'!D12</f>
        <v>284937649.31774509</v>
      </c>
      <c r="AD13" s="146">
        <f>AC13-AB13</f>
        <v>35518611.097745091</v>
      </c>
      <c r="AE13" s="12">
        <v>1</v>
      </c>
      <c r="AF13" s="180" t="s">
        <v>188</v>
      </c>
      <c r="AG13" s="256">
        <f>'[19]Lead E'!C13</f>
        <v>162500</v>
      </c>
      <c r="AH13" s="256">
        <f>'[19]Lead E'!D13</f>
        <v>76666.666666666672</v>
      </c>
      <c r="AI13" s="256">
        <f>AH13-AG13</f>
        <v>-85833.333333333328</v>
      </c>
      <c r="AJ13" s="12">
        <v>1</v>
      </c>
      <c r="AK13" s="311" t="s">
        <v>264</v>
      </c>
      <c r="AL13" s="12" t="s">
        <v>845</v>
      </c>
      <c r="AM13" s="375" t="s">
        <v>391</v>
      </c>
      <c r="AN13" s="375" t="s">
        <v>391</v>
      </c>
      <c r="AO13" s="375" t="s">
        <v>391</v>
      </c>
      <c r="AP13" s="375" t="s">
        <v>391</v>
      </c>
      <c r="AQ13" s="375" t="s">
        <v>391</v>
      </c>
      <c r="AR13" s="311"/>
      <c r="AS13" s="12">
        <v>1</v>
      </c>
      <c r="AT13" s="308" t="s">
        <v>657</v>
      </c>
      <c r="AU13" s="288"/>
      <c r="AV13" s="288"/>
      <c r="AW13" s="288"/>
      <c r="AX13" s="308">
        <v>1</v>
      </c>
      <c r="AY13" s="308" t="s">
        <v>197</v>
      </c>
      <c r="AZ13" s="737">
        <f>'[20]Lead E'!$C$12</f>
        <v>117054.47314375022</v>
      </c>
      <c r="BA13" s="737">
        <f>'[20]Lead E'!$D$12</f>
        <v>92221.976429313785</v>
      </c>
      <c r="BB13" s="737">
        <f>+BA13-AZ13</f>
        <v>-24832.496714436435</v>
      </c>
      <c r="BC13" s="9" t="s">
        <v>110</v>
      </c>
      <c r="BD13" s="98" t="s">
        <v>312</v>
      </c>
      <c r="BE13" s="98"/>
      <c r="BF13" s="909">
        <f>'[21]Lead E'!$D$13</f>
        <v>108170.94876945516</v>
      </c>
      <c r="BG13" s="12">
        <v>1</v>
      </c>
      <c r="BH13" s="13" t="s">
        <v>60</v>
      </c>
      <c r="BI13" s="279"/>
      <c r="BJ13" s="184"/>
      <c r="BK13" s="9" t="s">
        <v>110</v>
      </c>
      <c r="BL13" s="148" t="s">
        <v>1120</v>
      </c>
      <c r="BM13" s="148"/>
      <c r="BN13" s="120">
        <f>'[22]Lead E'!$C$14</f>
        <v>1736007.1099999975</v>
      </c>
      <c r="BO13" s="12">
        <v>1</v>
      </c>
      <c r="BP13" s="311" t="s">
        <v>358</v>
      </c>
      <c r="BQ13" s="112">
        <f>'[23]Lead E'!C11</f>
        <v>4178643.7106927508</v>
      </c>
      <c r="BR13" s="284">
        <f>'[23]Lead E'!D11</f>
        <v>4124900.4153809994</v>
      </c>
      <c r="BS13" s="57">
        <f>+BR13-BQ13</f>
        <v>-53743.29531175131</v>
      </c>
      <c r="BT13" s="12">
        <v>1</v>
      </c>
      <c r="BU13" s="311" t="s">
        <v>36</v>
      </c>
      <c r="BV13" s="911">
        <f>'[11]Lead E'!C14</f>
        <v>6111576.3846948147</v>
      </c>
      <c r="BW13" s="911">
        <f>'[11]Lead E'!D14</f>
        <v>4681488.0878659077</v>
      </c>
      <c r="BX13" s="911">
        <f>+BW13-BV13</f>
        <v>-1430088.296828907</v>
      </c>
      <c r="BY13" s="12">
        <v>1</v>
      </c>
      <c r="BZ13" s="311" t="s">
        <v>126</v>
      </c>
      <c r="CA13"/>
      <c r="CB13"/>
      <c r="CC13"/>
      <c r="CD13" s="12">
        <v>1</v>
      </c>
      <c r="CE13" s="241" t="s">
        <v>690</v>
      </c>
      <c r="CF13" s="311"/>
      <c r="CG13" s="311"/>
      <c r="CH13" s="96"/>
      <c r="CI13" s="12">
        <v>1</v>
      </c>
      <c r="CJ13" s="113" t="s">
        <v>125</v>
      </c>
      <c r="CK13" s="311"/>
      <c r="CL13" s="43"/>
      <c r="CM13" s="43"/>
      <c r="CN13" s="375">
        <v>1</v>
      </c>
      <c r="CO13" s="914" t="s">
        <v>629</v>
      </c>
      <c r="CP13" s="374"/>
      <c r="CQ13" s="43"/>
      <c r="CR13" s="43"/>
      <c r="CS13" s="308">
        <v>1</v>
      </c>
      <c r="CT13" s="638" t="s">
        <v>956</v>
      </c>
      <c r="CU13" s="240"/>
      <c r="CV13" s="240"/>
      <c r="CW13" s="240"/>
      <c r="CX13" s="308">
        <v>1</v>
      </c>
      <c r="CY13" s="639" t="s">
        <v>842</v>
      </c>
      <c r="CZ13" s="240"/>
      <c r="DA13" s="240"/>
      <c r="DB13" s="240"/>
      <c r="DC13" s="308">
        <v>1</v>
      </c>
      <c r="DD13" s="751" t="s">
        <v>963</v>
      </c>
      <c r="DE13" s="774">
        <f>+'[24]Lead E'!C12</f>
        <v>84291892.014198005</v>
      </c>
      <c r="DF13" s="774">
        <f>+'[24]Lead E'!D12</f>
        <v>84328016.972460017</v>
      </c>
      <c r="DG13" s="743">
        <f>DF13-DE13</f>
        <v>36124.958262011409</v>
      </c>
      <c r="DH13" s="308">
        <v>1</v>
      </c>
      <c r="DI13" s="751" t="s">
        <v>1275</v>
      </c>
      <c r="DJ13" s="774"/>
      <c r="DK13" s="774"/>
      <c r="DL13" s="743"/>
      <c r="DM13" s="308">
        <v>1</v>
      </c>
      <c r="DN13" s="751" t="s">
        <v>1207</v>
      </c>
      <c r="DO13" s="774">
        <v>197197183</v>
      </c>
      <c r="DP13" s="774"/>
      <c r="DQ13" s="743"/>
      <c r="DR13" s="308">
        <v>1</v>
      </c>
      <c r="DS13" s="751" t="s">
        <v>118</v>
      </c>
    </row>
    <row r="14" spans="1:127" s="313" customFormat="1" ht="16.899999999999999" customHeight="1">
      <c r="A14" s="9">
        <f t="shared" si="0"/>
        <v>3</v>
      </c>
      <c r="B14" s="227" t="s">
        <v>291</v>
      </c>
      <c r="C14" s="311"/>
      <c r="D14" s="311"/>
      <c r="E14" s="311"/>
      <c r="F14" s="9">
        <f t="shared" ref="F14:F53" si="1">+F13+1</f>
        <v>2</v>
      </c>
      <c r="G14" s="374"/>
      <c r="H14" s="42" t="s">
        <v>627</v>
      </c>
      <c r="I14" s="42" t="s">
        <v>627</v>
      </c>
      <c r="J14" s="44" t="s">
        <v>116</v>
      </c>
      <c r="K14" s="908">
        <v>7.2999999999999995E-2</v>
      </c>
      <c r="L14" s="374"/>
      <c r="M14" s="12">
        <f t="shared" ref="M14:M50" si="2">M13+1</f>
        <v>2</v>
      </c>
      <c r="N14" s="356" t="s">
        <v>232</v>
      </c>
      <c r="O14" s="185"/>
      <c r="P14" s="181" t="s">
        <v>282</v>
      </c>
      <c r="Q14" s="775">
        <f>'[25]Lead E'!$E$11</f>
        <v>102287066.92</v>
      </c>
      <c r="R14" s="12">
        <f t="shared" ref="R14:R32" si="3">R13+1</f>
        <v>2</v>
      </c>
      <c r="S14" s="13"/>
      <c r="T14" s="13"/>
      <c r="U14" s="121"/>
      <c r="V14" s="12">
        <f t="shared" ref="V14:V23" si="4">V13+1</f>
        <v>2</v>
      </c>
      <c r="W14" s="67" t="s">
        <v>282</v>
      </c>
      <c r="X14" s="140" t="s">
        <v>282</v>
      </c>
      <c r="Y14" s="287"/>
      <c r="Z14" s="12">
        <f t="shared" ref="Z14:Z42" si="5">Z13+1</f>
        <v>2</v>
      </c>
      <c r="AA14" s="13" t="s">
        <v>665</v>
      </c>
      <c r="AB14" s="528">
        <f>+'[9]Lead E'!C13</f>
        <v>15207047.519823998</v>
      </c>
      <c r="AC14" s="528">
        <f>+'[9]Lead E'!D13</f>
        <v>13232378.856776908</v>
      </c>
      <c r="AD14" s="147">
        <f>+AC14-AB14</f>
        <v>-1974668.6630470902</v>
      </c>
      <c r="AE14" s="12">
        <v>2</v>
      </c>
      <c r="AF14" s="184" t="s">
        <v>189</v>
      </c>
      <c r="AG14" s="273">
        <f>'[19]Lead E'!C14</f>
        <v>300359.45390300005</v>
      </c>
      <c r="AH14" s="273">
        <f>'[19]Lead E'!D14</f>
        <v>279442.50856566668</v>
      </c>
      <c r="AI14" s="273">
        <f>AH14-AG14</f>
        <v>-20916.945337333367</v>
      </c>
      <c r="AJ14" s="12">
        <f t="shared" ref="AJ14:AJ22" si="6">AJ13+1</f>
        <v>2</v>
      </c>
      <c r="AK14" s="341" t="str">
        <f>'[26]Lead E'!B14</f>
        <v>12 ME 9/30/2013 AND 5/31/2013</v>
      </c>
      <c r="AL14" s="287">
        <f>'[26]Lead E'!C14</f>
        <v>13270215.639999984</v>
      </c>
      <c r="AM14" s="287">
        <f>'[26]Lead E'!D14</f>
        <v>2127321374.8900001</v>
      </c>
      <c r="AN14" s="287">
        <f>'[26]Lead E'!E14</f>
        <v>29723813.52</v>
      </c>
      <c r="AO14" s="287">
        <f>'[26]Lead E'!F14</f>
        <v>3626759.2399999974</v>
      </c>
      <c r="AP14" s="287">
        <f>'[26]Lead E'!G14</f>
        <v>352508.76</v>
      </c>
      <c r="AQ14" s="210">
        <f>AM14-AN14-AO14-AP14</f>
        <v>2093618293.3700001</v>
      </c>
      <c r="AR14" s="228">
        <f>ROUND(AL14/AQ14,6)</f>
        <v>6.3379999999999999E-3</v>
      </c>
      <c r="AS14" s="12">
        <f t="shared" ref="AS14:AS30" si="7">AS13+1</f>
        <v>2</v>
      </c>
      <c r="AT14" s="377" t="s">
        <v>773</v>
      </c>
      <c r="AU14" s="288">
        <f>+'[27]Lead E'!C13</f>
        <v>330277.21861834492</v>
      </c>
      <c r="AV14" s="288">
        <f>+'[27]Lead E'!D13</f>
        <v>323610.34041521908</v>
      </c>
      <c r="AW14" s="146">
        <f>+AV14-AU14</f>
        <v>-6666.8782031258452</v>
      </c>
      <c r="AX14" s="308">
        <v>2</v>
      </c>
      <c r="AY14" s="308"/>
      <c r="AZ14" s="529"/>
      <c r="BA14" s="529"/>
      <c r="BB14" s="529"/>
      <c r="BC14" s="9">
        <f>BC13+1</f>
        <v>2</v>
      </c>
      <c r="BD14" s="311"/>
      <c r="BE14" s="311"/>
      <c r="BF14" s="119"/>
      <c r="BG14" s="12">
        <f t="shared" ref="BG14:BG31" si="8">+BG13+1</f>
        <v>2</v>
      </c>
      <c r="BH14" s="13"/>
      <c r="BI14" s="279"/>
      <c r="BJ14" s="184"/>
      <c r="BK14" s="9">
        <f t="shared" ref="BK14:BK31" si="9">1+BK13</f>
        <v>2</v>
      </c>
      <c r="BL14" s="631" t="s">
        <v>1121</v>
      </c>
      <c r="BM14" s="148"/>
      <c r="BN14" s="289">
        <f>'[22]Lead E'!$C$15</f>
        <v>-353278.49999999959</v>
      </c>
      <c r="BO14" s="12">
        <f t="shared" ref="BO14:BO20" si="10">BO13+1</f>
        <v>2</v>
      </c>
      <c r="BP14" s="311" t="s">
        <v>359</v>
      </c>
      <c r="BQ14" s="289">
        <f>'[23]Lead E'!C12</f>
        <v>2006229.4154838233</v>
      </c>
      <c r="BR14" s="289">
        <f>'[23]Lead E'!D12</f>
        <v>1958207.9099557111</v>
      </c>
      <c r="BS14" s="289">
        <f>+BR14-BQ14</f>
        <v>-48021.505528112175</v>
      </c>
      <c r="BT14" s="12">
        <f>BT13+1</f>
        <v>2</v>
      </c>
      <c r="BU14" s="311"/>
      <c r="BV14" s="328"/>
      <c r="BW14" s="328"/>
      <c r="BX14" s="328"/>
      <c r="BY14" s="12">
        <v>2</v>
      </c>
      <c r="BZ14" s="723" t="s">
        <v>939</v>
      </c>
      <c r="CA14" s="284">
        <f>'[28]Lead E'!E14</f>
        <v>4380759.8377278037</v>
      </c>
      <c r="CB14" s="284">
        <f>'[28]Lead E'!F14</f>
        <v>4527515.2922916859</v>
      </c>
      <c r="CC14" s="284">
        <f>+CB14-CA14</f>
        <v>146755.4545638822</v>
      </c>
      <c r="CD14" s="12">
        <f t="shared" ref="CD14:CD35" si="11">CD13+1</f>
        <v>2</v>
      </c>
      <c r="CE14" s="357" t="s">
        <v>130</v>
      </c>
      <c r="CF14" s="176"/>
      <c r="CG14" s="288">
        <f>'[29]Lead E'!$D$13</f>
        <v>7483207.9381920006</v>
      </c>
      <c r="CI14" s="12">
        <v>2</v>
      </c>
      <c r="CJ14" s="13" t="s">
        <v>962</v>
      </c>
      <c r="CK14" s="13"/>
      <c r="CL14" s="118"/>
      <c r="CM14" s="252">
        <f>'[30]Lead E'!D13</f>
        <v>15271331.540317921</v>
      </c>
      <c r="CN14" s="375">
        <f>CN13+1</f>
        <v>2</v>
      </c>
      <c r="CO14" s="505"/>
      <c r="CP14" s="377"/>
      <c r="CQ14" s="234"/>
      <c r="CR14" s="287"/>
      <c r="CS14" s="308">
        <v>2</v>
      </c>
      <c r="CT14" s="308" t="s">
        <v>957</v>
      </c>
      <c r="CU14" s="738">
        <f>'[31]Lead E'!$C$12</f>
        <v>1047962.0507459998</v>
      </c>
      <c r="CV14" s="738">
        <f>'[31]Lead E'!$D$12</f>
        <v>835892.12481449998</v>
      </c>
      <c r="CW14" s="737">
        <f>+CV14-CU14</f>
        <v>-212069.92593149981</v>
      </c>
      <c r="CX14" s="308">
        <v>2</v>
      </c>
      <c r="CY14" s="638" t="s">
        <v>794</v>
      </c>
      <c r="CZ14" s="529"/>
      <c r="DA14" s="529"/>
      <c r="DB14" s="529"/>
      <c r="DC14" s="308">
        <v>2</v>
      </c>
      <c r="DD14" s="111" t="s">
        <v>964</v>
      </c>
      <c r="DE14" s="307">
        <f>+'[24]Lead E'!C13</f>
        <v>4386765.2</v>
      </c>
      <c r="DF14" s="307">
        <f>+'[24]Lead E'!D13</f>
        <v>4334851.9246400008</v>
      </c>
      <c r="DG14" s="509">
        <f>DF14-DE14</f>
        <v>-51913.275359999388</v>
      </c>
      <c r="DH14" s="308">
        <v>2</v>
      </c>
      <c r="DI14" s="111" t="s">
        <v>1204</v>
      </c>
      <c r="DJ14" s="503">
        <f>+SUM(DK15:DK28)-SUM(DJ15:DJ28)</f>
        <v>101680983.17993739</v>
      </c>
      <c r="DK14" s="289"/>
      <c r="DL14" s="285"/>
      <c r="DM14" s="308">
        <v>2</v>
      </c>
      <c r="DN14" s="752"/>
      <c r="DO14" s="261"/>
      <c r="DP14" s="753"/>
      <c r="DQ14" s="753"/>
      <c r="DR14" s="308">
        <v>2</v>
      </c>
      <c r="DS14" s="751" t="s">
        <v>1221</v>
      </c>
      <c r="DT14" s="774">
        <f>+[32]ERB!$D$36</f>
        <v>49313213.286249995</v>
      </c>
      <c r="DU14" s="774">
        <v>0</v>
      </c>
      <c r="DV14" s="743">
        <f>+DU14-DT14</f>
        <v>-49313213.286249995</v>
      </c>
    </row>
    <row r="15" spans="1:127" s="313" customFormat="1" ht="18" customHeight="1" thickBot="1">
      <c r="A15" s="9">
        <f t="shared" si="0"/>
        <v>4</v>
      </c>
      <c r="B15" s="290" t="s">
        <v>729</v>
      </c>
      <c r="C15" s="374"/>
      <c r="D15" s="287">
        <f>'[33]Lead E'!$D$15</f>
        <v>6318302.8499999996</v>
      </c>
      <c r="E15" s="225"/>
      <c r="F15" s="9">
        <f t="shared" si="1"/>
        <v>3</v>
      </c>
      <c r="G15" s="907">
        <v>42278</v>
      </c>
      <c r="H15" s="285">
        <f>'[34]Lead E'!$C$12</f>
        <v>1709553137</v>
      </c>
      <c r="I15" s="285">
        <f>'[34]Lead E'!$D$12</f>
        <v>1757265842.6147575</v>
      </c>
      <c r="J15" s="38">
        <f t="shared" ref="J15:J26" si="12">+I15-H15</f>
        <v>47712705.614757538</v>
      </c>
      <c r="K15" s="38">
        <f t="shared" ref="K15:K26" si="13">ROUND(+J15*(1-$K$14),0)</f>
        <v>44229678</v>
      </c>
      <c r="L15" s="374"/>
      <c r="M15" s="12">
        <f t="shared" si="2"/>
        <v>3</v>
      </c>
      <c r="N15" s="357" t="s">
        <v>461</v>
      </c>
      <c r="O15" s="176"/>
      <c r="P15" s="181" t="s">
        <v>282</v>
      </c>
      <c r="Q15" s="406">
        <f>'[25]Lead E'!$E$12</f>
        <v>58785500.5</v>
      </c>
      <c r="R15" s="12">
        <f t="shared" si="3"/>
        <v>3</v>
      </c>
      <c r="S15" s="45" t="s">
        <v>205</v>
      </c>
      <c r="T15" s="14">
        <v>0.35</v>
      </c>
      <c r="U15" s="554">
        <f>U13*T15</f>
        <v>144836215.65657258</v>
      </c>
      <c r="V15" s="12">
        <f t="shared" si="4"/>
        <v>3</v>
      </c>
      <c r="W15" s="148" t="s">
        <v>363</v>
      </c>
      <c r="X15" s="781">
        <f>SUM(X13:X14)</f>
        <v>4860726120.5221815</v>
      </c>
      <c r="Y15" s="287"/>
      <c r="Z15" s="375">
        <f t="shared" si="5"/>
        <v>3</v>
      </c>
      <c r="AA15" s="377" t="s">
        <v>666</v>
      </c>
      <c r="AB15" s="528">
        <f>'[9]Lead E'!C14</f>
        <v>55937.910695999999</v>
      </c>
      <c r="AC15" s="528">
        <f>'[9]Lead E'!D14</f>
        <v>55937.910695999999</v>
      </c>
      <c r="AD15" s="147">
        <f>+AC15-AB15</f>
        <v>0</v>
      </c>
      <c r="AE15" s="12">
        <v>3</v>
      </c>
      <c r="AF15" s="184" t="s">
        <v>190</v>
      </c>
      <c r="AG15" s="261">
        <f>SUM(AG13:AG14)</f>
        <v>462859.45390300005</v>
      </c>
      <c r="AH15" s="261">
        <f>SUM(AH13:AH14)</f>
        <v>356109.17523233336</v>
      </c>
      <c r="AI15" s="261">
        <f>SUM(AI13:AI14)</f>
        <v>-106750.2786706667</v>
      </c>
      <c r="AJ15" s="12">
        <f t="shared" si="6"/>
        <v>3</v>
      </c>
      <c r="AK15" s="341" t="str">
        <f>'[26]Lead E'!B15</f>
        <v>12 ME 9/30/2015 AND 5/31/2015</v>
      </c>
      <c r="AL15" s="307">
        <f>'[26]Lead E'!C15</f>
        <v>13381338.190000001</v>
      </c>
      <c r="AM15" s="307">
        <f>'[26]Lead E'!D15</f>
        <v>2006366630.26</v>
      </c>
      <c r="AN15" s="307">
        <f>'[26]Lead E'!E15</f>
        <v>33059229.91</v>
      </c>
      <c r="AO15" s="307">
        <f>'[26]Lead E'!F15</f>
        <v>65827878.809999995</v>
      </c>
      <c r="AP15" s="307">
        <f>'[26]Lead E'!G15</f>
        <v>321888.03000000003</v>
      </c>
      <c r="AQ15" s="307">
        <f>AM15-AN15-AO15-AP15</f>
        <v>1907157633.51</v>
      </c>
      <c r="AR15" s="228">
        <f>ROUND(AL15/AQ15,6)</f>
        <v>7.0159999999999997E-3</v>
      </c>
      <c r="AS15" s="12">
        <f t="shared" si="7"/>
        <v>3</v>
      </c>
      <c r="AT15" s="377" t="s">
        <v>772</v>
      </c>
      <c r="AU15" s="307">
        <f>+'[27]Lead E'!C14</f>
        <v>1539502.5690667895</v>
      </c>
      <c r="AV15" s="261">
        <f>+'[27]Lead E'!D14</f>
        <v>1483757.3337856447</v>
      </c>
      <c r="AW15" s="261">
        <f t="shared" ref="AW15:AW21" si="14">+AV15-AU15</f>
        <v>-55745.235281144734</v>
      </c>
      <c r="AX15" s="308">
        <v>3</v>
      </c>
      <c r="AY15" s="308" t="s">
        <v>11</v>
      </c>
      <c r="AZ15" s="529"/>
      <c r="BA15" s="529"/>
      <c r="BB15" s="529">
        <f>BB13</f>
        <v>-24832.496714436435</v>
      </c>
      <c r="BC15" s="9">
        <f>BC14+1</f>
        <v>3</v>
      </c>
      <c r="BD15" s="311" t="s">
        <v>120</v>
      </c>
      <c r="BE15" s="311"/>
      <c r="BF15" s="910">
        <f>-BF13</f>
        <v>-108170.94876945516</v>
      </c>
      <c r="BG15" s="12">
        <f t="shared" si="8"/>
        <v>3</v>
      </c>
      <c r="BH15" s="13" t="s">
        <v>1119</v>
      </c>
      <c r="BI15" s="611">
        <f>'[35]Lead E'!$D$16</f>
        <v>1040000</v>
      </c>
      <c r="BJ15" s="282"/>
      <c r="BK15" s="9">
        <f t="shared" si="9"/>
        <v>3</v>
      </c>
      <c r="BL15" s="631" t="s">
        <v>1122</v>
      </c>
      <c r="BM15" s="311"/>
      <c r="BN15" s="139">
        <f>SUM(BN13:BN14)</f>
        <v>1382728.609999998</v>
      </c>
      <c r="BO15" s="12">
        <f t="shared" si="10"/>
        <v>3</v>
      </c>
      <c r="BP15" s="13" t="s">
        <v>360</v>
      </c>
      <c r="BQ15" s="139">
        <f>SUM(BQ13:BQ14)</f>
        <v>6184873.1261765743</v>
      </c>
      <c r="BR15" s="139">
        <f>SUM(BR13:BR14)</f>
        <v>6083108.3253367105</v>
      </c>
      <c r="BS15" s="139">
        <f>SUM(BS13:BS14)</f>
        <v>-101764.80083986348</v>
      </c>
      <c r="BT15" s="12">
        <f>BT14+1</f>
        <v>3</v>
      </c>
      <c r="BU15" s="13" t="s">
        <v>360</v>
      </c>
      <c r="BV15" s="289">
        <f>SUM(BV13:BV14)</f>
        <v>6111576.3846948147</v>
      </c>
      <c r="BW15" s="289">
        <f>SUM(BW13:BW14)</f>
        <v>4681488.0878659077</v>
      </c>
      <c r="BX15" s="289">
        <f>SUM(BX13:BX14)</f>
        <v>-1430088.296828907</v>
      </c>
      <c r="BY15" s="12">
        <v>3</v>
      </c>
      <c r="BZ15" s="723" t="s">
        <v>940</v>
      </c>
      <c r="CA15" s="18">
        <f>'[28]Lead E'!E15</f>
        <v>20419279.131090328</v>
      </c>
      <c r="CB15" s="18">
        <f>'[28]Lead E'!F15</f>
        <v>20758759.979530361</v>
      </c>
      <c r="CC15" s="18">
        <f t="shared" ref="CC15:CC21" si="15">+CB15-CA15</f>
        <v>339480.84844003245</v>
      </c>
      <c r="CD15" s="12">
        <f t="shared" si="11"/>
        <v>3</v>
      </c>
      <c r="CE15" s="407" t="s">
        <v>948</v>
      </c>
      <c r="CF15" s="62">
        <f>'[29]Lead E'!$C$14</f>
        <v>3.3500000000000002E-2</v>
      </c>
      <c r="CG15" s="610">
        <f>CG14*CF15</f>
        <v>250687.46592943204</v>
      </c>
      <c r="CI15" s="12">
        <v>3</v>
      </c>
      <c r="CJ15" s="13" t="s">
        <v>27</v>
      </c>
      <c r="CK15" s="13"/>
      <c r="CL15" s="118"/>
      <c r="CM15" s="610">
        <f>'[30]Lead E'!D14</f>
        <v>9200243.6631220803</v>
      </c>
      <c r="CN15" s="375">
        <f t="shared" ref="CN15:CN27" si="16">CN14+1</f>
        <v>3</v>
      </c>
      <c r="CO15" s="505" t="s">
        <v>1127</v>
      </c>
      <c r="CP15" s="377"/>
      <c r="CQ15" s="915">
        <f>'[12]Lead E'!$C$19</f>
        <v>9596412.3000000007</v>
      </c>
      <c r="CR15" s="289"/>
      <c r="CS15" s="308">
        <v>3</v>
      </c>
      <c r="CT15" s="308" t="s">
        <v>11</v>
      </c>
      <c r="CU15" s="261">
        <f>SUM(CU14)</f>
        <v>1047962.0507459998</v>
      </c>
      <c r="CV15" s="261">
        <f>SUM(CV14)</f>
        <v>835892.12481449998</v>
      </c>
      <c r="CW15" s="261">
        <f>SUM(CW14)</f>
        <v>-212069.92593149981</v>
      </c>
      <c r="CX15" s="308">
        <v>3</v>
      </c>
      <c r="CY15" s="587" t="s">
        <v>927</v>
      </c>
      <c r="CZ15" s="774">
        <f>'[36]Lead E'!$D$16</f>
        <v>2565876.3629749999</v>
      </c>
      <c r="DA15" s="774">
        <f>'[36]Lead E'!$E$16</f>
        <v>20603887.664999999</v>
      </c>
      <c r="DB15" s="743">
        <f t="shared" ref="DB15:DB21" si="17">DA15-CZ15</f>
        <v>18038011.302024998</v>
      </c>
      <c r="DC15" s="308">
        <v>3</v>
      </c>
      <c r="DD15" s="752" t="s">
        <v>965</v>
      </c>
      <c r="DE15" s="762">
        <f>DE13+DE14</f>
        <v>88678657.214198008</v>
      </c>
      <c r="DF15" s="762">
        <f>DF13+DF14</f>
        <v>88662868.897100016</v>
      </c>
      <c r="DG15" s="762">
        <f>DG13+DG14</f>
        <v>-15788.31709798798</v>
      </c>
      <c r="DH15" s="308">
        <v>3</v>
      </c>
      <c r="DI15" s="1041" t="str">
        <f>+'[37]Summary-1Q 2017'!Z6</f>
        <v>FERC 311 - STRUCTURES AND IMPROVEMENTS</v>
      </c>
      <c r="DJ15" s="1052"/>
      <c r="DK15" s="1052">
        <f>+'[37]Summary-1Q 2017'!Y6</f>
        <v>8362380.0660503246</v>
      </c>
      <c r="DL15" s="1052"/>
      <c r="DM15" s="308">
        <v>3</v>
      </c>
      <c r="DN15" s="357" t="s">
        <v>1208</v>
      </c>
      <c r="DO15" s="774">
        <f>+DO13/4.5</f>
        <v>43821596.222222224</v>
      </c>
      <c r="DP15" s="774"/>
      <c r="DR15" s="308"/>
      <c r="DS15" s="111"/>
      <c r="DT15" s="111"/>
      <c r="DU15" s="111"/>
      <c r="DV15" s="111"/>
    </row>
    <row r="16" spans="1:127" s="313" customFormat="1" ht="15.75" thickTop="1">
      <c r="A16" s="9">
        <f t="shared" si="0"/>
        <v>5</v>
      </c>
      <c r="B16" s="290" t="s">
        <v>730</v>
      </c>
      <c r="C16" s="374"/>
      <c r="D16" s="410">
        <f>'[33]Lead E'!$D$16</f>
        <v>54955983.910000004</v>
      </c>
      <c r="E16" s="225"/>
      <c r="F16" s="9">
        <f t="shared" si="1"/>
        <v>4</v>
      </c>
      <c r="G16" s="907">
        <v>42309</v>
      </c>
      <c r="H16" s="285">
        <f>'[34]Lead E'!$C$13</f>
        <v>2071074561</v>
      </c>
      <c r="I16" s="285">
        <f>'[34]Lead E'!$D$13</f>
        <v>2021559503.7397845</v>
      </c>
      <c r="J16" s="38">
        <f t="shared" si="12"/>
        <v>-49515057.260215521</v>
      </c>
      <c r="K16" s="38">
        <f t="shared" si="13"/>
        <v>-45900458</v>
      </c>
      <c r="L16" s="374"/>
      <c r="M16" s="12">
        <f t="shared" si="2"/>
        <v>4</v>
      </c>
      <c r="N16" s="356" t="s">
        <v>233</v>
      </c>
      <c r="O16" s="176"/>
      <c r="P16" s="181" t="s">
        <v>282</v>
      </c>
      <c r="Q16" s="406">
        <f>'[25]Lead E'!$E$13</f>
        <v>84690569.569999993</v>
      </c>
      <c r="R16" s="12">
        <f t="shared" si="3"/>
        <v>4</v>
      </c>
      <c r="S16" s="13" t="s">
        <v>681</v>
      </c>
      <c r="T16" s="311"/>
      <c r="U16" s="251">
        <f>U15</f>
        <v>144836215.65657258</v>
      </c>
      <c r="V16" s="12">
        <f t="shared" si="4"/>
        <v>4</v>
      </c>
      <c r="W16" s="148"/>
      <c r="X16" s="506"/>
      <c r="Y16" s="506"/>
      <c r="Z16" s="375">
        <f t="shared" si="5"/>
        <v>4</v>
      </c>
      <c r="AA16" s="13" t="s">
        <v>987</v>
      </c>
      <c r="AB16" s="528">
        <f>+'[9]Lead E'!C15</f>
        <v>29770695.186882004</v>
      </c>
      <c r="AC16" s="528">
        <f>+'[9]Lead E'!D15</f>
        <v>29770695.186882004</v>
      </c>
      <c r="AD16" s="783">
        <f>+AC16-AB16</f>
        <v>0</v>
      </c>
      <c r="AE16" s="12">
        <v>4</v>
      </c>
      <c r="AF16" s="255"/>
      <c r="AG16" s="261"/>
      <c r="AH16" s="261"/>
      <c r="AI16" s="261"/>
      <c r="AJ16" s="12">
        <f t="shared" si="6"/>
        <v>4</v>
      </c>
      <c r="AK16" s="341" t="str">
        <f>'[26]Lead E'!B16</f>
        <v>12 ME 9/30/2016 AND 5/31/2016</v>
      </c>
      <c r="AL16" s="307">
        <f>'[26]Lead E'!C16</f>
        <v>17507852.960000001</v>
      </c>
      <c r="AM16" s="307">
        <f>'[26]Lead E'!D16</f>
        <v>2204873602.5399995</v>
      </c>
      <c r="AN16" s="307">
        <f>'[26]Lead E'!E16</f>
        <v>51568623.43</v>
      </c>
      <c r="AO16" s="307">
        <f>'[26]Lead E'!F16</f>
        <v>-4047083.2700000033</v>
      </c>
      <c r="AP16" s="307">
        <f>'[26]Lead E'!G16</f>
        <v>323282.82</v>
      </c>
      <c r="AQ16" s="307">
        <f>AM16-AN16-AO16-AP16</f>
        <v>2157028779.5599995</v>
      </c>
      <c r="AR16" s="362">
        <f>ROUND(AL16/AQ16,6)</f>
        <v>8.1169999999999992E-3</v>
      </c>
      <c r="AS16" s="12">
        <f t="shared" si="7"/>
        <v>4</v>
      </c>
      <c r="AT16" s="308" t="s">
        <v>17</v>
      </c>
      <c r="AU16" s="307">
        <f>+'[27]Lead E'!C15</f>
        <v>675496.77630054636</v>
      </c>
      <c r="AV16" s="261">
        <f>+'[27]Lead E'!D15</f>
        <v>657399.03559729992</v>
      </c>
      <c r="AW16" s="261">
        <f t="shared" si="14"/>
        <v>-18097.74070324644</v>
      </c>
      <c r="AX16" s="308">
        <v>4</v>
      </c>
      <c r="AY16" s="308"/>
      <c r="AZ16" s="261"/>
      <c r="BA16" s="261"/>
      <c r="BB16" s="261"/>
      <c r="BC16" s="9"/>
      <c r="BD16" s="311"/>
      <c r="BE16" s="311"/>
      <c r="BF16" s="311"/>
      <c r="BG16" s="12">
        <f t="shared" si="8"/>
        <v>4</v>
      </c>
      <c r="BH16" s="13"/>
      <c r="BI16" s="279"/>
      <c r="BJ16" s="184"/>
      <c r="BK16" s="9">
        <f t="shared" si="9"/>
        <v>4</v>
      </c>
      <c r="BL16" s="311"/>
      <c r="BM16" s="311"/>
      <c r="BN16" s="307"/>
      <c r="BO16" s="12">
        <f t="shared" si="10"/>
        <v>4</v>
      </c>
      <c r="BP16" s="13"/>
      <c r="BQ16" s="311"/>
      <c r="BR16" s="311"/>
      <c r="BS16" s="114"/>
      <c r="BT16" s="12">
        <f>BT15+1</f>
        <v>4</v>
      </c>
      <c r="BU16" s="13"/>
      <c r="BV16" s="311"/>
      <c r="BW16" s="311"/>
      <c r="BX16" s="114"/>
      <c r="BY16" s="12">
        <v>4</v>
      </c>
      <c r="BZ16" s="723" t="s">
        <v>17</v>
      </c>
      <c r="CA16" s="18">
        <f>'[28]Lead E'!E16</f>
        <v>8959227.0002665874</v>
      </c>
      <c r="CB16" s="18">
        <f>'[28]Lead E'!F16</f>
        <v>9197453.1000313908</v>
      </c>
      <c r="CC16" s="18">
        <f t="shared" si="15"/>
        <v>238226.09976480342</v>
      </c>
      <c r="CD16" s="12">
        <f t="shared" si="11"/>
        <v>4</v>
      </c>
      <c r="CE16" s="156" t="s">
        <v>129</v>
      </c>
      <c r="CF16" s="176"/>
      <c r="CG16" s="176"/>
      <c r="CH16" s="198">
        <f>SUM(CG14:CG15)</f>
        <v>7733895.4041214325</v>
      </c>
      <c r="CI16" s="12">
        <v>4</v>
      </c>
      <c r="CJ16" s="311" t="s">
        <v>255</v>
      </c>
      <c r="CK16" s="311"/>
      <c r="CL16" s="118"/>
      <c r="CM16" s="569">
        <f>SUM(CM14:CM15)</f>
        <v>24471575.203440003</v>
      </c>
      <c r="CN16" s="375">
        <f t="shared" si="16"/>
        <v>4</v>
      </c>
      <c r="CO16" s="506" t="s">
        <v>630</v>
      </c>
      <c r="CP16" s="374"/>
      <c r="CQ16" s="234"/>
      <c r="CR16" s="509">
        <f>CQ15/5</f>
        <v>1919282.4600000002</v>
      </c>
      <c r="CS16" s="308">
        <v>4</v>
      </c>
      <c r="CT16" s="308"/>
      <c r="CU16" s="261"/>
      <c r="CV16" s="261"/>
      <c r="CW16" s="261"/>
      <c r="CX16" s="308">
        <v>4</v>
      </c>
      <c r="CY16" s="587" t="s">
        <v>896</v>
      </c>
      <c r="CZ16" s="261">
        <f>'[36]Lead E'!$D$17</f>
        <v>2296590.5674166665</v>
      </c>
      <c r="DA16" s="261">
        <f>'[36]Lead E'!$E$17</f>
        <v>0</v>
      </c>
      <c r="DB16" s="261">
        <f t="shared" si="17"/>
        <v>-2296590.5674166665</v>
      </c>
      <c r="DC16" s="308">
        <v>4</v>
      </c>
      <c r="DD16" s="752"/>
      <c r="DE16" s="261"/>
      <c r="DF16" s="753"/>
      <c r="DG16" s="753"/>
      <c r="DH16" s="308">
        <v>4</v>
      </c>
      <c r="DI16" s="1041" t="str">
        <f>+'[37]Summary-1Q 2017'!Z7</f>
        <v>FERC 312 - BOILER PLANT EQUIPMENT</v>
      </c>
      <c r="DJ16" s="1052"/>
      <c r="DK16" s="1052">
        <f>+'[37]Summary-1Q 2017'!Y7</f>
        <v>82347353.474555537</v>
      </c>
      <c r="DL16" s="1053"/>
      <c r="DM16" s="308">
        <v>4</v>
      </c>
      <c r="DN16" s="751" t="s">
        <v>1262</v>
      </c>
      <c r="DO16" s="774"/>
      <c r="DP16" s="774">
        <f>+DO15</f>
        <v>43821596.222222224</v>
      </c>
      <c r="DQ16" s="774"/>
      <c r="DR16" s="308"/>
      <c r="DS16" s="111"/>
      <c r="DT16" s="111"/>
      <c r="DU16" s="111"/>
      <c r="DV16" s="111"/>
    </row>
    <row r="17" spans="1:126" s="313" customFormat="1" ht="15">
      <c r="A17" s="9">
        <f t="shared" si="0"/>
        <v>6</v>
      </c>
      <c r="B17" s="290" t="s">
        <v>731</v>
      </c>
      <c r="C17" s="374"/>
      <c r="D17" s="410">
        <f>'[33]Lead E'!$D$17</f>
        <v>29011926</v>
      </c>
      <c r="E17" s="225"/>
      <c r="F17" s="9">
        <f t="shared" si="1"/>
        <v>5</v>
      </c>
      <c r="G17" s="907">
        <v>42339</v>
      </c>
      <c r="H17" s="285">
        <f>'[34]Lead E'!$C$14</f>
        <v>2293718205</v>
      </c>
      <c r="I17" s="285">
        <f>'[34]Lead E'!$D$14</f>
        <v>2341463234.1684051</v>
      </c>
      <c r="J17" s="38">
        <f t="shared" si="12"/>
        <v>47745029.168405056</v>
      </c>
      <c r="K17" s="38">
        <f t="shared" si="13"/>
        <v>44259642</v>
      </c>
      <c r="L17" s="374"/>
      <c r="M17" s="375">
        <f t="shared" si="2"/>
        <v>5</v>
      </c>
      <c r="N17" s="356" t="s">
        <v>736</v>
      </c>
      <c r="O17" s="176"/>
      <c r="P17" s="261"/>
      <c r="Q17" s="406">
        <f>'[25]Lead E'!$E$14</f>
        <v>13257.679999999998</v>
      </c>
      <c r="R17" s="12">
        <f t="shared" si="3"/>
        <v>5</v>
      </c>
      <c r="S17" s="13" t="s">
        <v>282</v>
      </c>
      <c r="T17" s="13"/>
      <c r="U17" s="198" t="s">
        <v>282</v>
      </c>
      <c r="V17" s="12">
        <f t="shared" si="4"/>
        <v>5</v>
      </c>
      <c r="W17" s="67" t="s">
        <v>1117</v>
      </c>
      <c r="X17" s="330">
        <f>+'BGM-3 (3) Param'!H13</f>
        <v>2.9899999999999999E-2</v>
      </c>
      <c r="Y17" s="18" t="s">
        <v>282</v>
      </c>
      <c r="Z17" s="12">
        <f t="shared" si="5"/>
        <v>5</v>
      </c>
      <c r="AA17" s="13" t="s">
        <v>667</v>
      </c>
      <c r="AB17" s="784">
        <f>SUM(AB13:AB16)</f>
        <v>294452718.83740199</v>
      </c>
      <c r="AC17" s="784">
        <f>SUM(AC13:AC16)</f>
        <v>327996661.27210003</v>
      </c>
      <c r="AD17" s="785">
        <f>SUM(AD13:AD16)</f>
        <v>33543942.434698001</v>
      </c>
      <c r="AE17" s="12">
        <v>5</v>
      </c>
      <c r="AF17" s="254" t="s">
        <v>191</v>
      </c>
      <c r="AG17" s="261"/>
      <c r="AH17" s="261"/>
      <c r="AI17" s="261">
        <f>AI15</f>
        <v>-106750.2786706667</v>
      </c>
      <c r="AJ17" s="12">
        <f t="shared" si="6"/>
        <v>5</v>
      </c>
      <c r="AK17" s="47" t="s">
        <v>193</v>
      </c>
      <c r="AL17" s="201"/>
      <c r="AM17" s="201"/>
      <c r="AN17" s="201"/>
      <c r="AO17" s="201"/>
      <c r="AP17" s="201"/>
      <c r="AQ17" s="332"/>
      <c r="AR17" s="228">
        <f>ROUND(IF(ISERROR(AVERAGE(AR14,AR15,AR16)),0,AVERAGE(AR14,AR15,AR16)),6)</f>
        <v>7.1570000000000002E-3</v>
      </c>
      <c r="AS17" s="12">
        <f t="shared" si="7"/>
        <v>5</v>
      </c>
      <c r="AT17" s="308" t="s">
        <v>21</v>
      </c>
      <c r="AU17" s="307">
        <f>+'[27]Lead E'!C16</f>
        <v>1814058.848417453</v>
      </c>
      <c r="AV17" s="261">
        <f>+'[27]Lead E'!D16</f>
        <v>1746069.2993820761</v>
      </c>
      <c r="AW17" s="261">
        <f t="shared" si="14"/>
        <v>-67989.549035376869</v>
      </c>
      <c r="AX17" s="308">
        <v>5</v>
      </c>
      <c r="AY17" s="308" t="s">
        <v>13</v>
      </c>
      <c r="AZ17" s="261"/>
      <c r="BA17" s="277">
        <v>0.35</v>
      </c>
      <c r="BB17" s="739">
        <f>-BB15*BA17</f>
        <v>8691.3738500527506</v>
      </c>
      <c r="BC17" s="9"/>
      <c r="BD17" s="98"/>
      <c r="BE17" s="98"/>
      <c r="BF17" s="98"/>
      <c r="BG17" s="12">
        <f t="shared" si="8"/>
        <v>5</v>
      </c>
      <c r="BH17" s="199" t="s">
        <v>285</v>
      </c>
      <c r="BI17" s="216">
        <f>BI15/2</f>
        <v>520000</v>
      </c>
      <c r="BJ17" s="195"/>
      <c r="BK17" s="9">
        <f t="shared" si="9"/>
        <v>5</v>
      </c>
      <c r="BL17" s="48" t="s">
        <v>473</v>
      </c>
      <c r="BM17" s="311"/>
      <c r="BN17" s="307">
        <f>'[22]Lead E'!$C$18</f>
        <v>-4002173.9600000004</v>
      </c>
      <c r="BO17" s="12">
        <f t="shared" si="10"/>
        <v>5</v>
      </c>
      <c r="BP17" s="311" t="s">
        <v>228</v>
      </c>
      <c r="BQ17" s="311"/>
      <c r="BR17" s="311"/>
      <c r="BS17" s="114">
        <f>BS15</f>
        <v>-101764.80083986348</v>
      </c>
      <c r="BT17" s="12">
        <f>BT16+1</f>
        <v>5</v>
      </c>
      <c r="BU17" s="13" t="s">
        <v>13</v>
      </c>
      <c r="BV17" s="130">
        <v>0.35</v>
      </c>
      <c r="BW17" s="14"/>
      <c r="BX17" s="55">
        <f>-BV17*BX15</f>
        <v>500530.90389011742</v>
      </c>
      <c r="BY17" s="12">
        <v>5</v>
      </c>
      <c r="BZ17" s="723" t="s">
        <v>21</v>
      </c>
      <c r="CA17" s="18">
        <f>'[28]Lead E'!E17</f>
        <v>24060543.133236647</v>
      </c>
      <c r="CB17" s="18">
        <f>'[28]Lead E'!F17</f>
        <v>24428711.200946681</v>
      </c>
      <c r="CC17" s="18">
        <f t="shared" si="15"/>
        <v>368168.06771003455</v>
      </c>
      <c r="CD17" s="12">
        <f t="shared" si="11"/>
        <v>5</v>
      </c>
      <c r="CE17" s="165"/>
      <c r="CF17" s="176"/>
      <c r="CG17" s="176"/>
      <c r="CH17" s="198"/>
      <c r="CI17" s="12">
        <v>5</v>
      </c>
      <c r="CJ17" s="311"/>
      <c r="CK17" s="311"/>
      <c r="CL17" s="118"/>
      <c r="CM17" s="114"/>
      <c r="CN17" s="375">
        <f t="shared" si="16"/>
        <v>5</v>
      </c>
      <c r="CO17" s="506"/>
      <c r="CP17" s="374"/>
      <c r="CQ17" s="234"/>
      <c r="CR17" s="307"/>
      <c r="CS17" s="308">
        <v>5</v>
      </c>
      <c r="CT17" s="308"/>
      <c r="CU17" s="741"/>
      <c r="CV17" s="741"/>
      <c r="CW17" s="741"/>
      <c r="CX17" s="308">
        <v>5</v>
      </c>
      <c r="CY17" s="587" t="s">
        <v>928</v>
      </c>
      <c r="CZ17" s="261">
        <f>'[36]Lead E'!$D$18</f>
        <v>-41074.731625878645</v>
      </c>
      <c r="DA17" s="261">
        <f>'[36]Lead E'!$E$18</f>
        <v>-1199152.1377783362</v>
      </c>
      <c r="DB17" s="261">
        <f t="shared" si="17"/>
        <v>-1158077.4061524575</v>
      </c>
      <c r="DC17" s="308">
        <v>5</v>
      </c>
      <c r="DD17" s="357" t="s">
        <v>966</v>
      </c>
      <c r="DE17" s="261"/>
      <c r="DF17" s="753"/>
      <c r="DG17" s="289">
        <f>DG15</f>
        <v>-15788.31709798798</v>
      </c>
      <c r="DH17" s="308">
        <v>5</v>
      </c>
      <c r="DI17" s="1041" t="str">
        <f>+'[37]Summary-1Q 2017'!Z8</f>
        <v>FERC 314 - TURBOGENERATOR UNITS</v>
      </c>
      <c r="DJ17" s="1052"/>
      <c r="DK17" s="1052">
        <f>+'[37]Summary-1Q 2017'!Y8</f>
        <v>32833775.54150698</v>
      </c>
      <c r="DL17" s="1053"/>
      <c r="DM17" s="308">
        <v>5</v>
      </c>
      <c r="DO17" s="774"/>
      <c r="DP17" s="774"/>
      <c r="DQ17" s="774"/>
      <c r="DR17" s="308"/>
      <c r="DS17" s="111"/>
      <c r="DT17" s="111"/>
      <c r="DU17" s="111"/>
      <c r="DV17" s="111"/>
    </row>
    <row r="18" spans="1:126" s="313" customFormat="1" ht="15.75" thickBot="1">
      <c r="A18" s="9">
        <f t="shared" si="0"/>
        <v>7</v>
      </c>
      <c r="B18" s="290" t="s">
        <v>732</v>
      </c>
      <c r="C18" s="374"/>
      <c r="D18" s="410">
        <f>'[33]Lead E'!$D$18</f>
        <v>-29745544</v>
      </c>
      <c r="E18" s="225"/>
      <c r="F18" s="9">
        <f t="shared" si="1"/>
        <v>6</v>
      </c>
      <c r="G18" s="907">
        <v>42370</v>
      </c>
      <c r="H18" s="285">
        <f>'[34]Lead E'!$C$15</f>
        <v>2264400226</v>
      </c>
      <c r="I18" s="285">
        <f>'[34]Lead E'!$D$15</f>
        <v>2313151612.2310338</v>
      </c>
      <c r="J18" s="38">
        <f t="shared" si="12"/>
        <v>48751386.231033802</v>
      </c>
      <c r="K18" s="38">
        <f t="shared" si="13"/>
        <v>45192535</v>
      </c>
      <c r="L18" s="374"/>
      <c r="M18" s="375">
        <f t="shared" si="2"/>
        <v>6</v>
      </c>
      <c r="N18" s="356" t="s">
        <v>462</v>
      </c>
      <c r="O18" s="176"/>
      <c r="P18" s="181" t="s">
        <v>282</v>
      </c>
      <c r="Q18" s="406">
        <f>'[25]Lead E'!$E$15</f>
        <v>17088658.920000002</v>
      </c>
      <c r="R18" s="12">
        <f t="shared" si="3"/>
        <v>6</v>
      </c>
      <c r="S18" s="311" t="s">
        <v>1116</v>
      </c>
      <c r="T18" s="311"/>
      <c r="U18" s="251">
        <f>'[18]Lead E'!$D$17</f>
        <v>64183937.829999998</v>
      </c>
      <c r="V18" s="12">
        <f t="shared" si="4"/>
        <v>6</v>
      </c>
      <c r="W18" s="67" t="s">
        <v>149</v>
      </c>
      <c r="Y18" s="307">
        <f>+X15*X17</f>
        <v>145335711.00361323</v>
      </c>
      <c r="Z18" s="12">
        <f t="shared" si="5"/>
        <v>6</v>
      </c>
      <c r="AA18" s="13"/>
      <c r="AB18" s="786"/>
      <c r="AC18" s="786"/>
      <c r="AD18" s="786"/>
      <c r="AE18" s="12">
        <v>6</v>
      </c>
      <c r="AF18" s="254" t="s">
        <v>13</v>
      </c>
      <c r="AG18" s="308"/>
      <c r="AH18" s="145">
        <v>0.35</v>
      </c>
      <c r="AI18" s="273">
        <f>ROUND(-AI17*AH18,0)</f>
        <v>37363</v>
      </c>
      <c r="AJ18" s="12">
        <f t="shared" si="6"/>
        <v>6</v>
      </c>
      <c r="AK18" s="311"/>
      <c r="AL18" s="311"/>
      <c r="AM18" s="311"/>
      <c r="AN18" s="311"/>
      <c r="AO18" s="311"/>
      <c r="AP18" s="311"/>
      <c r="AQ18" s="311"/>
      <c r="AR18" s="311"/>
      <c r="AS18" s="12">
        <f t="shared" si="7"/>
        <v>6</v>
      </c>
      <c r="AT18" s="308" t="s">
        <v>25</v>
      </c>
      <c r="AU18" s="307">
        <f>+'[27]Lead E'!C17</f>
        <v>831692.0644458835</v>
      </c>
      <c r="AV18" s="261">
        <f>+'[27]Lead E'!D17</f>
        <v>797699.13248879998</v>
      </c>
      <c r="AW18" s="261">
        <f t="shared" si="14"/>
        <v>-33992.931957083521</v>
      </c>
      <c r="AX18" s="308">
        <v>6</v>
      </c>
      <c r="AY18" s="308"/>
      <c r="AZ18" s="261"/>
      <c r="BA18" s="261"/>
      <c r="BB18" s="261"/>
      <c r="BC18" s="9"/>
      <c r="BD18" s="311"/>
      <c r="BE18" s="311"/>
      <c r="BF18" s="311"/>
      <c r="BG18" s="12">
        <f t="shared" si="8"/>
        <v>6</v>
      </c>
      <c r="BH18" s="196" t="s">
        <v>287</v>
      </c>
      <c r="BI18" s="217">
        <f>'[35]Lead E'!$D$19</f>
        <v>180704.512644</v>
      </c>
      <c r="BJ18" s="195"/>
      <c r="BK18" s="9">
        <f t="shared" si="9"/>
        <v>6</v>
      </c>
      <c r="BL18" s="48" t="s">
        <v>474</v>
      </c>
      <c r="BM18" s="311"/>
      <c r="BN18" s="307">
        <f>'[22]Lead E'!$C$19</f>
        <v>328215.27999999997</v>
      </c>
      <c r="BO18" s="12">
        <f t="shared" si="10"/>
        <v>6</v>
      </c>
      <c r="BP18" s="311"/>
      <c r="BQ18" s="311"/>
      <c r="BR18" s="311"/>
      <c r="BS18" s="118"/>
      <c r="BT18" s="12">
        <f>BT17+1</f>
        <v>6</v>
      </c>
      <c r="BU18" s="13" t="s">
        <v>120</v>
      </c>
      <c r="BV18" s="311"/>
      <c r="BW18" s="311"/>
      <c r="BX18" s="274">
        <f>-BX15-BX17</f>
        <v>929557.39293878956</v>
      </c>
      <c r="BY18" s="12">
        <v>6</v>
      </c>
      <c r="BZ18" s="723" t="s">
        <v>25</v>
      </c>
      <c r="CA18" s="18">
        <f>'[28]Lead E'!E18</f>
        <v>11030663.555404065</v>
      </c>
      <c r="CB18" s="18">
        <f>'[28]Lead E'!F18</f>
        <v>11160381.690797323</v>
      </c>
      <c r="CC18" s="18">
        <f t="shared" si="15"/>
        <v>129718.13539325818</v>
      </c>
      <c r="CD18" s="375">
        <f t="shared" si="11"/>
        <v>6</v>
      </c>
      <c r="CE18" s="241" t="s">
        <v>165</v>
      </c>
      <c r="CF18" s="63"/>
      <c r="CG18" s="63"/>
      <c r="CH18" s="198"/>
      <c r="CI18" s="12">
        <v>6</v>
      </c>
      <c r="CJ18" s="94" t="s">
        <v>258</v>
      </c>
      <c r="CK18" s="552">
        <f>'[30]Lead E'!$C$17</f>
        <v>0.54659120593235488</v>
      </c>
      <c r="CL18" s="311"/>
      <c r="CM18" s="114">
        <f>ROUND(+CK18*CM16,0)</f>
        <v>13375948</v>
      </c>
      <c r="CN18" s="375">
        <f t="shared" si="16"/>
        <v>6</v>
      </c>
      <c r="CO18" s="914" t="s">
        <v>631</v>
      </c>
      <c r="CP18" s="131"/>
      <c r="CQ18" s="374"/>
      <c r="CR18" s="307"/>
      <c r="CS18" s="308">
        <v>6</v>
      </c>
      <c r="CT18" s="638" t="s">
        <v>958</v>
      </c>
      <c r="CU18" s="742"/>
      <c r="CV18" s="529"/>
      <c r="CW18" s="529"/>
      <c r="CX18" s="308">
        <v>6</v>
      </c>
      <c r="CY18" s="587" t="s">
        <v>929</v>
      </c>
      <c r="CZ18" s="261">
        <f>'[36]Lead E'!$D$19</f>
        <v>31060.331498886484</v>
      </c>
      <c r="DA18" s="261">
        <f>'[36]Lead E'!$E$19</f>
        <v>0</v>
      </c>
      <c r="DB18" s="261">
        <f t="shared" si="17"/>
        <v>-31060.331498886484</v>
      </c>
      <c r="DC18" s="308">
        <v>6</v>
      </c>
      <c r="DD18" s="357" t="s">
        <v>6</v>
      </c>
      <c r="DE18" s="14">
        <v>0.35</v>
      </c>
      <c r="DF18" s="753"/>
      <c r="DG18" s="328">
        <f>ROUND(-DG17*DE18,0)</f>
        <v>5526</v>
      </c>
      <c r="DH18" s="308">
        <v>6</v>
      </c>
      <c r="DI18" s="1041" t="str">
        <f>+'[37]Summary-1Q 2017'!Z9</f>
        <v>FERC 315 - ACCESSORY ELECTRIC EQUIPMENT</v>
      </c>
      <c r="DJ18" s="1052"/>
      <c r="DK18" s="1052">
        <f>+'[37]Summary-1Q 2017'!Y9</f>
        <v>5023063.0735145342</v>
      </c>
      <c r="DL18" s="1053"/>
      <c r="DM18" s="308">
        <v>6</v>
      </c>
      <c r="DN18" s="751" t="s">
        <v>87</v>
      </c>
      <c r="DO18" s="774"/>
      <c r="DP18" s="774"/>
      <c r="DQ18" s="774">
        <f>+DO15</f>
        <v>43821596.222222224</v>
      </c>
      <c r="DR18" s="308"/>
      <c r="DS18" s="111"/>
      <c r="DT18" s="111"/>
      <c r="DU18" s="111"/>
      <c r="DV18" s="111"/>
    </row>
    <row r="19" spans="1:126" s="313" customFormat="1" ht="17.25" customHeight="1" thickTop="1" thickBot="1">
      <c r="A19" s="9">
        <f t="shared" si="0"/>
        <v>8</v>
      </c>
      <c r="B19" s="290" t="s">
        <v>733</v>
      </c>
      <c r="C19" s="374"/>
      <c r="D19" s="410">
        <f>'[33]Lead E'!$D$19</f>
        <v>-82720471.5</v>
      </c>
      <c r="E19" s="225"/>
      <c r="F19" s="9">
        <f t="shared" si="1"/>
        <v>7</v>
      </c>
      <c r="G19" s="907">
        <v>42401</v>
      </c>
      <c r="H19" s="285">
        <f>'[34]Lead E'!$C$16</f>
        <v>1926704963</v>
      </c>
      <c r="I19" s="285">
        <f>'[34]Lead E'!$D$16</f>
        <v>2027518228.9616108</v>
      </c>
      <c r="J19" s="38">
        <f t="shared" si="12"/>
        <v>100813265.96161079</v>
      </c>
      <c r="K19" s="38">
        <f t="shared" si="13"/>
        <v>93453898</v>
      </c>
      <c r="L19" s="374"/>
      <c r="M19" s="375">
        <f t="shared" si="2"/>
        <v>7</v>
      </c>
      <c r="N19" s="358" t="s">
        <v>224</v>
      </c>
      <c r="O19" s="176"/>
      <c r="P19" s="181" t="s">
        <v>282</v>
      </c>
      <c r="Q19" s="406">
        <f>'[25]Lead E'!$E$16</f>
        <v>-72579362.799999982</v>
      </c>
      <c r="R19" s="12">
        <f t="shared" si="3"/>
        <v>7</v>
      </c>
      <c r="S19" s="311" t="s">
        <v>682</v>
      </c>
      <c r="T19" s="311"/>
      <c r="U19" s="251"/>
      <c r="V19" s="12">
        <f t="shared" si="4"/>
        <v>7</v>
      </c>
      <c r="W19" s="67"/>
      <c r="X19" s="68"/>
      <c r="Y19" s="316"/>
      <c r="Z19" s="12">
        <f t="shared" si="5"/>
        <v>7</v>
      </c>
      <c r="AA19" s="308" t="s">
        <v>668</v>
      </c>
      <c r="AB19" s="528">
        <f>+'[9]Lead E'!C18</f>
        <v>1352124.73</v>
      </c>
      <c r="AC19" s="528">
        <f>+'[9]Lead E'!D18</f>
        <v>1739313.9972498522</v>
      </c>
      <c r="AD19" s="147">
        <f>AC19-AB19</f>
        <v>387189.26724985219</v>
      </c>
      <c r="AE19" s="12">
        <v>7</v>
      </c>
      <c r="AF19" s="254"/>
      <c r="AG19" s="308"/>
      <c r="AH19" s="308"/>
      <c r="AI19" s="261"/>
      <c r="AJ19" s="12">
        <f t="shared" si="6"/>
        <v>7</v>
      </c>
      <c r="AK19" s="141" t="s">
        <v>194</v>
      </c>
      <c r="AL19" s="307"/>
      <c r="AM19" s="307">
        <f>'[26]Lead E'!D20</f>
        <v>2395339771.079999</v>
      </c>
      <c r="AN19" s="307">
        <f>'[26]Lead E'!E20</f>
        <v>201125741.739999</v>
      </c>
      <c r="AO19" s="307">
        <f>'[26]Lead E'!F20</f>
        <v>47841338.950000003</v>
      </c>
      <c r="AP19" s="307">
        <f>'[26]Lead E'!G20</f>
        <v>324382.2</v>
      </c>
      <c r="AQ19" s="307">
        <f>AM19-AN19-AO19-AP19</f>
        <v>2146048308.1900001</v>
      </c>
      <c r="AR19" s="200"/>
      <c r="AS19" s="12">
        <f t="shared" si="7"/>
        <v>7</v>
      </c>
      <c r="AT19" s="308" t="s">
        <v>26</v>
      </c>
      <c r="AU19" s="307">
        <f>+'[27]Lead E'!C18</f>
        <v>104449.15828380465</v>
      </c>
      <c r="AV19" s="261">
        <f>+'[27]Lead E'!D18</f>
        <v>102018.92658053512</v>
      </c>
      <c r="AW19" s="261">
        <f t="shared" si="14"/>
        <v>-2430.2317032695282</v>
      </c>
      <c r="AX19" s="308">
        <v>7</v>
      </c>
      <c r="AY19" s="308" t="s">
        <v>120</v>
      </c>
      <c r="AZ19" s="261"/>
      <c r="BA19" s="261"/>
      <c r="BB19" s="910">
        <f>-BB15-BB17</f>
        <v>16141.122864383684</v>
      </c>
      <c r="BC19" s="9"/>
      <c r="BD19" s="311"/>
      <c r="BE19" s="311"/>
      <c r="BF19" s="311"/>
      <c r="BG19" s="12">
        <f t="shared" si="8"/>
        <v>7</v>
      </c>
      <c r="BH19" s="13" t="s">
        <v>22</v>
      </c>
      <c r="BI19" s="261">
        <f>+BI17-BI18</f>
        <v>339295.487356</v>
      </c>
      <c r="BJ19" s="216">
        <f>+BI19</f>
        <v>339295.487356</v>
      </c>
      <c r="BK19" s="9">
        <f t="shared" si="9"/>
        <v>7</v>
      </c>
      <c r="BL19" s="311" t="s">
        <v>1123</v>
      </c>
      <c r="BM19" s="311"/>
      <c r="BN19" s="502">
        <f>SUM(BN17:BN18)</f>
        <v>-3673958.6800000006</v>
      </c>
      <c r="BO19" s="12">
        <f t="shared" si="10"/>
        <v>7</v>
      </c>
      <c r="BP19" s="13" t="s">
        <v>13</v>
      </c>
      <c r="BQ19" s="130">
        <v>0.35</v>
      </c>
      <c r="BR19" s="14"/>
      <c r="BS19" s="55">
        <f>-BQ19*BS17</f>
        <v>35617.680293952217</v>
      </c>
      <c r="BT19" s="12"/>
      <c r="BU19" s="311"/>
      <c r="BV19" s="311"/>
      <c r="BW19" s="311"/>
      <c r="BX19" s="311"/>
      <c r="BY19" s="12">
        <v>7</v>
      </c>
      <c r="BZ19" s="723" t="s">
        <v>26</v>
      </c>
      <c r="CA19" s="18">
        <f>'[28]Lead E'!E19</f>
        <v>1385463.025825866</v>
      </c>
      <c r="CB19" s="18">
        <f>'[28]Lead E'!F19</f>
        <v>1427346.657537359</v>
      </c>
      <c r="CC19" s="18">
        <f t="shared" si="15"/>
        <v>41883.631711493013</v>
      </c>
      <c r="CD19" s="375">
        <f t="shared" si="11"/>
        <v>7</v>
      </c>
      <c r="CE19" s="357" t="s">
        <v>166</v>
      </c>
      <c r="CF19" s="176"/>
      <c r="CG19" s="234">
        <f>'[29]Lead E'!$D$18</f>
        <v>2733666.2376000001</v>
      </c>
      <c r="CI19" s="12">
        <v>7</v>
      </c>
      <c r="CJ19" s="243" t="s">
        <v>346</v>
      </c>
      <c r="CK19" s="552"/>
      <c r="CL19" s="130"/>
      <c r="CM19" s="114">
        <f>'[30]Lead E'!$D$18</f>
        <v>13188639.070766069</v>
      </c>
      <c r="CN19" s="375">
        <f t="shared" si="16"/>
        <v>7</v>
      </c>
      <c r="CO19" s="505"/>
      <c r="CP19" s="377"/>
      <c r="CQ19" s="223"/>
      <c r="CR19" s="308"/>
      <c r="CS19" s="308">
        <v>7</v>
      </c>
      <c r="CT19" s="158" t="s">
        <v>960</v>
      </c>
      <c r="CU19" s="743"/>
      <c r="CV19" s="529">
        <f>'[31]Lead E'!$D$17</f>
        <v>2476040.8475628183</v>
      </c>
      <c r="CW19" s="788">
        <f>+CV19-CU19</f>
        <v>2476040.8475628183</v>
      </c>
      <c r="CX19" s="308">
        <v>7</v>
      </c>
      <c r="CY19" s="587" t="s">
        <v>897</v>
      </c>
      <c r="CZ19" s="261">
        <f>'[36]Lead E'!$D$20</f>
        <v>-1087774.3612499998</v>
      </c>
      <c r="DA19" s="261">
        <f>'[36]Lead E'!$E$20</f>
        <v>0</v>
      </c>
      <c r="DB19" s="261">
        <f t="shared" si="17"/>
        <v>1087774.3612499998</v>
      </c>
      <c r="DC19" s="308">
        <v>7</v>
      </c>
      <c r="DD19" s="357" t="s">
        <v>15</v>
      </c>
      <c r="DE19" s="261"/>
      <c r="DF19" s="753"/>
      <c r="DG19" s="320">
        <f>-DG17-DG18</f>
        <v>10262.31709798798</v>
      </c>
      <c r="DH19" s="308">
        <v>7</v>
      </c>
      <c r="DI19" s="1041" t="str">
        <f>+'[37]Summary-1Q 2017'!Z10</f>
        <v>FERC 316 - MISCELLANEOUS POWER PLANT EQUIPMENT</v>
      </c>
      <c r="DJ19" s="1052"/>
      <c r="DK19" s="1052">
        <f>+'[37]Summary-1Q 2017'!Y10</f>
        <v>1339194.3125467661</v>
      </c>
      <c r="DL19" s="1053"/>
      <c r="DM19" s="308">
        <v>7</v>
      </c>
      <c r="DN19" s="357" t="s">
        <v>6</v>
      </c>
      <c r="DO19" s="1049">
        <v>0.35</v>
      </c>
      <c r="DP19" s="774"/>
      <c r="DQ19" s="774">
        <f>ROUND(-DQ18*DO19,0)</f>
        <v>-15337559</v>
      </c>
      <c r="DR19" s="308"/>
      <c r="DS19" s="752"/>
      <c r="DT19" s="752"/>
      <c r="DU19" s="752"/>
      <c r="DV19" s="752"/>
    </row>
    <row r="20" spans="1:126" s="313" customFormat="1" ht="15" customHeight="1" thickTop="1" thickBot="1">
      <c r="A20" s="9">
        <f t="shared" si="0"/>
        <v>9</v>
      </c>
      <c r="B20" s="290" t="s">
        <v>879</v>
      </c>
      <c r="D20" s="410">
        <f>'[33]Lead E'!$D$20</f>
        <v>146.57999999999811</v>
      </c>
      <c r="E20" s="225"/>
      <c r="F20" s="9">
        <f t="shared" si="1"/>
        <v>8</v>
      </c>
      <c r="G20" s="907">
        <v>42430</v>
      </c>
      <c r="H20" s="285">
        <f>'[34]Lead E'!$C$17</f>
        <v>1958545780</v>
      </c>
      <c r="I20" s="285">
        <f>'[34]Lead E'!$D$17</f>
        <v>2015037059.0936217</v>
      </c>
      <c r="J20" s="38">
        <f t="shared" si="12"/>
        <v>56491279.093621731</v>
      </c>
      <c r="K20" s="38">
        <f t="shared" si="13"/>
        <v>52367416</v>
      </c>
      <c r="L20" s="374"/>
      <c r="M20" s="375">
        <f t="shared" si="2"/>
        <v>8</v>
      </c>
      <c r="N20" s="359" t="s">
        <v>463</v>
      </c>
      <c r="O20" s="176"/>
      <c r="P20" s="181" t="s">
        <v>282</v>
      </c>
      <c r="Q20" s="406">
        <f>'[25]Lead E'!$E$17</f>
        <v>-2081681.16</v>
      </c>
      <c r="R20" s="12">
        <f t="shared" si="3"/>
        <v>8</v>
      </c>
      <c r="S20" s="311" t="s">
        <v>683</v>
      </c>
      <c r="T20" s="311"/>
      <c r="U20" s="85"/>
      <c r="V20" s="12">
        <f t="shared" si="4"/>
        <v>8</v>
      </c>
      <c r="W20" s="148" t="s">
        <v>16</v>
      </c>
      <c r="Y20" s="307">
        <f>-Y18</f>
        <v>-145335711.00361323</v>
      </c>
      <c r="Z20" s="12">
        <f t="shared" si="5"/>
        <v>8</v>
      </c>
      <c r="AA20" s="13" t="s">
        <v>669</v>
      </c>
      <c r="AB20" s="528">
        <f>+'[9]Lead E'!C19</f>
        <v>1476016.7034779999</v>
      </c>
      <c r="AC20" s="528">
        <f>+'[9]Lead E'!D19</f>
        <v>0</v>
      </c>
      <c r="AD20" s="276">
        <f>AC20-AB20</f>
        <v>-1476016.7034779999</v>
      </c>
      <c r="AE20" s="12">
        <v>8</v>
      </c>
      <c r="AF20" s="254" t="s">
        <v>120</v>
      </c>
      <c r="AG20" s="308"/>
      <c r="AH20" s="308"/>
      <c r="AI20" s="271">
        <f>-AI17-AI18</f>
        <v>69387.278670666696</v>
      </c>
      <c r="AJ20" s="12">
        <f t="shared" si="6"/>
        <v>8</v>
      </c>
      <c r="AK20" s="577" t="s">
        <v>850</v>
      </c>
      <c r="AL20" s="307"/>
      <c r="AM20" s="202"/>
      <c r="AN20" s="307"/>
      <c r="AO20" s="307"/>
      <c r="AP20" s="307"/>
      <c r="AQ20" s="681">
        <f>L41</f>
        <v>28313253</v>
      </c>
      <c r="AR20" s="202"/>
      <c r="AS20" s="12">
        <f t="shared" si="7"/>
        <v>8</v>
      </c>
      <c r="AT20" s="308" t="s">
        <v>103</v>
      </c>
      <c r="AU20" s="307">
        <f>+'[27]Lead E'!C19</f>
        <v>15752.022461405353</v>
      </c>
      <c r="AV20" s="261">
        <f>+'[27]Lead E'!D19</f>
        <v>15299.629274645029</v>
      </c>
      <c r="AW20" s="261">
        <f t="shared" si="14"/>
        <v>-452.39318676032417</v>
      </c>
      <c r="AX20" s="308"/>
      <c r="AY20" s="308"/>
      <c r="BC20" s="9"/>
      <c r="BD20" s="311"/>
      <c r="BE20" s="311"/>
      <c r="BF20" s="311"/>
      <c r="BG20" s="12">
        <f t="shared" si="8"/>
        <v>8</v>
      </c>
      <c r="BH20" s="13"/>
      <c r="BI20" s="128"/>
      <c r="BJ20" s="278"/>
      <c r="BK20" s="9">
        <f t="shared" si="9"/>
        <v>8</v>
      </c>
      <c r="BL20" s="311"/>
      <c r="BM20" s="311"/>
      <c r="BN20" s="139"/>
      <c r="BO20" s="12">
        <f t="shared" si="10"/>
        <v>8</v>
      </c>
      <c r="BP20" s="13" t="s">
        <v>120</v>
      </c>
      <c r="BQ20" s="311"/>
      <c r="BR20" s="311"/>
      <c r="BS20" s="274">
        <f>-BS17-BS19</f>
        <v>66147.120545911268</v>
      </c>
      <c r="BT20" s="12"/>
      <c r="BU20" s="311"/>
      <c r="BV20" s="311"/>
      <c r="BW20" s="311"/>
      <c r="BX20" s="311"/>
      <c r="BY20" s="12">
        <v>8</v>
      </c>
      <c r="BZ20" s="723" t="s">
        <v>103</v>
      </c>
      <c r="CA20" s="18">
        <f>'[28]Lead E'!E20</f>
        <v>209317.86788684683</v>
      </c>
      <c r="CB20" s="18">
        <f>'[28]Lead E'!F20</f>
        <v>214075.16440109309</v>
      </c>
      <c r="CC20" s="18">
        <f t="shared" si="15"/>
        <v>4757.2965142462635</v>
      </c>
      <c r="CD20" s="375">
        <f t="shared" si="11"/>
        <v>8</v>
      </c>
      <c r="CE20" s="407" t="s">
        <v>167</v>
      </c>
      <c r="CF20" s="335">
        <f>'[29]Lead E'!$C$19</f>
        <v>6.875E-3</v>
      </c>
      <c r="CG20" s="610">
        <f>CG19*CF20</f>
        <v>18793.955383500001</v>
      </c>
      <c r="CI20" s="12">
        <v>8</v>
      </c>
      <c r="CJ20" s="311" t="s">
        <v>360</v>
      </c>
      <c r="CK20" s="311"/>
      <c r="CL20" s="311"/>
      <c r="CM20" s="129">
        <f>CM18-CM19</f>
        <v>187308.92923393101</v>
      </c>
      <c r="CN20" s="375">
        <f t="shared" si="16"/>
        <v>8</v>
      </c>
      <c r="CO20" s="506" t="s">
        <v>877</v>
      </c>
      <c r="CP20" s="374"/>
      <c r="CQ20" s="307">
        <f>'[12]Lead E'!$C$24</f>
        <v>-5344209.3900000006</v>
      </c>
      <c r="CR20" s="261"/>
      <c r="CS20" s="308">
        <v>8</v>
      </c>
      <c r="CT20" s="308" t="s">
        <v>959</v>
      </c>
      <c r="CU20" s="739">
        <f>'[31]Lead E'!$C$18</f>
        <v>0</v>
      </c>
      <c r="CV20" s="529">
        <f>'[31]Lead E'!$D$18</f>
        <v>2486031.0369156054</v>
      </c>
      <c r="CW20" s="788">
        <f>+CV20-CU20</f>
        <v>2486031.0369156054</v>
      </c>
      <c r="CX20" s="308">
        <f>CX19+1</f>
        <v>8</v>
      </c>
      <c r="CY20" s="592" t="s">
        <v>795</v>
      </c>
      <c r="CZ20" s="261">
        <f>'[36]Lead E'!$D$21</f>
        <v>13548.583466044467</v>
      </c>
      <c r="DA20" s="261">
        <f>'[36]Lead E'!$E$21</f>
        <v>283809.31891272456</v>
      </c>
      <c r="DB20" s="261">
        <f t="shared" si="17"/>
        <v>270260.7354466801</v>
      </c>
      <c r="DC20" s="308"/>
      <c r="DD20"/>
      <c r="DE20"/>
      <c r="DF20"/>
      <c r="DG20"/>
      <c r="DH20" s="308">
        <v>8</v>
      </c>
      <c r="DI20" s="1041" t="str">
        <f>+'[37]Summary-1Q 2017'!Z11</f>
        <v xml:space="preserve">FERC 392 - TRANSPORTATION EQUIPMENT       </v>
      </c>
      <c r="DJ20" s="1052"/>
      <c r="DK20" s="1052">
        <f>+'[37]Summary-1Q 2017'!Y11</f>
        <v>25411.79970783001</v>
      </c>
      <c r="DL20" s="1053"/>
      <c r="DM20" s="308">
        <v>8</v>
      </c>
      <c r="DN20" s="357" t="s">
        <v>15</v>
      </c>
      <c r="DO20" s="774"/>
      <c r="DP20" s="774"/>
      <c r="DQ20" s="774">
        <f>-DQ18-DQ19</f>
        <v>-28484037.222222224</v>
      </c>
      <c r="DR20" s="308"/>
    </row>
    <row r="21" spans="1:126" s="313" customFormat="1" ht="15.75" thickTop="1">
      <c r="A21" s="9">
        <f t="shared" si="0"/>
        <v>10</v>
      </c>
      <c r="B21" s="290" t="s">
        <v>1115</v>
      </c>
      <c r="C21" s="138"/>
      <c r="D21" s="410">
        <f>'[33]Lead E'!$D$21</f>
        <v>7446504.8799999999</v>
      </c>
      <c r="E21" s="225"/>
      <c r="F21" s="9">
        <f t="shared" si="1"/>
        <v>9</v>
      </c>
      <c r="G21" s="907">
        <v>42461</v>
      </c>
      <c r="H21" s="285">
        <f>'[34]Lead E'!$C$18</f>
        <v>1641032699</v>
      </c>
      <c r="I21" s="285">
        <f>'[34]Lead E'!$D$18</f>
        <v>1717808476.922034</v>
      </c>
      <c r="J21" s="38">
        <f t="shared" si="12"/>
        <v>76775777.922034025</v>
      </c>
      <c r="K21" s="38">
        <f t="shared" si="13"/>
        <v>71171146</v>
      </c>
      <c r="L21" s="374"/>
      <c r="M21" s="375">
        <f t="shared" si="2"/>
        <v>9</v>
      </c>
      <c r="N21" s="359" t="s">
        <v>464</v>
      </c>
      <c r="O21" s="311"/>
      <c r="P21" s="311"/>
      <c r="Q21" s="406">
        <f>'[25]Lead E'!$E$18</f>
        <v>1841461.71</v>
      </c>
      <c r="R21" s="12">
        <f t="shared" si="3"/>
        <v>9</v>
      </c>
      <c r="S21" s="311" t="s">
        <v>24</v>
      </c>
      <c r="T21" s="311"/>
      <c r="U21" s="251">
        <f>SUM(U16:U20)</f>
        <v>209020153.48657256</v>
      </c>
      <c r="V21" s="12">
        <f t="shared" si="4"/>
        <v>9</v>
      </c>
      <c r="W21" s="148"/>
      <c r="X21" s="209"/>
      <c r="Y21" s="54" t="s">
        <v>282</v>
      </c>
      <c r="Z21" s="12">
        <f t="shared" si="5"/>
        <v>9</v>
      </c>
      <c r="AA21" s="13" t="s">
        <v>670</v>
      </c>
      <c r="AB21" s="784">
        <f>SUM(AB19:AB20)</f>
        <v>2828141.4334779996</v>
      </c>
      <c r="AC21" s="784">
        <f>SUM(AC19:AC20)</f>
        <v>1739313.9972498522</v>
      </c>
      <c r="AD21" s="785">
        <f>SUM(AD19:AD20)</f>
        <v>-1088827.4362281477</v>
      </c>
      <c r="AJ21" s="375">
        <f t="shared" si="6"/>
        <v>9</v>
      </c>
      <c r="AK21" s="141" t="s">
        <v>846</v>
      </c>
      <c r="AQ21" s="307">
        <f>SUM(AQ19:AQ20)</f>
        <v>2174361561.1900001</v>
      </c>
      <c r="AS21" s="12">
        <f t="shared" si="7"/>
        <v>9</v>
      </c>
      <c r="AT21" s="308" t="s">
        <v>254</v>
      </c>
      <c r="AU21" s="307">
        <f>+'[27]Lead E'!C20</f>
        <v>2049529.5019409845</v>
      </c>
      <c r="AV21" s="261">
        <f>+'[27]Lead E'!D20</f>
        <v>2006840.6030095925</v>
      </c>
      <c r="AW21" s="261">
        <f t="shared" si="14"/>
        <v>-42688.898931392003</v>
      </c>
      <c r="AX21" s="308"/>
      <c r="AY21" s="308"/>
      <c r="BC21" s="311"/>
      <c r="BD21" s="311"/>
      <c r="BE21" s="311"/>
      <c r="BF21" s="311"/>
      <c r="BG21" s="12">
        <f t="shared" si="8"/>
        <v>9</v>
      </c>
      <c r="BH21" s="13" t="s">
        <v>583</v>
      </c>
      <c r="BI21" s="216">
        <f>'[35]Lead E'!$D$23</f>
        <v>273000</v>
      </c>
      <c r="BJ21" s="115"/>
      <c r="BK21" s="9">
        <f t="shared" si="9"/>
        <v>9</v>
      </c>
      <c r="BL21" s="311" t="s">
        <v>1124</v>
      </c>
      <c r="BM21" s="114"/>
      <c r="BN21" s="307">
        <f>BN15+BN19</f>
        <v>-2291230.0700000026</v>
      </c>
      <c r="BO21" s="12"/>
      <c r="BP21" s="13"/>
      <c r="BQ21" s="311"/>
      <c r="BR21" s="311"/>
      <c r="BS21" s="311"/>
      <c r="BT21" s="12"/>
      <c r="BU21" s="13"/>
      <c r="BV21" s="311"/>
      <c r="BW21" s="311"/>
      <c r="BX21" s="311"/>
      <c r="BY21" s="12">
        <v>9</v>
      </c>
      <c r="BZ21" s="723" t="s">
        <v>254</v>
      </c>
      <c r="CA21" s="609">
        <f>'[28]Lead E'!E21</f>
        <v>27183671.346791636</v>
      </c>
      <c r="CB21" s="609">
        <f>'[28]Lead E'!F21</f>
        <v>28077102.382967826</v>
      </c>
      <c r="CC21" s="609">
        <f t="shared" si="15"/>
        <v>893431.03617618978</v>
      </c>
      <c r="CD21" s="375">
        <f t="shared" si="11"/>
        <v>9</v>
      </c>
      <c r="CE21" s="156" t="s">
        <v>168</v>
      </c>
      <c r="CF21" s="156"/>
      <c r="CG21" s="156"/>
      <c r="CH21" s="198">
        <f>SUM(CG19:CG20)</f>
        <v>2752460.1929835002</v>
      </c>
      <c r="CI21" s="12">
        <v>9</v>
      </c>
      <c r="CJ21" s="311"/>
      <c r="CK21" s="311"/>
      <c r="CL21" s="311"/>
      <c r="CM21" s="114"/>
      <c r="CN21" s="375">
        <f t="shared" si="16"/>
        <v>9</v>
      </c>
      <c r="CO21" s="506" t="s">
        <v>632</v>
      </c>
      <c r="CP21" s="374"/>
      <c r="CQ21" s="307"/>
      <c r="CR21" s="510">
        <f>CQ20/5</f>
        <v>-1068841.878</v>
      </c>
      <c r="CS21" s="308">
        <v>9</v>
      </c>
      <c r="CT21" s="308" t="s">
        <v>11</v>
      </c>
      <c r="CU21" s="261">
        <f>SUM(CU19:CU20)</f>
        <v>0</v>
      </c>
      <c r="CV21" s="787">
        <f>SUM(CV19:CV20)</f>
        <v>4962071.8844784237</v>
      </c>
      <c r="CW21" s="787">
        <f>SUM(CW19:CW20)</f>
        <v>4962071.8844784237</v>
      </c>
      <c r="CX21" s="308">
        <f t="shared" ref="CX21:CX29" si="18">CX20+1</f>
        <v>9</v>
      </c>
      <c r="CY21" s="765" t="s">
        <v>983</v>
      </c>
      <c r="CZ21" s="261">
        <f>'[36]Lead E'!$D$22</f>
        <v>-4742.0042131155633</v>
      </c>
      <c r="DA21" s="261"/>
      <c r="DB21" s="261">
        <f t="shared" si="17"/>
        <v>4742.0042131155633</v>
      </c>
      <c r="DC21" s="308"/>
      <c r="DD21"/>
      <c r="DE21"/>
      <c r="DF21"/>
      <c r="DG21"/>
      <c r="DH21" s="308">
        <v>9</v>
      </c>
      <c r="DI21" s="1041" t="str">
        <f>+'[37]Summary-1Q 2017'!Z12</f>
        <v>FERC 394 - TOOLS, SHOP AND GARAGE EQUIPMENT</v>
      </c>
      <c r="DJ21" s="1052"/>
      <c r="DK21" s="1052">
        <f>+'[37]Summary-1Q 2017'!Y12</f>
        <v>187939.16981469342</v>
      </c>
      <c r="DL21" s="1053"/>
      <c r="DM21" s="308"/>
      <c r="DO21" s="774"/>
      <c r="DP21" s="774"/>
      <c r="DQ21" s="774"/>
      <c r="DR21" s="308"/>
      <c r="DS21" s="752"/>
      <c r="DT21" s="752"/>
      <c r="DU21" s="752"/>
      <c r="DV21" s="752"/>
    </row>
    <row r="22" spans="1:126" s="313" customFormat="1" ht="15.75" thickBot="1">
      <c r="A22" s="9">
        <f t="shared" si="0"/>
        <v>11</v>
      </c>
      <c r="B22" s="290" t="s">
        <v>735</v>
      </c>
      <c r="D22" s="410">
        <f>'[33]Lead E'!$D$22</f>
        <v>-3902999.6601178469</v>
      </c>
      <c r="E22" s="225"/>
      <c r="F22" s="9">
        <f t="shared" si="1"/>
        <v>10</v>
      </c>
      <c r="G22" s="907">
        <v>42491</v>
      </c>
      <c r="H22" s="285">
        <f>'[34]Lead E'!$C$19</f>
        <v>1626432632</v>
      </c>
      <c r="I22" s="285">
        <f>'[34]Lead E'!$D$19</f>
        <v>1641730768.4739172</v>
      </c>
      <c r="J22" s="38">
        <f t="shared" si="12"/>
        <v>15298136.473917246</v>
      </c>
      <c r="K22" s="38">
        <f t="shared" si="13"/>
        <v>14181373</v>
      </c>
      <c r="L22" s="374"/>
      <c r="M22" s="375">
        <f t="shared" si="2"/>
        <v>10</v>
      </c>
      <c r="N22" s="359"/>
      <c r="O22" s="374"/>
      <c r="P22" s="374"/>
      <c r="Q22" s="406"/>
      <c r="R22" s="12">
        <f t="shared" si="3"/>
        <v>10</v>
      </c>
      <c r="S22" s="311"/>
      <c r="T22" s="311"/>
      <c r="U22" s="121"/>
      <c r="V22" s="12">
        <f t="shared" si="4"/>
        <v>10</v>
      </c>
      <c r="W22" s="148" t="s">
        <v>20</v>
      </c>
      <c r="X22" s="223">
        <f>k_FITrate</f>
        <v>0.35</v>
      </c>
      <c r="Y22" s="307">
        <f>+Y20*k_FITrate</f>
        <v>-50867498.851264626</v>
      </c>
      <c r="Z22" s="12">
        <f t="shared" si="5"/>
        <v>10</v>
      </c>
      <c r="AA22" s="13"/>
      <c r="AB22" s="140"/>
      <c r="AC22" s="140"/>
      <c r="AD22" s="261"/>
      <c r="AJ22" s="375">
        <f t="shared" si="6"/>
        <v>10</v>
      </c>
      <c r="AK22" s="374" t="s">
        <v>117</v>
      </c>
      <c r="AL22" s="307"/>
      <c r="AM22" s="307"/>
      <c r="AN22" s="307"/>
      <c r="AO22" s="307"/>
      <c r="AP22" s="307"/>
      <c r="AQ22" s="228">
        <f>AR17</f>
        <v>7.1570000000000002E-3</v>
      </c>
      <c r="AR22" s="114"/>
      <c r="AS22" s="12">
        <f t="shared" si="7"/>
        <v>10</v>
      </c>
      <c r="AT22" s="165" t="s">
        <v>367</v>
      </c>
      <c r="AU22" s="781">
        <f>SUM(AU14:AU21)</f>
        <v>7360758.1595352115</v>
      </c>
      <c r="AV22" s="787">
        <f>SUM(AV14:AV21)</f>
        <v>7132694.3005338134</v>
      </c>
      <c r="AW22" s="787">
        <f>AV22-AU22</f>
        <v>-228063.85900139809</v>
      </c>
      <c r="AX22" s="308"/>
      <c r="AY22" s="308"/>
      <c r="BC22" s="311"/>
      <c r="BD22" s="311"/>
      <c r="BE22" s="311"/>
      <c r="BF22" s="311"/>
      <c r="BG22" s="12">
        <f t="shared" si="8"/>
        <v>10</v>
      </c>
      <c r="BH22" s="13"/>
      <c r="BI22" s="127"/>
      <c r="BJ22" s="114"/>
      <c r="BK22" s="9">
        <f t="shared" si="9"/>
        <v>10</v>
      </c>
      <c r="BL22" s="311"/>
      <c r="BM22" s="114"/>
      <c r="BN22" s="307"/>
      <c r="BO22" s="12"/>
      <c r="BP22" s="13"/>
      <c r="BQ22" s="311"/>
      <c r="BR22" s="311"/>
      <c r="BS22" s="311"/>
      <c r="BT22" s="12"/>
      <c r="BU22" s="13"/>
      <c r="BV22" s="311"/>
      <c r="BW22" s="311"/>
      <c r="BX22" s="311"/>
      <c r="BY22" s="12">
        <v>10</v>
      </c>
      <c r="BZ22" s="13" t="s">
        <v>257</v>
      </c>
      <c r="CA22" s="139">
        <f>SUM(CA14:CA21)</f>
        <v>97628924.898229778</v>
      </c>
      <c r="CB22" s="139">
        <f>SUM(CB14:CB21)</f>
        <v>99791345.468503729</v>
      </c>
      <c r="CC22" s="139">
        <f>SUM(CC13:CC21)</f>
        <v>2162420.57027394</v>
      </c>
      <c r="CD22" s="375">
        <f t="shared" si="11"/>
        <v>10</v>
      </c>
      <c r="CE22" s="165"/>
      <c r="CF22" s="172"/>
      <c r="CG22" s="172"/>
      <c r="CH22" s="198"/>
      <c r="CI22" s="12">
        <v>10</v>
      </c>
      <c r="CJ22" s="13" t="s">
        <v>6</v>
      </c>
      <c r="CK22" s="130">
        <f>k_FITrate</f>
        <v>0.35</v>
      </c>
      <c r="CL22" s="311"/>
      <c r="CM22" s="55">
        <f>-ROUND(+CM20*CK22,0)</f>
        <v>-65558</v>
      </c>
      <c r="CN22" s="375">
        <f t="shared" si="16"/>
        <v>10</v>
      </c>
      <c r="CO22" s="507"/>
      <c r="CQ22" s="374"/>
      <c r="CR22" s="511"/>
      <c r="CS22" s="308">
        <v>10</v>
      </c>
      <c r="CT22" s="308"/>
      <c r="CU22" s="529"/>
      <c r="CV22" s="529"/>
      <c r="CW22" s="529"/>
      <c r="CX22" s="308">
        <f t="shared" si="18"/>
        <v>10</v>
      </c>
      <c r="CY22" s="308" t="s">
        <v>844</v>
      </c>
      <c r="CZ22" s="703">
        <f>SUM(CZ15:CZ21)</f>
        <v>3773484.7482676036</v>
      </c>
      <c r="DA22" s="703">
        <f>SUM(DA15:DA21)</f>
        <v>19688544.846134391</v>
      </c>
      <c r="DB22" s="704">
        <f>SUM(DB15:DB21)</f>
        <v>15915060.097866783</v>
      </c>
      <c r="DC22" s="308"/>
      <c r="DH22" s="308">
        <v>10</v>
      </c>
      <c r="DI22" s="1041" t="str">
        <f>+'[37]Summary-1Q 2017'!Z13</f>
        <v xml:space="preserve">FERC 396 - POWER OPERATED EQUIPMENT       </v>
      </c>
      <c r="DJ22" s="1052"/>
      <c r="DK22" s="1052">
        <f>+'[37]Summary-1Q 2017'!Y13</f>
        <v>157625.21018298512</v>
      </c>
      <c r="DL22" s="1053"/>
      <c r="DM22" s="308"/>
      <c r="DN22" s="286"/>
      <c r="DO22" s="286"/>
      <c r="DP22" s="286"/>
      <c r="DQ22" s="286"/>
      <c r="DR22" s="308"/>
      <c r="DS22" s="357"/>
      <c r="DT22" s="357"/>
      <c r="DU22" s="357"/>
      <c r="DV22" s="357"/>
    </row>
    <row r="23" spans="1:126" s="313" customFormat="1" ht="16.5" thickTop="1" thickBot="1">
      <c r="A23" s="9">
        <f t="shared" si="0"/>
        <v>12</v>
      </c>
      <c r="B23" s="325" t="s">
        <v>734</v>
      </c>
      <c r="C23" s="311"/>
      <c r="D23" s="339">
        <f>SUM(D15:D22)</f>
        <v>-18636150.940117843</v>
      </c>
      <c r="F23" s="9">
        <f t="shared" si="1"/>
        <v>11</v>
      </c>
      <c r="G23" s="907">
        <v>42522</v>
      </c>
      <c r="H23" s="285">
        <f>'[34]Lead E'!$C$20</f>
        <v>1597200862</v>
      </c>
      <c r="I23" s="285">
        <f>'[34]Lead E'!$D$20</f>
        <v>1584799398.2238727</v>
      </c>
      <c r="J23" s="38">
        <f t="shared" si="12"/>
        <v>-12401463.776127338</v>
      </c>
      <c r="K23" s="38">
        <f t="shared" si="13"/>
        <v>-11496157</v>
      </c>
      <c r="L23" s="374"/>
      <c r="M23" s="375">
        <f t="shared" si="2"/>
        <v>11</v>
      </c>
      <c r="N23" s="359"/>
      <c r="O23" s="374"/>
      <c r="P23" s="374"/>
      <c r="Q23" s="406"/>
      <c r="R23" s="12">
        <f t="shared" si="3"/>
        <v>11</v>
      </c>
      <c r="S23" s="311" t="s">
        <v>684</v>
      </c>
      <c r="T23" s="422" t="s">
        <v>282</v>
      </c>
      <c r="U23" s="121"/>
      <c r="V23" s="12">
        <f t="shared" si="4"/>
        <v>11</v>
      </c>
      <c r="W23" s="148" t="s">
        <v>120</v>
      </c>
      <c r="Y23" s="616">
        <f>-Y22</f>
        <v>50867498.851264626</v>
      </c>
      <c r="Z23" s="12">
        <f t="shared" si="5"/>
        <v>11</v>
      </c>
      <c r="AA23" s="13" t="s">
        <v>671</v>
      </c>
      <c r="AB23" s="784">
        <f>AB17+AB21</f>
        <v>297280860.27087998</v>
      </c>
      <c r="AC23" s="784">
        <f>AC17+AC21</f>
        <v>329735975.26934987</v>
      </c>
      <c r="AD23" s="785">
        <f>AD17+AD21</f>
        <v>32455114.998469852</v>
      </c>
      <c r="AJ23" s="12">
        <f t="shared" ref="AJ23:AJ29" si="19">AJ22+1</f>
        <v>11</v>
      </c>
      <c r="AK23" s="374" t="s">
        <v>121</v>
      </c>
      <c r="AL23" s="307"/>
      <c r="AM23" s="307"/>
      <c r="AN23" s="307"/>
      <c r="AO23" s="307"/>
      <c r="AP23" s="307"/>
      <c r="AQ23" s="307">
        <f>ROUND(AQ21*AQ22,0)</f>
        <v>15561906</v>
      </c>
      <c r="AR23" s="114"/>
      <c r="AS23" s="375">
        <f t="shared" si="7"/>
        <v>11</v>
      </c>
      <c r="AT23" s="72"/>
      <c r="AU23" s="287"/>
      <c r="AV23" s="287"/>
      <c r="AW23" s="117"/>
      <c r="AX23" s="308"/>
      <c r="AY23" s="308"/>
      <c r="BC23" s="311"/>
      <c r="BD23" s="311"/>
      <c r="BE23" s="311"/>
      <c r="BF23" s="311"/>
      <c r="BG23" s="12">
        <f t="shared" si="8"/>
        <v>11</v>
      </c>
      <c r="BH23" s="199" t="s">
        <v>286</v>
      </c>
      <c r="BI23" s="216">
        <f>BI21/4</f>
        <v>68250</v>
      </c>
      <c r="BJ23" s="114"/>
      <c r="BK23" s="9">
        <f t="shared" si="9"/>
        <v>11</v>
      </c>
      <c r="BL23" s="98" t="s">
        <v>1125</v>
      </c>
      <c r="BM23" s="114"/>
      <c r="BN23" s="353">
        <f>BN21/36*12</f>
        <v>-763743.3566666675</v>
      </c>
      <c r="BO23" s="155"/>
      <c r="BP23" s="311"/>
      <c r="BQ23" s="118"/>
      <c r="BR23" s="118"/>
      <c r="BS23" s="118"/>
      <c r="BT23" s="155"/>
      <c r="BU23" s="118"/>
      <c r="BV23" s="118"/>
      <c r="BW23" s="118"/>
      <c r="BX23" s="118"/>
      <c r="BY23" s="12">
        <v>11</v>
      </c>
      <c r="BZ23" s="311"/>
      <c r="CA23" s="251"/>
      <c r="CB23" s="251"/>
      <c r="CC23" s="251"/>
      <c r="CD23" s="375">
        <f t="shared" si="11"/>
        <v>11</v>
      </c>
      <c r="CE23" s="241" t="s">
        <v>169</v>
      </c>
      <c r="CF23" s="63"/>
      <c r="CG23" s="63"/>
      <c r="CH23" s="198"/>
      <c r="CI23" s="12">
        <v>11</v>
      </c>
      <c r="CJ23" s="311"/>
      <c r="CK23" s="311"/>
      <c r="CL23" s="311"/>
      <c r="CM23" s="129"/>
      <c r="CN23" s="375">
        <f t="shared" si="16"/>
        <v>11</v>
      </c>
      <c r="CO23" s="506" t="s">
        <v>634</v>
      </c>
      <c r="CP23" s="374"/>
      <c r="CQ23" s="374"/>
      <c r="CR23" s="510">
        <f>SUM(CR16:CR21)</f>
        <v>850440.58200000017</v>
      </c>
      <c r="CS23" s="308">
        <v>11</v>
      </c>
      <c r="CT23" s="308" t="s">
        <v>1128</v>
      </c>
      <c r="CU23" s="529"/>
      <c r="CV23" s="529"/>
      <c r="CW23" s="529">
        <f>CW15+CW21</f>
        <v>4750001.9585469235</v>
      </c>
      <c r="CX23" s="308">
        <f t="shared" si="18"/>
        <v>11</v>
      </c>
      <c r="CY23" s="308"/>
      <c r="CZ23" s="261"/>
      <c r="DA23" s="261"/>
      <c r="DB23" s="343"/>
      <c r="DC23" s="308"/>
      <c r="DH23" s="308">
        <v>11</v>
      </c>
      <c r="DI23" s="1041" t="str">
        <f>+'[37]Summary-1Q 2017'!Z14</f>
        <v xml:space="preserve">FERC 397 - COMMUNICATION EQUIPMENT </v>
      </c>
      <c r="DJ23" s="1052"/>
      <c r="DK23" s="1052">
        <f>+'[37]Summary-1Q 2017'!Y14</f>
        <v>694.31299216899924</v>
      </c>
      <c r="DL23" s="1053"/>
      <c r="DM23" s="308"/>
      <c r="DN23" s="286"/>
      <c r="DO23" s="286"/>
      <c r="DP23" s="286"/>
      <c r="DQ23" s="286"/>
      <c r="DR23" s="308"/>
      <c r="DS23" s="357"/>
      <c r="DT23" s="357"/>
      <c r="DU23" s="357"/>
      <c r="DV23" s="357"/>
    </row>
    <row r="24" spans="1:126" s="313" customFormat="1" ht="16.5" thickTop="1" thickBot="1">
      <c r="A24" s="9">
        <f t="shared" si="0"/>
        <v>13</v>
      </c>
      <c r="B24" s="402"/>
      <c r="C24" s="311"/>
      <c r="D24" s="570"/>
      <c r="E24" s="225"/>
      <c r="F24" s="9">
        <f t="shared" si="1"/>
        <v>12</v>
      </c>
      <c r="G24" s="907">
        <v>42552</v>
      </c>
      <c r="H24" s="285">
        <f>'[34]Lead E'!$C$21</f>
        <v>1647778275</v>
      </c>
      <c r="I24" s="285">
        <f>'[34]Lead E'!$D$21</f>
        <v>1645397292.7076356</v>
      </c>
      <c r="J24" s="38">
        <f t="shared" si="12"/>
        <v>-2380982.2923643589</v>
      </c>
      <c r="K24" s="38">
        <f t="shared" si="13"/>
        <v>-2207171</v>
      </c>
      <c r="L24" s="374"/>
      <c r="M24" s="375">
        <f t="shared" si="2"/>
        <v>12</v>
      </c>
      <c r="N24" s="360" t="s">
        <v>465</v>
      </c>
      <c r="O24" s="311"/>
      <c r="P24" s="311"/>
      <c r="Q24" s="406">
        <f>'[25]Lead E'!$E$19</f>
        <v>4599593.6399999997</v>
      </c>
      <c r="R24" s="12">
        <f t="shared" si="3"/>
        <v>12</v>
      </c>
      <c r="S24" s="13" t="s">
        <v>681</v>
      </c>
      <c r="T24" s="57"/>
      <c r="U24" s="121">
        <v>0</v>
      </c>
      <c r="Y24" s="311"/>
      <c r="Z24" s="12">
        <f t="shared" si="5"/>
        <v>12</v>
      </c>
      <c r="AA24" s="13"/>
      <c r="AB24" s="140"/>
      <c r="AC24" s="277"/>
      <c r="AD24" s="529"/>
      <c r="AJ24" s="12">
        <f t="shared" si="19"/>
        <v>12</v>
      </c>
      <c r="AK24" s="311"/>
      <c r="AL24" s="114"/>
      <c r="AM24" s="114"/>
      <c r="AN24" s="114"/>
      <c r="AO24" s="114"/>
      <c r="AP24" s="114"/>
      <c r="AQ24" s="114"/>
      <c r="AR24" s="114"/>
      <c r="AS24" s="375">
        <f t="shared" si="7"/>
        <v>12</v>
      </c>
      <c r="AT24" s="72" t="s">
        <v>122</v>
      </c>
      <c r="AU24" s="307">
        <f>'[27]Lead E'!$C$23</f>
        <v>462245.76916034456</v>
      </c>
      <c r="AV24" s="729">
        <f>(AV22/(AU22/AU24))</f>
        <v>447923.66379607399</v>
      </c>
      <c r="AW24" s="126">
        <f>AV24-AU24</f>
        <v>-14322.105364270566</v>
      </c>
      <c r="AX24" s="308"/>
      <c r="AY24" s="308"/>
      <c r="BC24" s="311"/>
      <c r="BD24" s="311"/>
      <c r="BE24" s="311"/>
      <c r="BF24" s="311"/>
      <c r="BG24" s="12">
        <f t="shared" si="8"/>
        <v>12</v>
      </c>
      <c r="BH24" s="196" t="s">
        <v>287</v>
      </c>
      <c r="BI24" s="328">
        <v>0</v>
      </c>
      <c r="BJ24" s="114"/>
      <c r="BK24" s="9">
        <f t="shared" si="9"/>
        <v>12</v>
      </c>
      <c r="BL24" s="13"/>
      <c r="BM24" s="114"/>
      <c r="BN24" s="289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12">
        <v>12</v>
      </c>
      <c r="BZ24" s="13" t="s">
        <v>179</v>
      </c>
      <c r="CA24" s="280">
        <f>'[28]Lead E'!E24</f>
        <v>6486464.3989615748</v>
      </c>
      <c r="CB24" s="280">
        <f>'[28]Lead E'!F24</f>
        <v>6627179.6998789413</v>
      </c>
      <c r="CC24" s="280">
        <f>'[28]Lead E'!G24</f>
        <v>140715.30091736629</v>
      </c>
      <c r="CD24" s="375">
        <f t="shared" si="11"/>
        <v>12</v>
      </c>
      <c r="CE24" s="357" t="s">
        <v>170</v>
      </c>
      <c r="CF24" s="176"/>
      <c r="CG24" s="234">
        <f>'[29]Lead E'!$D$23</f>
        <v>1013154.9303599999</v>
      </c>
      <c r="CI24" s="12">
        <v>12</v>
      </c>
      <c r="CJ24" s="13" t="s">
        <v>15</v>
      </c>
      <c r="CK24" s="13"/>
      <c r="CL24" s="311"/>
      <c r="CM24" s="271">
        <f>-CM20-CM22</f>
        <v>-121750.92923393101</v>
      </c>
      <c r="CN24" s="375">
        <f t="shared" si="16"/>
        <v>12</v>
      </c>
      <c r="CO24" s="506"/>
      <c r="CP24" s="377"/>
      <c r="CQ24" s="374"/>
      <c r="CR24"/>
      <c r="CS24" s="308">
        <v>12</v>
      </c>
      <c r="CT24" s="308"/>
      <c r="CU24" s="529"/>
      <c r="CV24" s="529"/>
      <c r="CW24" s="529"/>
      <c r="CX24" s="308">
        <f t="shared" si="18"/>
        <v>12</v>
      </c>
      <c r="CY24" s="639" t="s">
        <v>0</v>
      </c>
      <c r="CZ24" s="343"/>
      <c r="DA24" s="343"/>
      <c r="DB24" s="343"/>
      <c r="DH24" s="308">
        <v>12</v>
      </c>
      <c r="DI24" s="1041" t="str">
        <f>+'[37]Summary-1Q 2017'!Z15</f>
        <v>FERC 350.99 - EASEMENTS - GIF</v>
      </c>
      <c r="DJ24" s="1052"/>
      <c r="DK24" s="1052">
        <f>+'[37]Summary-1Q 2017'!Y15</f>
        <v>177.94999106</v>
      </c>
      <c r="DL24" s="1053"/>
      <c r="DS24" s="357"/>
      <c r="DT24" s="357"/>
      <c r="DU24" s="357"/>
      <c r="DV24" s="357"/>
    </row>
    <row r="25" spans="1:126" s="313" customFormat="1" ht="15.75" thickTop="1">
      <c r="A25" s="9">
        <f t="shared" si="0"/>
        <v>14</v>
      </c>
      <c r="B25" s="325" t="s">
        <v>282</v>
      </c>
      <c r="C25" s="374"/>
      <c r="D25" s="225"/>
      <c r="E25" s="225"/>
      <c r="F25" s="9">
        <f t="shared" si="1"/>
        <v>13</v>
      </c>
      <c r="G25" s="907">
        <v>42583</v>
      </c>
      <c r="H25" s="285">
        <f>'[34]Lead E'!$C$22</f>
        <v>1712297533</v>
      </c>
      <c r="I25" s="285">
        <f>'[34]Lead E'!$D$22</f>
        <v>1680388551.7681735</v>
      </c>
      <c r="J25" s="38">
        <f t="shared" si="12"/>
        <v>-31908981.231826544</v>
      </c>
      <c r="K25" s="38">
        <f t="shared" si="13"/>
        <v>-29579626</v>
      </c>
      <c r="L25" s="374"/>
      <c r="M25" s="12">
        <f t="shared" si="2"/>
        <v>13</v>
      </c>
      <c r="N25" s="360" t="s">
        <v>466</v>
      </c>
      <c r="O25" s="311"/>
      <c r="P25" s="311"/>
      <c r="Q25" s="406">
        <f>'[25]Lead E'!$E$20</f>
        <v>-1563408.86</v>
      </c>
      <c r="R25" s="12">
        <f t="shared" si="3"/>
        <v>13</v>
      </c>
      <c r="S25" s="311" t="s">
        <v>685</v>
      </c>
      <c r="T25" s="403"/>
      <c r="U25" s="121">
        <f>'[18]Lead E'!$C$24</f>
        <v>581832300.8599999</v>
      </c>
      <c r="X25" s="342"/>
      <c r="Z25" s="12">
        <f t="shared" si="5"/>
        <v>13</v>
      </c>
      <c r="AA25" s="13" t="s">
        <v>475</v>
      </c>
      <c r="AB25" s="140"/>
      <c r="AC25" s="140"/>
      <c r="AD25" s="262"/>
      <c r="AJ25" s="12">
        <f t="shared" si="19"/>
        <v>13</v>
      </c>
      <c r="AK25" s="13" t="s">
        <v>14</v>
      </c>
      <c r="AL25" s="114"/>
      <c r="AM25" s="114"/>
      <c r="AN25" s="197"/>
      <c r="AO25" s="197"/>
      <c r="AP25" s="332"/>
      <c r="AQ25" s="114">
        <f>'[26]Lead E'!$H$26</f>
        <v>16407059.630000001</v>
      </c>
      <c r="AR25" s="114"/>
      <c r="AS25" s="375">
        <f t="shared" si="7"/>
        <v>13</v>
      </c>
      <c r="AT25" s="311" t="s">
        <v>360</v>
      </c>
      <c r="AU25" s="781">
        <f>SUM(AU22:AU24)</f>
        <v>7823003.9286955558</v>
      </c>
      <c r="AV25" s="787">
        <f>SUM(AV22:AV24)</f>
        <v>7580617.9643298872</v>
      </c>
      <c r="AW25" s="787">
        <f>SUM(AW22:AW24)</f>
        <v>-242385.96436566865</v>
      </c>
      <c r="BC25" s="311"/>
      <c r="BD25" s="311"/>
      <c r="BE25" s="311"/>
      <c r="BF25" s="311"/>
      <c r="BG25" s="12">
        <f t="shared" si="8"/>
        <v>13</v>
      </c>
      <c r="BH25" s="13" t="s">
        <v>22</v>
      </c>
      <c r="BI25" s="787">
        <f>+BI23-BI24</f>
        <v>68250</v>
      </c>
      <c r="BJ25" s="184">
        <f>+BI25</f>
        <v>68250</v>
      </c>
      <c r="BK25" s="9">
        <f t="shared" si="9"/>
        <v>13</v>
      </c>
      <c r="BL25" s="311" t="s">
        <v>192</v>
      </c>
      <c r="BM25" s="114"/>
      <c r="BN25" s="681">
        <f>'[22]Lead E'!$C$26</f>
        <v>-500359.08000000007</v>
      </c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12">
        <v>13</v>
      </c>
      <c r="BZ25" s="13" t="s">
        <v>127</v>
      </c>
      <c r="CA25" s="139">
        <f>SUM(CA22:CA24)</f>
        <v>104115389.29719135</v>
      </c>
      <c r="CB25" s="139">
        <f>SUM(CB22:CB24)</f>
        <v>106418525.16838267</v>
      </c>
      <c r="CC25" s="139">
        <f>SUM(CC22:CC24)</f>
        <v>2303135.871191306</v>
      </c>
      <c r="CD25" s="375">
        <f t="shared" si="11"/>
        <v>13</v>
      </c>
      <c r="CE25" s="407" t="s">
        <v>171</v>
      </c>
      <c r="CF25" s="335">
        <f>'[29]Lead E'!$C$24</f>
        <v>0.03</v>
      </c>
      <c r="CG25" s="610">
        <f>CG24*CF25</f>
        <v>30394.647910799995</v>
      </c>
      <c r="CI25" s="12"/>
      <c r="CJ25" s="311"/>
      <c r="CK25" s="311"/>
      <c r="CL25" s="311"/>
      <c r="CM25" s="311"/>
      <c r="CN25" s="375">
        <f t="shared" si="16"/>
        <v>13</v>
      </c>
      <c r="CO25" s="165" t="s">
        <v>633</v>
      </c>
      <c r="CP25" s="223">
        <f>k_FITrate</f>
        <v>0.35</v>
      </c>
      <c r="CQ25" s="374"/>
      <c r="CR25" s="913">
        <f>ROUND(-CR23*CP25,0)</f>
        <v>-297654</v>
      </c>
      <c r="CS25" s="308">
        <v>13</v>
      </c>
      <c r="CT25" s="308" t="s">
        <v>13</v>
      </c>
      <c r="CU25" s="261"/>
      <c r="CV25" s="550">
        <v>0.35</v>
      </c>
      <c r="CW25" s="261">
        <f>-CW23*CV25</f>
        <v>-1662500.6854914231</v>
      </c>
      <c r="CX25" s="308">
        <f t="shared" si="18"/>
        <v>13</v>
      </c>
      <c r="CY25" s="187" t="s">
        <v>930</v>
      </c>
      <c r="CZ25" s="261">
        <f>'[36]Lead E'!$D$26</f>
        <v>363750.12810969783</v>
      </c>
      <c r="DA25" s="261">
        <f>'[36]Lead E'!$E$26</f>
        <v>0</v>
      </c>
      <c r="DB25" s="261">
        <f>DA25-CZ25</f>
        <v>-363750.12810969783</v>
      </c>
      <c r="DH25" s="308">
        <v>13</v>
      </c>
      <c r="DI25" s="1041" t="str">
        <f>+'[37]Summary-1Q 2017'!Z16</f>
        <v xml:space="preserve">FERC 354.9 - TOWERS AND FIXTURES - GIF                 </v>
      </c>
      <c r="DJ25" s="1052"/>
      <c r="DK25" s="1052">
        <f>+'[37]Summary-1Q 2017'!Y16</f>
        <v>427.4801186896002</v>
      </c>
      <c r="DL25" s="1053"/>
    </row>
    <row r="26" spans="1:126" s="313" customFormat="1" ht="15">
      <c r="A26" s="9">
        <f t="shared" si="0"/>
        <v>15</v>
      </c>
      <c r="B26" s="402"/>
      <c r="C26" s="374"/>
      <c r="D26" s="225"/>
      <c r="E26" s="225"/>
      <c r="F26" s="9">
        <f t="shared" si="1"/>
        <v>14</v>
      </c>
      <c r="G26" s="907">
        <v>42614</v>
      </c>
      <c r="H26" s="285">
        <f>'[34]Lead E'!$C$23</f>
        <v>1559199266</v>
      </c>
      <c r="I26" s="285">
        <f>'[34]Lead E'!$D$23</f>
        <v>1565709070.7194872</v>
      </c>
      <c r="J26" s="324">
        <f t="shared" si="12"/>
        <v>6509804.7194871902</v>
      </c>
      <c r="K26" s="324">
        <f t="shared" si="13"/>
        <v>6034589</v>
      </c>
      <c r="L26" s="374"/>
      <c r="M26" s="12">
        <f t="shared" si="2"/>
        <v>14</v>
      </c>
      <c r="N26" s="356" t="s">
        <v>467</v>
      </c>
      <c r="O26" s="311"/>
      <c r="P26" s="311"/>
      <c r="Q26" s="406">
        <f>'[25]Lead E'!$E$21</f>
        <v>-257285.07999999996</v>
      </c>
      <c r="R26" s="12">
        <f t="shared" si="3"/>
        <v>14</v>
      </c>
      <c r="S26" s="311" t="s">
        <v>686</v>
      </c>
      <c r="T26" s="403"/>
      <c r="U26" s="121">
        <f>'[18]Lead E'!$C$25</f>
        <v>-399835386.18000001</v>
      </c>
      <c r="V26"/>
      <c r="W26"/>
      <c r="X26"/>
      <c r="Y26"/>
      <c r="Z26" s="12">
        <f t="shared" si="5"/>
        <v>14</v>
      </c>
      <c r="AA26" s="13" t="s">
        <v>988</v>
      </c>
      <c r="AB26" s="528">
        <f>+'[9]Lead E'!C25</f>
        <v>1424661.0825685868</v>
      </c>
      <c r="AC26" s="528">
        <f>+'[9]Lead E'!D25</f>
        <v>1820785.2132301694</v>
      </c>
      <c r="AD26" s="289">
        <f>AC26-AB26</f>
        <v>396124.13066158257</v>
      </c>
      <c r="AJ26" s="12">
        <f t="shared" si="19"/>
        <v>14</v>
      </c>
      <c r="AK26" s="48" t="s">
        <v>22</v>
      </c>
      <c r="AL26" s="114"/>
      <c r="AM26" s="114"/>
      <c r="AN26" s="114"/>
      <c r="AO26" s="114"/>
      <c r="AP26" s="114"/>
      <c r="AQ26" s="129"/>
      <c r="AR26" s="307">
        <f>ROUND(AQ23-AQ25,0)</f>
        <v>-845154</v>
      </c>
      <c r="AS26" s="375">
        <f t="shared" si="7"/>
        <v>14</v>
      </c>
      <c r="AT26" s="311"/>
      <c r="AU26" s="114"/>
      <c r="AV26" s="114"/>
      <c r="AW26" s="126"/>
      <c r="BC26" s="311"/>
      <c r="BD26" s="311"/>
      <c r="BE26" s="311"/>
      <c r="BF26" s="311"/>
      <c r="BG26" s="12">
        <f t="shared" si="8"/>
        <v>14</v>
      </c>
      <c r="BH26" s="311"/>
      <c r="BI26" s="114"/>
      <c r="BJ26" s="128"/>
      <c r="BK26" s="9">
        <f t="shared" si="9"/>
        <v>14</v>
      </c>
      <c r="BL26" s="311"/>
      <c r="BM26" s="114"/>
      <c r="BN26" s="289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12">
        <v>14</v>
      </c>
      <c r="BZ26" s="13"/>
      <c r="CA26" s="251"/>
      <c r="CB26" s="361"/>
      <c r="CC26" s="251"/>
      <c r="CD26" s="375">
        <f t="shared" si="11"/>
        <v>14</v>
      </c>
      <c r="CE26" s="156" t="s">
        <v>172</v>
      </c>
      <c r="CF26" s="156"/>
      <c r="CG26" s="156"/>
      <c r="CH26" s="198">
        <f>SUM(CG24:CG25)</f>
        <v>1043549.5782707998</v>
      </c>
      <c r="CI26" s="155"/>
      <c r="CJ26" s="311"/>
      <c r="CK26" s="311"/>
      <c r="CL26" s="311"/>
      <c r="CM26" s="311"/>
      <c r="CN26" s="375">
        <f t="shared" si="16"/>
        <v>14</v>
      </c>
      <c r="CO26" s="508"/>
      <c r="CP26" s="374"/>
      <c r="CQ26" s="374"/>
      <c r="CR26"/>
      <c r="CS26" s="308">
        <v>14</v>
      </c>
      <c r="CT26" s="308"/>
      <c r="CU26" s="261"/>
      <c r="CV26" s="261"/>
      <c r="CW26" s="261"/>
      <c r="CX26" s="308">
        <f t="shared" si="18"/>
        <v>14</v>
      </c>
      <c r="CY26" s="187" t="s">
        <v>153</v>
      </c>
      <c r="CZ26" s="261">
        <f>'[36]Lead E'!$D$27</f>
        <v>52293.815747347493</v>
      </c>
      <c r="DA26" s="261">
        <f>'[36]Lead E'!$E$27</f>
        <v>101997.73424324865</v>
      </c>
      <c r="DB26" s="261">
        <f>DA26-CZ26</f>
        <v>49703.918495901155</v>
      </c>
      <c r="DH26" s="308">
        <v>14</v>
      </c>
      <c r="DI26" s="1041" t="str">
        <f>+'[37]Summary-1Q 2017'!Z17</f>
        <v xml:space="preserve">FERC 355.9 - POLES AND FIXTURES - GIF                  </v>
      </c>
      <c r="DJ26" s="1052">
        <f>-'[37]Summary-1Q 2017'!Y17</f>
        <v>17718.599924450798</v>
      </c>
      <c r="DK26" s="1052"/>
      <c r="DL26" s="1053"/>
    </row>
    <row r="27" spans="1:126" s="313" customFormat="1" ht="15.75" thickBot="1">
      <c r="A27" s="9">
        <f t="shared" si="0"/>
        <v>16</v>
      </c>
      <c r="B27" s="325" t="s">
        <v>803</v>
      </c>
      <c r="E27" s="225"/>
      <c r="F27" s="9">
        <f t="shared" si="1"/>
        <v>15</v>
      </c>
      <c r="G27" s="374"/>
      <c r="H27" s="322">
        <f>ROUND(SUM(H15:H26),0)</f>
        <v>22007938139</v>
      </c>
      <c r="I27" s="322">
        <f>ROUND(SUM(I15:I26),0)</f>
        <v>22311829040</v>
      </c>
      <c r="J27" s="322">
        <f>ROUND(SUM(J15:J26),0)</f>
        <v>303890901</v>
      </c>
      <c r="K27" s="322">
        <f>SUM(K15:K26)</f>
        <v>281706865</v>
      </c>
      <c r="L27" s="405"/>
      <c r="M27" s="12">
        <f t="shared" si="2"/>
        <v>15</v>
      </c>
      <c r="N27" s="356" t="s">
        <v>269</v>
      </c>
      <c r="O27" s="176"/>
      <c r="P27" s="181"/>
      <c r="Q27" s="411">
        <f>SUM(Q14:Q26)</f>
        <v>192824371.04000002</v>
      </c>
      <c r="R27" s="12">
        <f t="shared" si="3"/>
        <v>15</v>
      </c>
      <c r="S27" s="311" t="s">
        <v>687</v>
      </c>
      <c r="T27" s="328"/>
      <c r="U27" s="555"/>
      <c r="V27"/>
      <c r="W27"/>
      <c r="X27"/>
      <c r="Y27"/>
      <c r="Z27" s="375">
        <f t="shared" si="5"/>
        <v>15</v>
      </c>
      <c r="AA27" s="118" t="s">
        <v>989</v>
      </c>
      <c r="AB27" s="528">
        <f>+'[9]Lead E'!C26</f>
        <v>1148003.003511413</v>
      </c>
      <c r="AC27" s="528">
        <f>+'[9]Lead E'!D26</f>
        <v>0</v>
      </c>
      <c r="AD27" s="530">
        <f>AC27-AB27</f>
        <v>-1148003.003511413</v>
      </c>
      <c r="AJ27" s="12">
        <f t="shared" si="19"/>
        <v>15</v>
      </c>
      <c r="AK27" s="132"/>
      <c r="AL27" s="114"/>
      <c r="AM27" s="114"/>
      <c r="AN27" s="114"/>
      <c r="AO27" s="114"/>
      <c r="AP27" s="114"/>
      <c r="AQ27" s="114"/>
      <c r="AR27" s="114"/>
      <c r="AS27" s="375">
        <f t="shared" si="7"/>
        <v>15</v>
      </c>
      <c r="AT27" s="311" t="s">
        <v>228</v>
      </c>
      <c r="AU27" s="114"/>
      <c r="AV27" s="114"/>
      <c r="AW27" s="261">
        <f>AW25</f>
        <v>-242385.96436566865</v>
      </c>
      <c r="BC27" s="311"/>
      <c r="BD27" s="311"/>
      <c r="BE27" s="311"/>
      <c r="BF27" s="311"/>
      <c r="BG27" s="12">
        <f t="shared" si="8"/>
        <v>15</v>
      </c>
      <c r="BH27" s="13"/>
      <c r="BI27" s="114"/>
      <c r="BJ27" s="280"/>
      <c r="BK27" s="9">
        <f t="shared" si="9"/>
        <v>15</v>
      </c>
      <c r="BL27" s="311" t="s">
        <v>1126</v>
      </c>
      <c r="BM27" s="114"/>
      <c r="BN27" s="307">
        <f>BN23-BN25</f>
        <v>-263384.27666666743</v>
      </c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12">
        <v>15</v>
      </c>
      <c r="BZ27" s="13" t="s">
        <v>228</v>
      </c>
      <c r="CA27" s="361"/>
      <c r="CB27" s="361"/>
      <c r="CC27" s="251">
        <f>CC25</f>
        <v>2303135.871191306</v>
      </c>
      <c r="CD27" s="375">
        <f t="shared" si="11"/>
        <v>15</v>
      </c>
      <c r="CE27" s="165"/>
      <c r="CF27" s="172"/>
      <c r="CG27" s="172"/>
      <c r="CI27" s="12"/>
      <c r="CJ27" s="311"/>
      <c r="CK27" s="311"/>
      <c r="CL27" s="311"/>
      <c r="CM27" s="311"/>
      <c r="CN27" s="375">
        <f t="shared" si="16"/>
        <v>15</v>
      </c>
      <c r="CO27" s="508" t="s">
        <v>120</v>
      </c>
      <c r="CP27" s="374"/>
      <c r="CQ27" s="374"/>
      <c r="CR27" s="271">
        <f>-CR23-CR25</f>
        <v>-552786.58200000017</v>
      </c>
      <c r="CS27" s="308">
        <v>15</v>
      </c>
      <c r="CT27" s="308" t="s">
        <v>120</v>
      </c>
      <c r="CU27" s="261"/>
      <c r="CV27" s="261"/>
      <c r="CW27" s="274">
        <f>-CW23-CW25</f>
        <v>-3087501.2730555004</v>
      </c>
      <c r="CX27" s="308">
        <f t="shared" si="18"/>
        <v>15</v>
      </c>
      <c r="CY27" s="187" t="s">
        <v>931</v>
      </c>
      <c r="CZ27" s="261">
        <f>'[36]Lead E'!$D$28</f>
        <v>-39544.098966941405</v>
      </c>
      <c r="DA27" s="261">
        <f>'[36]Lead E'!$E$28</f>
        <v>0</v>
      </c>
      <c r="DB27" s="261">
        <f>DA27-CZ27</f>
        <v>39544.098966941405</v>
      </c>
      <c r="DH27" s="308">
        <v>15</v>
      </c>
      <c r="DI27" s="1041" t="str">
        <f>+'[37]Summary-1Q 2017'!Z18</f>
        <v xml:space="preserve">FERC 356.9 - OVERHEAD CONDUCTORS AND DEVICES - GIF     </v>
      </c>
      <c r="DJ27" s="1052"/>
      <c r="DK27" s="1052">
        <f>+'[37]Summary-1Q 2017'!Y18</f>
        <v>52844.8798096221</v>
      </c>
      <c r="DL27" s="1053"/>
    </row>
    <row r="28" spans="1:126" s="313" customFormat="1" ht="15.75" thickTop="1">
      <c r="A28" s="9">
        <f t="shared" si="0"/>
        <v>17</v>
      </c>
      <c r="B28" s="680" t="s">
        <v>878</v>
      </c>
      <c r="C28" s="272"/>
      <c r="D28" s="410">
        <f>'[33]Lead E'!$D$27</f>
        <v>-7446504.8799999999</v>
      </c>
      <c r="E28" s="225"/>
      <c r="F28" s="9">
        <f t="shared" si="1"/>
        <v>16</v>
      </c>
      <c r="G28" s="374"/>
      <c r="H28" s="95"/>
      <c r="I28" s="95"/>
      <c r="J28" s="375" t="s">
        <v>282</v>
      </c>
      <c r="K28" s="374"/>
      <c r="L28" s="374"/>
      <c r="M28" s="12">
        <f t="shared" si="2"/>
        <v>16</v>
      </c>
      <c r="N28" s="311"/>
      <c r="O28" s="311"/>
      <c r="P28" s="311"/>
      <c r="Q28" s="307"/>
      <c r="R28" s="12">
        <f t="shared" si="3"/>
        <v>16</v>
      </c>
      <c r="S28" s="13" t="s">
        <v>688</v>
      </c>
      <c r="T28" s="373"/>
      <c r="U28" s="328">
        <f>SUM(U24:U27)</f>
        <v>181996914.67999989</v>
      </c>
      <c r="V28"/>
      <c r="W28"/>
      <c r="X28"/>
      <c r="Y28"/>
      <c r="Z28" s="375">
        <f t="shared" si="5"/>
        <v>16</v>
      </c>
      <c r="AA28" s="311" t="s">
        <v>990</v>
      </c>
      <c r="AB28" s="784">
        <f>SUM(AB26:AB27)</f>
        <v>2572664.0860799998</v>
      </c>
      <c r="AC28" s="784">
        <f>SUM(AC26:AC27)</f>
        <v>1820785.2132301694</v>
      </c>
      <c r="AD28" s="785">
        <f>SUM(AD26:AD27)</f>
        <v>-751878.87284983043</v>
      </c>
      <c r="AJ28" s="12">
        <f t="shared" si="19"/>
        <v>16</v>
      </c>
      <c r="AK28" s="48" t="s">
        <v>18</v>
      </c>
      <c r="AL28" s="114"/>
      <c r="AM28" s="114"/>
      <c r="AN28" s="114"/>
      <c r="AO28" s="114"/>
      <c r="AP28" s="114"/>
      <c r="AQ28" s="130">
        <v>0.35</v>
      </c>
      <c r="AR28" s="114">
        <f>ROUND(-AR26*AQ28,0)</f>
        <v>295804</v>
      </c>
      <c r="AS28" s="375">
        <f t="shared" si="7"/>
        <v>16</v>
      </c>
      <c r="AT28" s="311"/>
      <c r="AU28" s="114"/>
      <c r="AV28" s="114"/>
      <c r="AW28" s="126"/>
      <c r="BC28" s="311"/>
      <c r="BD28" s="311"/>
      <c r="BE28" s="311"/>
      <c r="BF28" s="311"/>
      <c r="BG28" s="12">
        <f t="shared" si="8"/>
        <v>16</v>
      </c>
      <c r="BH28" s="13" t="s">
        <v>61</v>
      </c>
      <c r="BI28" s="114"/>
      <c r="BJ28" s="278">
        <f>+BJ19+BJ25</f>
        <v>407545.487356</v>
      </c>
      <c r="BK28" s="9">
        <f t="shared" si="9"/>
        <v>16</v>
      </c>
      <c r="BL28" s="311"/>
      <c r="BM28" s="114"/>
      <c r="BN28" s="128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12">
        <v>16</v>
      </c>
      <c r="BZ28" s="13" t="s">
        <v>29</v>
      </c>
      <c r="CA28" s="251"/>
      <c r="CB28" s="251"/>
      <c r="CC28" s="251">
        <f>-CC27*0.35</f>
        <v>-806097.55491695704</v>
      </c>
      <c r="CD28" s="375">
        <f t="shared" si="11"/>
        <v>16</v>
      </c>
      <c r="CE28" s="242" t="s">
        <v>94</v>
      </c>
      <c r="CF28" s="235"/>
      <c r="CG28" s="235"/>
      <c r="CI28" s="12"/>
      <c r="CJ28" s="311"/>
      <c r="CK28" s="311"/>
      <c r="CL28" s="311"/>
      <c r="CM28" s="311"/>
      <c r="CN28" s="375"/>
      <c r="CO28" s="374"/>
      <c r="CP28" s="374"/>
      <c r="CQ28" s="374"/>
      <c r="CR28" s="374"/>
      <c r="CT28" s="308"/>
      <c r="CX28" s="308">
        <f t="shared" si="18"/>
        <v>16</v>
      </c>
      <c r="CY28" s="187" t="s">
        <v>895</v>
      </c>
      <c r="CZ28" s="739">
        <f>'[36]Lead E'!$D$29</f>
        <v>393261.64299999998</v>
      </c>
      <c r="DA28" s="739">
        <f>'[36]Lead E'!$E$29</f>
        <v>0</v>
      </c>
      <c r="DB28" s="739">
        <f>DA28-CZ28</f>
        <v>-393261.64299999998</v>
      </c>
      <c r="DH28" s="308">
        <v>16</v>
      </c>
      <c r="DI28" s="1041" t="s">
        <v>1263</v>
      </c>
      <c r="DJ28" s="1055">
        <f>-'[37]Lead E'!$C$29</f>
        <v>28632185.490929328</v>
      </c>
      <c r="DK28" s="681"/>
      <c r="DL28" s="1056"/>
    </row>
    <row r="29" spans="1:126" s="313" customFormat="1" ht="17.25" customHeight="1" thickBot="1">
      <c r="A29" s="9">
        <f t="shared" si="0"/>
        <v>18</v>
      </c>
      <c r="B29" s="290" t="s">
        <v>550</v>
      </c>
      <c r="C29" s="272"/>
      <c r="D29" s="410">
        <f>'[33]Lead E'!$D$28</f>
        <v>11994134.030000001</v>
      </c>
      <c r="E29" s="225"/>
      <c r="F29" s="9">
        <f t="shared" si="1"/>
        <v>17</v>
      </c>
      <c r="G29" s="374" t="s">
        <v>177</v>
      </c>
      <c r="H29" s="374" t="s">
        <v>212</v>
      </c>
      <c r="I29" s="234"/>
      <c r="J29" s="285">
        <f>'[34]Lead E'!$E$26</f>
        <v>242969649.42949438</v>
      </c>
      <c r="K29" s="780">
        <f>'[34]Lead E'!$F$26</f>
        <v>25306989</v>
      </c>
      <c r="L29" s="374"/>
      <c r="M29" s="12">
        <f t="shared" si="2"/>
        <v>17</v>
      </c>
      <c r="N29" s="193" t="s">
        <v>270</v>
      </c>
      <c r="O29" s="176"/>
      <c r="P29" s="191"/>
      <c r="Q29" s="307"/>
      <c r="R29" s="12">
        <f t="shared" si="3"/>
        <v>17</v>
      </c>
      <c r="S29" s="311" t="s">
        <v>282</v>
      </c>
      <c r="T29" s="33"/>
      <c r="U29" s="121" t="s">
        <v>282</v>
      </c>
      <c r="V29"/>
      <c r="W29"/>
      <c r="X29"/>
      <c r="Y29"/>
      <c r="Z29" s="375">
        <f t="shared" si="5"/>
        <v>17</v>
      </c>
      <c r="AA29" s="118"/>
      <c r="AB29" s="118"/>
      <c r="AC29" s="118"/>
      <c r="AD29" s="118"/>
      <c r="AJ29" s="12">
        <f t="shared" si="19"/>
        <v>17</v>
      </c>
      <c r="AK29" s="48" t="s">
        <v>120</v>
      </c>
      <c r="AL29" s="114"/>
      <c r="AM29" s="114"/>
      <c r="AN29" s="114"/>
      <c r="AO29" s="114"/>
      <c r="AP29" s="114"/>
      <c r="AQ29" s="114"/>
      <c r="AR29" s="274">
        <f>-AR26-AR28</f>
        <v>549350</v>
      </c>
      <c r="AS29" s="375">
        <f t="shared" si="7"/>
        <v>17</v>
      </c>
      <c r="AT29" s="13" t="s">
        <v>13</v>
      </c>
      <c r="AU29" s="311"/>
      <c r="AV29" s="130">
        <f>k_FITrate</f>
        <v>0.35</v>
      </c>
      <c r="AW29" s="55">
        <f>-AW27*AV29</f>
        <v>84835.087527984026</v>
      </c>
      <c r="BC29" s="12"/>
      <c r="BD29" s="311"/>
      <c r="BE29" s="311"/>
      <c r="BF29" s="311"/>
      <c r="BG29" s="12">
        <f t="shared" si="8"/>
        <v>17</v>
      </c>
      <c r="BH29" s="167"/>
      <c r="BI29" s="114"/>
      <c r="BJ29" s="283"/>
      <c r="BK29" s="9">
        <f t="shared" si="9"/>
        <v>17</v>
      </c>
      <c r="BL29" s="120" t="s">
        <v>29</v>
      </c>
      <c r="BM29" s="114"/>
      <c r="BN29" s="124">
        <f>-BN27*0.35</f>
        <v>92184.4968333336</v>
      </c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12">
        <v>17</v>
      </c>
      <c r="BZ29" s="13" t="s">
        <v>120</v>
      </c>
      <c r="CA29" s="307"/>
      <c r="CB29" s="307"/>
      <c r="CC29" s="504">
        <f>-CC27-CC28</f>
        <v>-1497038.3162743491</v>
      </c>
      <c r="CD29" s="375">
        <f t="shared" si="11"/>
        <v>17</v>
      </c>
      <c r="CE29" s="912" t="s">
        <v>55</v>
      </c>
      <c r="CF29" s="176"/>
      <c r="CG29" s="176"/>
      <c r="CH29" s="198">
        <f>+CH16+CH21+CH26</f>
        <v>11529905.175375734</v>
      </c>
      <c r="CI29" s="12"/>
      <c r="CJ29" s="311"/>
      <c r="CK29" s="311"/>
      <c r="CL29" s="311"/>
      <c r="CM29" s="311"/>
      <c r="CN29" s="375"/>
      <c r="CO29" s="374"/>
      <c r="CP29" s="374"/>
      <c r="CQ29" s="374"/>
      <c r="CR29" s="374"/>
      <c r="CX29" s="308">
        <f t="shared" si="18"/>
        <v>17</v>
      </c>
      <c r="CY29" s="187" t="s">
        <v>282</v>
      </c>
      <c r="CZ29" s="529"/>
      <c r="DA29" s="529"/>
      <c r="DB29" s="529"/>
      <c r="DH29" s="308">
        <v>21</v>
      </c>
      <c r="DI29" s="111"/>
      <c r="DJ29" s="307"/>
      <c r="DK29" s="1053"/>
      <c r="DL29" s="289"/>
      <c r="DS29" s="286"/>
      <c r="DT29" s="286"/>
      <c r="DU29" s="286"/>
      <c r="DV29" s="286"/>
    </row>
    <row r="30" spans="1:126" s="313" customFormat="1" ht="15.75" thickTop="1" thickBot="1">
      <c r="A30" s="9">
        <f t="shared" si="0"/>
        <v>19</v>
      </c>
      <c r="B30" s="290" t="s">
        <v>883</v>
      </c>
      <c r="C30" s="135" t="s">
        <v>282</v>
      </c>
      <c r="D30" s="410">
        <f>'[33]Lead E'!$D$29</f>
        <v>-32491234.77</v>
      </c>
      <c r="E30" s="307"/>
      <c r="F30" s="9">
        <f t="shared" si="1"/>
        <v>18</v>
      </c>
      <c r="G30" s="375"/>
      <c r="H30" s="374" t="s">
        <v>213</v>
      </c>
      <c r="I30" s="234"/>
      <c r="J30" s="285">
        <f>'[34]Lead E'!$E$27</f>
        <v>22548468.167257171</v>
      </c>
      <c r="K30" s="285">
        <f>'[34]Lead E'!$F$27</f>
        <v>2013368</v>
      </c>
      <c r="L30" s="374"/>
      <c r="M30" s="12">
        <f t="shared" si="2"/>
        <v>18</v>
      </c>
      <c r="N30" s="311" t="s">
        <v>283</v>
      </c>
      <c r="O30" s="311"/>
      <c r="P30" s="191">
        <f>'BGM-3 (3) Param'!$M$13</f>
        <v>7.1570000000000002E-3</v>
      </c>
      <c r="Q30" s="307">
        <f>-SUM(Q14+Q15+Q16+Q17+Q18+Q19+Q20+Q24+Q26)*P30</f>
        <v>-1378053.9992858302</v>
      </c>
      <c r="R30" s="12">
        <f t="shared" si="3"/>
        <v>18</v>
      </c>
      <c r="S30" s="13" t="s">
        <v>23</v>
      </c>
      <c r="T30" s="13"/>
      <c r="U30" s="126">
        <f>U16-U24</f>
        <v>144836215.65657258</v>
      </c>
      <c r="V30"/>
      <c r="W30"/>
      <c r="X30"/>
      <c r="Y30"/>
      <c r="Z30" s="375">
        <f t="shared" si="5"/>
        <v>18</v>
      </c>
      <c r="AA30" s="577" t="s">
        <v>991</v>
      </c>
      <c r="AB30" s="528">
        <f>'[9]Lead E'!$C$30</f>
        <v>846819.31998199993</v>
      </c>
      <c r="AC30" s="528">
        <f>'[9]Lead E'!$D$30</f>
        <v>539848.88443131489</v>
      </c>
      <c r="AD30" s="289">
        <f>AC30-AB30</f>
        <v>-306970.43555068504</v>
      </c>
      <c r="AS30" s="375">
        <f t="shared" si="7"/>
        <v>18</v>
      </c>
      <c r="AT30" s="13" t="s">
        <v>120</v>
      </c>
      <c r="AU30" s="13"/>
      <c r="AV30" s="311"/>
      <c r="AW30" s="274">
        <f>-AW27-AW29</f>
        <v>157550.87683768463</v>
      </c>
      <c r="BC30" s="12"/>
      <c r="BD30" s="311"/>
      <c r="BE30" s="311"/>
      <c r="BF30" s="311"/>
      <c r="BG30" s="12">
        <f t="shared" si="8"/>
        <v>18</v>
      </c>
      <c r="BH30" s="167" t="s">
        <v>6</v>
      </c>
      <c r="BI30" s="281">
        <v>0.35</v>
      </c>
      <c r="BJ30" s="218">
        <f>-BJ28*BI30</f>
        <v>-142640.92057459999</v>
      </c>
      <c r="BK30" s="9">
        <f t="shared" si="9"/>
        <v>18</v>
      </c>
      <c r="BL30" s="118"/>
      <c r="BM30" s="118"/>
      <c r="BN30" s="118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74"/>
      <c r="CB30" s="374"/>
      <c r="CC30" s="374"/>
      <c r="CD30" s="375">
        <f t="shared" si="11"/>
        <v>18</v>
      </c>
      <c r="CE30" s="233" t="s">
        <v>142</v>
      </c>
      <c r="CF30" s="62">
        <f>'[29]Lead E'!$C$29</f>
        <v>0.54659120593235488</v>
      </c>
      <c r="CG30" s="62"/>
      <c r="CH30" s="234">
        <f>+CH29*CF30</f>
        <v>6302144.7740943218</v>
      </c>
      <c r="CI30" s="311"/>
      <c r="CJ30" s="311"/>
      <c r="CK30" s="311"/>
      <c r="CL30" s="311"/>
      <c r="CM30" s="311"/>
      <c r="CN30"/>
      <c r="CO30"/>
      <c r="CP30"/>
      <c r="CQ30"/>
      <c r="CR30"/>
      <c r="CX30" s="286"/>
      <c r="CY30" s="640" t="s">
        <v>289</v>
      </c>
      <c r="CZ30" s="916">
        <f>SUM(CZ25:CZ29)</f>
        <v>769761.48789010383</v>
      </c>
      <c r="DA30" s="916">
        <f>SUM(DA25:DA29)</f>
        <v>101997.73424324865</v>
      </c>
      <c r="DB30" s="916">
        <f>SUM(DB25:DB29)</f>
        <v>-667763.75364685524</v>
      </c>
      <c r="DH30" s="308">
        <v>22</v>
      </c>
      <c r="DI30" s="1057" t="s">
        <v>1205</v>
      </c>
      <c r="DJ30" s="1058"/>
      <c r="DK30" s="1059"/>
      <c r="DL30" s="1060">
        <f>-DJ14</f>
        <v>-101680983.17993739</v>
      </c>
      <c r="DS30" s="286"/>
      <c r="DT30" s="286"/>
      <c r="DU30" s="286"/>
      <c r="DV30" s="286"/>
    </row>
    <row r="31" spans="1:126" s="313" customFormat="1" ht="16.5" thickTop="1" thickBot="1">
      <c r="A31" s="9">
        <f t="shared" si="0"/>
        <v>20</v>
      </c>
      <c r="B31" s="290" t="s">
        <v>884</v>
      </c>
      <c r="D31" s="261">
        <f>'[33]Lead E'!$D$30</f>
        <v>17718442.649999999</v>
      </c>
      <c r="E31" s="340"/>
      <c r="F31" s="9">
        <f t="shared" si="1"/>
        <v>19</v>
      </c>
      <c r="G31" s="374"/>
      <c r="H31" s="377" t="s">
        <v>214</v>
      </c>
      <c r="I31" s="234"/>
      <c r="J31" s="285">
        <f>'[34]Lead E'!$E$28</f>
        <v>11247064.07998576</v>
      </c>
      <c r="K31" s="285">
        <f>'[34]Lead E'!$F$28</f>
        <v>720622</v>
      </c>
      <c r="L31" s="374"/>
      <c r="M31" s="12">
        <f t="shared" si="2"/>
        <v>19</v>
      </c>
      <c r="N31" s="311" t="s">
        <v>119</v>
      </c>
      <c r="O31" s="311"/>
      <c r="P31" s="192">
        <f>'BGM-3 (3) Param'!$M$14</f>
        <v>2E-3</v>
      </c>
      <c r="Q31" s="307">
        <f>-SUM(Q14+Q15+Q16+Q17+Q18+Q19+Q20+Q24+Q26)*P31</f>
        <v>-385092.63638000004</v>
      </c>
      <c r="R31" s="12">
        <f t="shared" si="3"/>
        <v>19</v>
      </c>
      <c r="S31" s="13" t="s">
        <v>689</v>
      </c>
      <c r="T31" s="311"/>
      <c r="U31" s="245">
        <f>U18+U19+U20-U25-U26-U27</f>
        <v>-117812976.8499999</v>
      </c>
      <c r="V31"/>
      <c r="W31"/>
      <c r="X31"/>
      <c r="Y31"/>
      <c r="Z31" s="375">
        <f t="shared" si="5"/>
        <v>19</v>
      </c>
      <c r="AA31" s="234"/>
      <c r="AB31" s="782"/>
      <c r="AC31" s="782"/>
      <c r="AD31" s="782"/>
      <c r="AS31" s="375"/>
      <c r="BC31" s="311"/>
      <c r="BD31" s="311"/>
      <c r="BE31" s="311"/>
      <c r="BF31" s="311"/>
      <c r="BG31" s="12">
        <f t="shared" si="8"/>
        <v>19</v>
      </c>
      <c r="BH31" s="167" t="s">
        <v>15</v>
      </c>
      <c r="BI31" s="115"/>
      <c r="BJ31" s="274">
        <f>-BJ28-BJ30</f>
        <v>-264904.5667814</v>
      </c>
      <c r="BK31" s="9">
        <f t="shared" si="9"/>
        <v>19</v>
      </c>
      <c r="BL31" s="118" t="s">
        <v>120</v>
      </c>
      <c r="BM31" s="118"/>
      <c r="BN31" s="271">
        <f>-BN27-BN29</f>
        <v>171199.77983333383</v>
      </c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155"/>
      <c r="BZ31" s="311"/>
      <c r="CA31" s="374"/>
      <c r="CB31" s="374"/>
      <c r="CC31" s="287"/>
      <c r="CD31" s="375">
        <f t="shared" si="11"/>
        <v>19</v>
      </c>
      <c r="CE31" s="155" t="s">
        <v>969</v>
      </c>
      <c r="CF31" s="14"/>
      <c r="CG31" s="14"/>
      <c r="CH31" s="134">
        <f>(+CG14+CG19+CG24)*CF30</f>
        <v>6138235.1517870678</v>
      </c>
      <c r="CI31" s="311"/>
      <c r="CJ31" s="311"/>
      <c r="CK31" s="311"/>
      <c r="CL31" s="311"/>
      <c r="CM31" s="311"/>
      <c r="CN31"/>
      <c r="CO31"/>
      <c r="CP31"/>
      <c r="CQ31"/>
      <c r="CR31"/>
      <c r="CX31" s="286"/>
      <c r="DH31" s="308">
        <v>23</v>
      </c>
      <c r="DI31" s="357"/>
      <c r="DJ31" s="307"/>
      <c r="DK31" s="1053"/>
      <c r="DL31" s="1053"/>
    </row>
    <row r="32" spans="1:126" s="313" customFormat="1" ht="14.25" thickTop="1" thickBot="1">
      <c r="A32" s="9">
        <f t="shared" si="0"/>
        <v>21</v>
      </c>
      <c r="B32" s="290" t="s">
        <v>737</v>
      </c>
      <c r="C32" s="135"/>
      <c r="D32" s="339">
        <f>SUM(D28:D31)</f>
        <v>-10225162.969999999</v>
      </c>
      <c r="F32" s="9">
        <f t="shared" si="1"/>
        <v>20</v>
      </c>
      <c r="G32" s="374"/>
      <c r="H32" s="374" t="s">
        <v>215</v>
      </c>
      <c r="I32" s="234"/>
      <c r="J32" s="285">
        <f>'[34]Lead E'!$E$29</f>
        <v>-231987.67610922537</v>
      </c>
      <c r="K32" s="285">
        <f>'[34]Lead E'!$F$29</f>
        <v>-13163</v>
      </c>
      <c r="L32" s="374"/>
      <c r="M32" s="12">
        <f t="shared" si="2"/>
        <v>20</v>
      </c>
      <c r="N32" s="311" t="s">
        <v>235</v>
      </c>
      <c r="O32" s="311"/>
      <c r="P32" s="312">
        <f>'BGM-3 (3) Param'!$M$15</f>
        <v>3.8456999999999998E-2</v>
      </c>
      <c r="Q32" s="307">
        <f>-SUM(Q14+Q15+Q16+Q17+Q18+Q19+Q20+Q24+Q26)*P32</f>
        <v>-7404753.7586328303</v>
      </c>
      <c r="R32" s="12">
        <f t="shared" si="3"/>
        <v>20</v>
      </c>
      <c r="S32" s="13" t="s">
        <v>260</v>
      </c>
      <c r="T32" s="13"/>
      <c r="U32" s="274">
        <f>-SUM(U30:U31)</f>
        <v>-27023238.806572676</v>
      </c>
      <c r="V32"/>
      <c r="W32"/>
      <c r="X32"/>
      <c r="Y32"/>
      <c r="Z32" s="375">
        <f t="shared" si="5"/>
        <v>20</v>
      </c>
      <c r="AA32" s="234"/>
      <c r="AB32" s="234"/>
      <c r="AC32" s="234"/>
      <c r="AD32" s="234"/>
      <c r="AS32" s="375"/>
      <c r="BC32" s="311"/>
      <c r="BD32" s="311"/>
      <c r="BE32" s="311"/>
      <c r="BF32" s="311"/>
      <c r="BG32" s="12"/>
      <c r="BH32" s="311"/>
      <c r="BI32" s="311"/>
      <c r="BJ32" s="311"/>
      <c r="BK32" s="311"/>
      <c r="BL32" s="120"/>
      <c r="BM32" s="120"/>
      <c r="BN32" s="120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/>
      <c r="BZ32"/>
      <c r="CA32"/>
      <c r="CB32"/>
      <c r="CC32"/>
      <c r="CD32" s="375">
        <f t="shared" si="11"/>
        <v>20</v>
      </c>
      <c r="CE32" s="157" t="s">
        <v>22</v>
      </c>
      <c r="CF32" s="236"/>
      <c r="CG32" s="236"/>
      <c r="CH32" s="125">
        <f>CH30-CH31</f>
        <v>163909.622307254</v>
      </c>
      <c r="CI32" s="311"/>
      <c r="CJ32" s="311"/>
      <c r="CK32" s="311"/>
      <c r="CL32" s="311"/>
      <c r="CM32" s="311"/>
      <c r="CN32"/>
      <c r="CO32"/>
      <c r="CP32"/>
      <c r="CQ32"/>
      <c r="CR32"/>
      <c r="CS32"/>
      <c r="CX32" s="286"/>
      <c r="CY32" s="640" t="s">
        <v>13</v>
      </c>
      <c r="DA32" s="550">
        <v>0.35</v>
      </c>
      <c r="DB32" s="261">
        <f>-DB30*DA32</f>
        <v>233717.31377639933</v>
      </c>
      <c r="DH32" s="308">
        <v>24</v>
      </c>
      <c r="DI32" s="111" t="s">
        <v>1224</v>
      </c>
      <c r="DJ32" s="289">
        <f>-'[37]Exh. BGM-6'!$P$8*1000</f>
        <v>18066901.721769273</v>
      </c>
      <c r="DK32" s="289"/>
      <c r="DL32" s="319"/>
    </row>
    <row r="33" spans="1:116" s="313" customFormat="1" ht="13.5" thickTop="1">
      <c r="A33" s="9">
        <f t="shared" si="0"/>
        <v>22</v>
      </c>
      <c r="B33" s="407" t="s">
        <v>307</v>
      </c>
      <c r="C33" s="135"/>
      <c r="D33" s="340"/>
      <c r="E33" s="906">
        <f>+D32+D23+D25</f>
        <v>-28861313.910117842</v>
      </c>
      <c r="F33" s="9">
        <f t="shared" si="1"/>
        <v>21</v>
      </c>
      <c r="G33" s="374"/>
      <c r="H33" s="377" t="s">
        <v>216</v>
      </c>
      <c r="I33" s="234"/>
      <c r="J33" s="285">
        <f>'[34]Lead E'!$E$30</f>
        <v>-158746.83383420159</v>
      </c>
      <c r="K33" s="285">
        <f>'[34]Lead E'!$F$30</f>
        <v>-8444</v>
      </c>
      <c r="L33" s="374"/>
      <c r="M33" s="12">
        <f t="shared" si="2"/>
        <v>21</v>
      </c>
      <c r="N33" s="311" t="s">
        <v>94</v>
      </c>
      <c r="O33" s="311"/>
      <c r="P33" s="181"/>
      <c r="Q33" s="411">
        <f>SUM(Q30:Q32)</f>
        <v>-9167900.3942986615</v>
      </c>
      <c r="R33" s="12"/>
      <c r="S33" s="13"/>
      <c r="T33" s="14"/>
      <c r="U33" s="311"/>
      <c r="V33"/>
      <c r="W33"/>
      <c r="X33"/>
      <c r="Y33"/>
      <c r="Z33" s="375">
        <f t="shared" si="5"/>
        <v>21</v>
      </c>
      <c r="AA33" s="118" t="s">
        <v>22</v>
      </c>
      <c r="AB33" s="118"/>
      <c r="AC33" s="118"/>
      <c r="AD33" s="528">
        <f>AD23+AD28+AD30</f>
        <v>31396265.690069336</v>
      </c>
      <c r="AS33" s="13"/>
      <c r="BC33" s="311"/>
      <c r="BD33" s="311"/>
      <c r="BE33" s="311"/>
      <c r="BF33" s="311"/>
      <c r="BG33" s="12"/>
      <c r="BH33" s="114"/>
      <c r="BI33" s="114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/>
      <c r="BZ33"/>
      <c r="CA33"/>
      <c r="CB33"/>
      <c r="CC33"/>
      <c r="CD33" s="375">
        <f t="shared" si="11"/>
        <v>21</v>
      </c>
      <c r="CE33" s="165"/>
      <c r="CF33" s="176"/>
      <c r="CG33" s="176"/>
      <c r="CH33" s="234"/>
      <c r="CI33" s="311"/>
      <c r="CJ33" s="311"/>
      <c r="CK33" s="311"/>
      <c r="CL33" s="311"/>
      <c r="CM33" s="311"/>
      <c r="CN33"/>
      <c r="CO33"/>
      <c r="CP33"/>
      <c r="CQ33"/>
      <c r="CR33"/>
      <c r="CS33"/>
      <c r="CX33" s="286"/>
      <c r="DB33" s="529"/>
      <c r="DH33" s="308">
        <v>25</v>
      </c>
      <c r="DI33" s="111" t="s">
        <v>1206</v>
      </c>
      <c r="DJ33" s="289"/>
      <c r="DK33" s="289">
        <f>+DJ32</f>
        <v>18066901.721769273</v>
      </c>
      <c r="DL33" s="319"/>
    </row>
    <row r="34" spans="1:116" s="313" customFormat="1" ht="13.5" thickBot="1">
      <c r="A34" s="9">
        <f t="shared" si="0"/>
        <v>23</v>
      </c>
      <c r="B34" s="311" t="s">
        <v>137</v>
      </c>
      <c r="C34" s="135"/>
      <c r="D34" s="311"/>
      <c r="E34" s="340"/>
      <c r="F34" s="9">
        <f t="shared" si="1"/>
        <v>22</v>
      </c>
      <c r="G34" s="374"/>
      <c r="H34" s="377" t="s">
        <v>217</v>
      </c>
      <c r="I34" s="234"/>
      <c r="J34" s="285">
        <f>'[34]Lead E'!$E$31</f>
        <v>957232.70373482071</v>
      </c>
      <c r="K34" s="285">
        <f>'[34]Lead E'!$F$31</f>
        <v>52022</v>
      </c>
      <c r="L34" s="374"/>
      <c r="M34" s="12">
        <f t="shared" si="2"/>
        <v>22</v>
      </c>
      <c r="N34" s="311"/>
      <c r="O34" s="311"/>
      <c r="P34" s="181"/>
      <c r="Q34" s="307"/>
      <c r="R34" s="12"/>
      <c r="S34" s="311"/>
      <c r="T34" s="311"/>
      <c r="U34" s="373"/>
      <c r="V34"/>
      <c r="W34"/>
      <c r="X34"/>
      <c r="Y34"/>
      <c r="Z34" s="375">
        <f t="shared" si="5"/>
        <v>22</v>
      </c>
      <c r="AA34" s="234" t="s">
        <v>18</v>
      </c>
      <c r="AB34" s="234"/>
      <c r="AC34" s="234"/>
      <c r="AD34" s="307">
        <f>-AD33*0.35</f>
        <v>-10988692.991524268</v>
      </c>
      <c r="AS34" s="12"/>
      <c r="BC34" s="311"/>
      <c r="BD34" s="311"/>
      <c r="BE34" s="311"/>
      <c r="BF34" s="311"/>
      <c r="BG34" s="12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/>
      <c r="BZ34"/>
      <c r="CA34"/>
      <c r="CB34"/>
      <c r="CC34"/>
      <c r="CD34" s="375">
        <f t="shared" si="11"/>
        <v>22</v>
      </c>
      <c r="CE34" s="155" t="s">
        <v>13</v>
      </c>
      <c r="CF34" s="14">
        <f>k_FITrate</f>
        <v>0.35</v>
      </c>
      <c r="CG34" s="14"/>
      <c r="CH34" s="336">
        <f>ROUND(-CH32*CF34,0)</f>
        <v>-57368</v>
      </c>
      <c r="CI34" s="311"/>
      <c r="CJ34" s="311"/>
      <c r="CK34" s="311"/>
      <c r="CL34" s="311"/>
      <c r="CM34" s="311"/>
      <c r="CN34"/>
      <c r="CO34"/>
      <c r="CP34"/>
      <c r="CQ34"/>
      <c r="CR34"/>
      <c r="CS34"/>
      <c r="CX34" s="286"/>
      <c r="CY34" s="640" t="s">
        <v>120</v>
      </c>
      <c r="DB34" s="616">
        <f>-DB30-DB32</f>
        <v>434046.43987045588</v>
      </c>
      <c r="DH34" s="308">
        <v>26</v>
      </c>
      <c r="DI34" s="1041" t="s">
        <v>1204</v>
      </c>
      <c r="DJ34" s="319"/>
      <c r="DK34" s="319"/>
      <c r="DL34" s="319"/>
    </row>
    <row r="35" spans="1:116" s="313" customFormat="1" ht="14.25" thickTop="1" thickBot="1">
      <c r="A35" s="9">
        <f t="shared" si="0"/>
        <v>24</v>
      </c>
      <c r="B35" s="250" t="s">
        <v>551</v>
      </c>
      <c r="C35" s="311"/>
      <c r="D35" s="198">
        <f>'[33]Lead E'!$D$36</f>
        <v>-22899640</v>
      </c>
      <c r="E35" s="311"/>
      <c r="F35" s="9">
        <f t="shared" si="1"/>
        <v>23</v>
      </c>
      <c r="G35" s="374"/>
      <c r="H35" s="374" t="s">
        <v>218</v>
      </c>
      <c r="I35" s="234"/>
      <c r="J35" s="285">
        <f>'[34]Lead E'!$E$32</f>
        <v>3836119.7974334164</v>
      </c>
      <c r="K35" s="285">
        <f>'[34]Lead E'!$F$32</f>
        <v>214416</v>
      </c>
      <c r="L35" s="374"/>
      <c r="M35" s="12">
        <f t="shared" si="2"/>
        <v>23</v>
      </c>
      <c r="N35" s="113" t="s">
        <v>271</v>
      </c>
      <c r="O35" s="311"/>
      <c r="P35" s="181"/>
      <c r="Q35" s="307"/>
      <c r="R35" s="12"/>
      <c r="S35"/>
      <c r="T35"/>
      <c r="U35"/>
      <c r="V35"/>
      <c r="W35"/>
      <c r="X35"/>
      <c r="Y35"/>
      <c r="Z35" s="375">
        <f t="shared" si="5"/>
        <v>23</v>
      </c>
      <c r="AA35" s="118" t="s">
        <v>120</v>
      </c>
      <c r="AB35" s="118"/>
      <c r="AC35" s="118"/>
      <c r="AD35" s="789">
        <f>-AD33-AD34</f>
        <v>-20407572.698545069</v>
      </c>
      <c r="AS35" s="12"/>
      <c r="BC35" s="311"/>
      <c r="BD35" s="311"/>
      <c r="BE35" s="311"/>
      <c r="BF35" s="311"/>
      <c r="BG35" s="12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/>
      <c r="BZ35"/>
      <c r="CA35"/>
      <c r="CB35"/>
      <c r="CC35"/>
      <c r="CD35" s="375">
        <f t="shared" si="11"/>
        <v>23</v>
      </c>
      <c r="CE35" s="155" t="s">
        <v>120</v>
      </c>
      <c r="CF35" s="176"/>
      <c r="CG35" s="176"/>
      <c r="CH35" s="337">
        <f>-CH32-CH34</f>
        <v>-106541.622307254</v>
      </c>
      <c r="CI35" s="311"/>
      <c r="CJ35" s="311"/>
      <c r="CK35" s="311"/>
      <c r="CL35" s="311"/>
      <c r="CM35" s="311"/>
      <c r="CN35"/>
      <c r="CO35"/>
      <c r="CP35"/>
      <c r="CQ35"/>
      <c r="CR35"/>
      <c r="CS35"/>
      <c r="CX35" s="286"/>
      <c r="DH35" s="308">
        <v>27</v>
      </c>
      <c r="DJ35" s="319"/>
      <c r="DK35" s="319"/>
      <c r="DL35" s="319"/>
    </row>
    <row r="36" spans="1:116" s="313" customFormat="1" ht="15" thickTop="1">
      <c r="A36" s="9">
        <f t="shared" si="0"/>
        <v>25</v>
      </c>
      <c r="B36" s="250" t="s">
        <v>1114</v>
      </c>
      <c r="D36" s="198"/>
      <c r="E36" s="307"/>
      <c r="F36" s="9">
        <f t="shared" si="1"/>
        <v>24</v>
      </c>
      <c r="G36" s="374"/>
      <c r="H36" s="377" t="s">
        <v>219</v>
      </c>
      <c r="I36" s="234"/>
      <c r="J36" s="285">
        <f>'[34]Lead E'!$E$33</f>
        <v>139730.50241881609</v>
      </c>
      <c r="K36" s="285">
        <f>'[34]Lead E'!$F$33</f>
        <v>7914</v>
      </c>
      <c r="L36" s="374"/>
      <c r="M36" s="12">
        <f t="shared" si="2"/>
        <v>24</v>
      </c>
      <c r="N36" s="356" t="s">
        <v>468</v>
      </c>
      <c r="O36" s="311"/>
      <c r="P36" s="181"/>
      <c r="Q36" s="406">
        <f>'[25]Lead E'!$E$31</f>
        <v>-97540765.159999996</v>
      </c>
      <c r="R36"/>
      <c r="S36"/>
      <c r="T36"/>
      <c r="U36"/>
      <c r="V36"/>
      <c r="W36"/>
      <c r="X36"/>
      <c r="Y36"/>
      <c r="Z36" s="375">
        <f t="shared" si="5"/>
        <v>24</v>
      </c>
      <c r="AA36" s="118"/>
      <c r="AB36" s="118"/>
      <c r="AC36" s="118"/>
      <c r="AD36" s="118"/>
      <c r="AS36" s="12"/>
      <c r="BC36" s="311"/>
      <c r="BD36" s="311"/>
      <c r="BE36" s="311"/>
      <c r="BF36" s="311"/>
      <c r="BG36" s="12"/>
      <c r="BH36" s="114"/>
      <c r="BI36" s="114"/>
      <c r="BJ36" s="114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/>
      <c r="BZ36"/>
      <c r="CA36"/>
      <c r="CB36"/>
      <c r="CC36"/>
      <c r="CD36" s="311"/>
      <c r="CE36" s="311"/>
      <c r="CF36" s="311"/>
      <c r="CG36" s="311"/>
      <c r="CH36" s="311"/>
      <c r="CI36" s="311"/>
      <c r="CJ36" s="311"/>
      <c r="CK36" s="311"/>
      <c r="CL36" s="311"/>
      <c r="CM36" s="311"/>
      <c r="CN36"/>
      <c r="CO36"/>
      <c r="CP36"/>
      <c r="CQ36"/>
      <c r="CR36"/>
      <c r="CS36"/>
      <c r="CX36" s="286"/>
      <c r="DH36" s="308">
        <v>28</v>
      </c>
      <c r="DI36" s="1057" t="s">
        <v>1264</v>
      </c>
      <c r="DJ36" s="1061"/>
      <c r="DK36" s="1059"/>
      <c r="DL36" s="1060">
        <f>+DK33</f>
        <v>18066901.721769273</v>
      </c>
    </row>
    <row r="37" spans="1:116" s="313" customFormat="1" ht="15">
      <c r="A37" s="9">
        <f t="shared" si="0"/>
        <v>26</v>
      </c>
      <c r="B37" s="250" t="s">
        <v>1113</v>
      </c>
      <c r="C37" s="311"/>
      <c r="D37" s="198">
        <f>'[33]Lead E'!$D$37</f>
        <v>40241934.120000005</v>
      </c>
      <c r="F37" s="9">
        <f t="shared" si="1"/>
        <v>25</v>
      </c>
      <c r="G37" s="374"/>
      <c r="H37" s="377" t="s">
        <v>880</v>
      </c>
      <c r="I37" s="234"/>
      <c r="J37" s="285">
        <f>'[34]Lead E'!$E$34</f>
        <v>283772.54288090428</v>
      </c>
      <c r="K37" s="285">
        <f>'[34]Lead E'!$F$34</f>
        <v>16073</v>
      </c>
      <c r="L37" s="374"/>
      <c r="M37" s="12">
        <f t="shared" si="2"/>
        <v>25</v>
      </c>
      <c r="N37" s="357" t="s">
        <v>469</v>
      </c>
      <c r="O37" s="311"/>
      <c r="P37" s="181"/>
      <c r="Q37" s="406">
        <f>'[25]Lead E'!$E$32</f>
        <v>-55961766.059999995</v>
      </c>
      <c r="R37"/>
      <c r="S37"/>
      <c r="T37"/>
      <c r="U37"/>
      <c r="V37"/>
      <c r="W37"/>
      <c r="X37"/>
      <c r="Y37"/>
      <c r="Z37" s="375">
        <f t="shared" si="5"/>
        <v>25</v>
      </c>
      <c r="AA37" s="756"/>
      <c r="AB37" s="118"/>
      <c r="AC37" s="118"/>
      <c r="AD37" s="118"/>
      <c r="AS37" s="12"/>
      <c r="BC37" s="311"/>
      <c r="BD37" s="311"/>
      <c r="BE37" s="311"/>
      <c r="BF37" s="311"/>
      <c r="BG37" s="12"/>
      <c r="BH37" s="114"/>
      <c r="BI37" s="114"/>
      <c r="BJ37" s="114"/>
      <c r="BK37" s="311"/>
      <c r="BL37" s="311"/>
      <c r="BM37" s="311"/>
      <c r="BN37" s="311"/>
      <c r="BO37" s="120"/>
      <c r="BP37" s="120"/>
      <c r="BQ37" s="120"/>
      <c r="BR37" s="120"/>
      <c r="BS37" s="120"/>
      <c r="BT37" s="120"/>
      <c r="BU37" s="120"/>
      <c r="BV37" s="120"/>
      <c r="BW37" s="311"/>
      <c r="BX37" s="311"/>
      <c r="BY37"/>
      <c r="BZ37"/>
      <c r="CA37"/>
      <c r="CB37"/>
      <c r="CC37"/>
      <c r="CD37" s="155"/>
      <c r="CE37" s="311"/>
      <c r="CF37" s="311"/>
      <c r="CG37" s="311"/>
      <c r="CH37" s="311"/>
      <c r="CI37" s="311"/>
      <c r="CJ37" s="311"/>
      <c r="CK37" s="311"/>
      <c r="CL37" s="311"/>
      <c r="CM37" s="311"/>
      <c r="CN37"/>
      <c r="CO37"/>
      <c r="CP37"/>
      <c r="CQ37"/>
      <c r="CR37"/>
      <c r="CS37"/>
      <c r="CX37" s="286"/>
      <c r="DH37" s="308">
        <v>29</v>
      </c>
      <c r="DI37" s="1051" t="s">
        <v>1266</v>
      </c>
      <c r="DJ37" s="14"/>
      <c r="DK37" s="1053"/>
      <c r="DL37" s="328"/>
    </row>
    <row r="38" spans="1:116" s="313" customFormat="1" ht="15.75" thickBot="1">
      <c r="A38" s="9">
        <f t="shared" si="0"/>
        <v>27</v>
      </c>
      <c r="B38" s="407" t="s">
        <v>552</v>
      </c>
      <c r="C38" s="311"/>
      <c r="D38" s="318"/>
      <c r="E38" s="340"/>
      <c r="F38" s="9">
        <f t="shared" si="1"/>
        <v>26</v>
      </c>
      <c r="G38" s="374"/>
      <c r="H38" s="377" t="s">
        <v>881</v>
      </c>
      <c r="I38" s="234"/>
      <c r="J38" s="285">
        <f>'[34]Lead E'!$E$35</f>
        <v>-30131.256685476605</v>
      </c>
      <c r="K38" s="285">
        <f>'[34]Lead E'!$F$35</f>
        <v>-1662</v>
      </c>
      <c r="L38" s="374"/>
      <c r="M38" s="12">
        <f t="shared" si="2"/>
        <v>26</v>
      </c>
      <c r="N38" s="356" t="s">
        <v>233</v>
      </c>
      <c r="O38" s="311"/>
      <c r="P38" s="181"/>
      <c r="Q38" s="406">
        <f>'[25]Lead E'!$E$33</f>
        <v>-80920052.489999995</v>
      </c>
      <c r="R38"/>
      <c r="S38"/>
      <c r="T38"/>
      <c r="U38"/>
      <c r="V38"/>
      <c r="W38"/>
      <c r="X38"/>
      <c r="Y38"/>
      <c r="Z38" s="375">
        <f t="shared" si="5"/>
        <v>26</v>
      </c>
      <c r="AA38" s="757" t="s">
        <v>155</v>
      </c>
      <c r="AB38" s="118"/>
      <c r="AC38" s="118"/>
      <c r="AD38" s="118"/>
      <c r="AS38" s="12"/>
      <c r="BC38" s="311"/>
      <c r="BD38" s="311"/>
      <c r="BE38" s="311"/>
      <c r="BF38" s="311"/>
      <c r="BG38" s="12"/>
      <c r="BH38" s="114"/>
      <c r="BI38" s="114"/>
      <c r="BJ38" s="114"/>
      <c r="BK38" s="311"/>
      <c r="BL38" s="311"/>
      <c r="BM38" s="311"/>
      <c r="BN38" s="311"/>
      <c r="BO38" s="118"/>
      <c r="BP38" s="118"/>
      <c r="BQ38" s="118"/>
      <c r="BR38" s="118"/>
      <c r="BS38" s="118"/>
      <c r="BT38" s="118"/>
      <c r="BU38" s="118"/>
      <c r="BV38" s="118"/>
      <c r="BW38" s="311"/>
      <c r="BX38" s="311"/>
      <c r="BY38"/>
      <c r="BZ38"/>
      <c r="CA38"/>
      <c r="CB38"/>
      <c r="CC38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/>
      <c r="CO38"/>
      <c r="CP38"/>
      <c r="CQ38"/>
      <c r="CR38"/>
      <c r="CS38"/>
      <c r="CX38" s="286"/>
      <c r="DH38" s="308">
        <v>30</v>
      </c>
      <c r="DI38" s="357" t="s">
        <v>1265</v>
      </c>
      <c r="DJ38" s="307"/>
      <c r="DK38" s="1053"/>
      <c r="DL38" s="1054">
        <f>+DL36/0.65</f>
        <v>27795233.418106575</v>
      </c>
    </row>
    <row r="39" spans="1:116" s="313" customFormat="1" ht="13.5" thickTop="1">
      <c r="A39" s="9">
        <f t="shared" si="0"/>
        <v>28</v>
      </c>
      <c r="B39" s="340"/>
      <c r="C39" s="311"/>
      <c r="D39" s="340"/>
      <c r="E39" s="339">
        <f>+D35+D37</f>
        <v>17342294.120000005</v>
      </c>
      <c r="F39" s="9">
        <f t="shared" si="1"/>
        <v>27</v>
      </c>
      <c r="G39" s="374"/>
      <c r="H39" s="374" t="s">
        <v>220</v>
      </c>
      <c r="I39" s="234"/>
      <c r="J39" s="285">
        <f>'[34]Lead E'!$E$36</f>
        <v>145693.42218082878</v>
      </c>
      <c r="K39" s="285">
        <f>'[34]Lead E'!$F$36</f>
        <v>5118</v>
      </c>
      <c r="L39" s="374"/>
      <c r="M39" s="12">
        <f t="shared" si="2"/>
        <v>27</v>
      </c>
      <c r="N39" s="356" t="s">
        <v>234</v>
      </c>
      <c r="O39" s="311"/>
      <c r="P39" s="181"/>
      <c r="Q39" s="406">
        <f>'[25]Lead E'!$E$34</f>
        <v>-16296500.52</v>
      </c>
      <c r="R39"/>
      <c r="S39"/>
      <c r="T39"/>
      <c r="U39"/>
      <c r="V39"/>
      <c r="W39"/>
      <c r="X39"/>
      <c r="Y39"/>
      <c r="Z39" s="375">
        <f t="shared" si="5"/>
        <v>27</v>
      </c>
      <c r="AA39" s="118" t="s">
        <v>1118</v>
      </c>
      <c r="AB39" s="223">
        <v>0.5</v>
      </c>
      <c r="AC39" s="118"/>
      <c r="AD39" s="780">
        <f>-AD33*AB39</f>
        <v>-15698132.845034668</v>
      </c>
      <c r="AS39" s="12"/>
      <c r="AT39" s="311"/>
      <c r="AU39" s="311"/>
      <c r="AV39" s="311"/>
      <c r="BC39" s="311"/>
      <c r="BD39" s="311"/>
      <c r="BE39" s="311"/>
      <c r="BF39" s="311"/>
      <c r="BG39" s="12"/>
      <c r="BH39" s="114"/>
      <c r="BI39" s="114"/>
      <c r="BJ39" s="114"/>
      <c r="BK39" s="311"/>
      <c r="BL39" s="311"/>
      <c r="BM39" s="311"/>
      <c r="BN39" s="311"/>
      <c r="BO39" s="118"/>
      <c r="BP39" s="118"/>
      <c r="BQ39" s="118"/>
      <c r="BR39" s="118"/>
      <c r="BS39" s="118"/>
      <c r="BT39" s="118"/>
      <c r="BU39" s="118"/>
      <c r="BV39" s="118"/>
      <c r="BW39" s="311"/>
      <c r="BX39" s="311"/>
      <c r="BY39"/>
      <c r="BZ39"/>
      <c r="CA39"/>
      <c r="CB39"/>
      <c r="CC39"/>
      <c r="CD39" s="311"/>
      <c r="CE39" s="311"/>
      <c r="CF39" s="311"/>
      <c r="CG39" s="311"/>
      <c r="CH39" s="311"/>
      <c r="CI39" s="311"/>
      <c r="CJ39" s="311"/>
      <c r="CK39" s="311"/>
      <c r="CL39" s="12"/>
      <c r="CM39" s="311"/>
      <c r="CN39"/>
      <c r="CO39"/>
      <c r="CP39"/>
      <c r="CQ39"/>
      <c r="CR39"/>
      <c r="CS39"/>
      <c r="CX39" s="286"/>
    </row>
    <row r="40" spans="1:116" s="313" customFormat="1">
      <c r="A40" s="9">
        <f t="shared" si="0"/>
        <v>29</v>
      </c>
      <c r="B40" s="325" t="s">
        <v>32</v>
      </c>
      <c r="C40" s="409">
        <f>+'BGM-3 (3) Param'!$M$13</f>
        <v>7.1570000000000002E-3</v>
      </c>
      <c r="D40" s="303">
        <f>+$E$33*C40</f>
        <v>-206560.42365471341</v>
      </c>
      <c r="E40" s="340"/>
      <c r="F40" s="9">
        <f t="shared" si="1"/>
        <v>28</v>
      </c>
      <c r="G40" s="374"/>
      <c r="H40" s="374"/>
      <c r="I40" s="234"/>
      <c r="J40" s="610"/>
      <c r="K40" s="291"/>
      <c r="L40" s="110"/>
      <c r="M40" s="12">
        <f t="shared" si="2"/>
        <v>28</v>
      </c>
      <c r="N40" s="358" t="s">
        <v>224</v>
      </c>
      <c r="O40" s="311"/>
      <c r="P40" s="261"/>
      <c r="Q40" s="406">
        <f>'[25]Lead E'!$E$35</f>
        <v>69268219.670000002</v>
      </c>
      <c r="R40"/>
      <c r="S40"/>
      <c r="T40"/>
      <c r="U40"/>
      <c r="V40"/>
      <c r="W40"/>
      <c r="X40"/>
      <c r="Y40"/>
      <c r="Z40" s="375">
        <f t="shared" si="5"/>
        <v>28</v>
      </c>
      <c r="AA40" s="576" t="s">
        <v>968</v>
      </c>
      <c r="AB40" s="754"/>
      <c r="AC40" s="577"/>
      <c r="AD40" s="755">
        <f>+'[9]Lead E'!$E$40</f>
        <v>5494346.4957621396</v>
      </c>
      <c r="AS40" s="12"/>
      <c r="AW40" s="166"/>
      <c r="BC40" s="311"/>
      <c r="BD40" s="311"/>
      <c r="BE40" s="311"/>
      <c r="BF40" s="311"/>
      <c r="BG40" s="12"/>
      <c r="BH40" s="311"/>
      <c r="BI40" s="311"/>
      <c r="BJ40" s="311"/>
      <c r="BK40" s="311"/>
      <c r="BL40" s="311"/>
      <c r="BM40" s="311"/>
      <c r="BN40" s="311"/>
      <c r="BO40" s="120"/>
      <c r="BP40" s="120"/>
      <c r="BQ40" s="120"/>
      <c r="BR40" s="120"/>
      <c r="BS40" s="120"/>
      <c r="BT40" s="120"/>
      <c r="BU40" s="120"/>
      <c r="BV40" s="120"/>
      <c r="BW40" s="311"/>
      <c r="BX40" s="311"/>
      <c r="BY40"/>
      <c r="BZ40"/>
      <c r="CA40"/>
      <c r="CB40"/>
      <c r="CC40"/>
      <c r="CD40" s="311"/>
      <c r="CE40" s="311"/>
      <c r="CF40" s="311"/>
      <c r="CG40" s="311"/>
      <c r="CH40" s="311"/>
      <c r="CI40" s="311"/>
      <c r="CJ40" s="311"/>
      <c r="CK40" s="311"/>
      <c r="CL40" s="12"/>
      <c r="CM40" s="311"/>
      <c r="CN40"/>
      <c r="CO40"/>
      <c r="CP40"/>
      <c r="CQ40"/>
      <c r="CR40"/>
      <c r="CS40"/>
      <c r="CX40" s="286"/>
    </row>
    <row r="41" spans="1:116" s="313" customFormat="1">
      <c r="A41" s="9">
        <f t="shared" si="0"/>
        <v>30</v>
      </c>
      <c r="B41" s="326" t="s">
        <v>33</v>
      </c>
      <c r="C41" s="409">
        <f>+'BGM-3 (3) Param'!$M$14</f>
        <v>2E-3</v>
      </c>
      <c r="D41" s="303">
        <f>+$E$33*C41</f>
        <v>-57722.627820235684</v>
      </c>
      <c r="E41" s="410"/>
      <c r="F41" s="9">
        <f t="shared" si="1"/>
        <v>29</v>
      </c>
      <c r="G41" s="374" t="s">
        <v>31</v>
      </c>
      <c r="H41" s="374"/>
      <c r="I41" s="374"/>
      <c r="J41" s="307">
        <f>SUM(J29:J40)</f>
        <v>281706864.87875712</v>
      </c>
      <c r="K41" s="307">
        <f>SUM(K29:K40)</f>
        <v>28313253</v>
      </c>
      <c r="L41" s="285">
        <f>SUM(K29:K40)</f>
        <v>28313253</v>
      </c>
      <c r="M41" s="12">
        <f t="shared" si="2"/>
        <v>29</v>
      </c>
      <c r="N41" s="359" t="s">
        <v>470</v>
      </c>
      <c r="O41" s="311"/>
      <c r="P41" s="261"/>
      <c r="Q41" s="406">
        <f>'[25]Lead E'!$E$36</f>
        <v>138514.25</v>
      </c>
      <c r="R41"/>
      <c r="S41"/>
      <c r="T41"/>
      <c r="U41"/>
      <c r="V41"/>
      <c r="W41"/>
      <c r="X41"/>
      <c r="Y41"/>
      <c r="Z41" s="375">
        <f t="shared" si="5"/>
        <v>29</v>
      </c>
      <c r="AA41" s="576"/>
      <c r="AB41" s="223"/>
      <c r="AC41" s="234"/>
      <c r="AD41" s="307"/>
      <c r="AS41" s="12"/>
      <c r="BC41" s="311"/>
      <c r="BD41" s="311"/>
      <c r="BE41" s="311"/>
      <c r="BF41" s="311"/>
      <c r="BG41" s="12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/>
      <c r="BZ41"/>
      <c r="CA41"/>
      <c r="CB41"/>
      <c r="CC41"/>
      <c r="CD41" s="311"/>
      <c r="CE41" s="311"/>
      <c r="CF41" s="311"/>
      <c r="CG41" s="311"/>
      <c r="CH41" s="311"/>
      <c r="CI41" s="311"/>
      <c r="CJ41" s="311"/>
      <c r="CK41" s="311"/>
      <c r="CL41" s="12"/>
      <c r="CM41" s="311"/>
      <c r="CN41"/>
      <c r="CO41"/>
      <c r="CP41"/>
      <c r="CQ41"/>
      <c r="CR41"/>
      <c r="CS41"/>
      <c r="CX41" s="286"/>
    </row>
    <row r="42" spans="1:116" s="313" customFormat="1" ht="15.75" customHeight="1" thickBot="1">
      <c r="A42" s="9">
        <f t="shared" si="0"/>
        <v>31</v>
      </c>
      <c r="B42" s="377" t="s">
        <v>34</v>
      </c>
      <c r="C42" s="409">
        <f>+'BGM-3 (3) Param'!$M$15</f>
        <v>3.8456999999999998E-2</v>
      </c>
      <c r="D42" s="303">
        <f>+$E$33*C42</f>
        <v>-1109919.5490414018</v>
      </c>
      <c r="E42" s="307"/>
      <c r="F42" s="9">
        <f t="shared" si="1"/>
        <v>30</v>
      </c>
      <c r="G42" s="333"/>
      <c r="H42" s="333"/>
      <c r="I42" s="198"/>
      <c r="J42" s="198"/>
      <c r="K42" s="288"/>
      <c r="L42" s="374"/>
      <c r="M42" s="12">
        <f t="shared" si="2"/>
        <v>30</v>
      </c>
      <c r="N42" s="360" t="s">
        <v>471</v>
      </c>
      <c r="O42" s="311"/>
      <c r="P42" s="181"/>
      <c r="Q42" s="406">
        <f>'[25]Lead E'!$E$37</f>
        <v>-979067.74</v>
      </c>
      <c r="R42"/>
      <c r="S42"/>
      <c r="T42"/>
      <c r="U42"/>
      <c r="V42"/>
      <c r="W42"/>
      <c r="X42"/>
      <c r="Y42"/>
      <c r="Z42" s="375">
        <f t="shared" si="5"/>
        <v>30</v>
      </c>
      <c r="AA42" s="118" t="s">
        <v>672</v>
      </c>
      <c r="AB42" s="118"/>
      <c r="AC42" s="118"/>
      <c r="AD42" s="320">
        <f>SUM(AD39:AD41)</f>
        <v>-10203786.349272529</v>
      </c>
      <c r="AS42" s="12"/>
      <c r="BC42" s="311"/>
      <c r="BD42" s="311"/>
      <c r="BE42" s="311"/>
      <c r="BF42" s="311"/>
      <c r="BG42" s="12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  <c r="BT42" s="311"/>
      <c r="BU42" s="311"/>
      <c r="BV42" s="311"/>
      <c r="BW42" s="311"/>
      <c r="BX42" s="311"/>
      <c r="BY42"/>
      <c r="BZ42"/>
      <c r="CA42"/>
      <c r="CB42"/>
      <c r="CC42"/>
      <c r="CD42" s="311"/>
      <c r="CE42" s="311"/>
      <c r="CF42" s="311"/>
      <c r="CG42" s="311"/>
      <c r="CH42" s="311"/>
      <c r="CI42" s="311"/>
      <c r="CJ42" s="311"/>
      <c r="CK42" s="311"/>
      <c r="CL42" s="311"/>
      <c r="CM42" s="311"/>
      <c r="CN42"/>
      <c r="CO42"/>
      <c r="CP42"/>
      <c r="CQ42"/>
      <c r="CR42"/>
      <c r="CS42"/>
      <c r="CX42" s="286"/>
    </row>
    <row r="43" spans="1:116" s="313" customFormat="1" ht="13.5" thickTop="1">
      <c r="A43" s="9">
        <f t="shared" si="0"/>
        <v>32</v>
      </c>
      <c r="B43" s="407" t="s">
        <v>553</v>
      </c>
      <c r="C43" s="409"/>
      <c r="D43" s="327"/>
      <c r="E43" s="340"/>
      <c r="F43" s="9">
        <f t="shared" si="1"/>
        <v>31</v>
      </c>
      <c r="G43" s="377" t="s">
        <v>32</v>
      </c>
      <c r="H43" s="377"/>
      <c r="I43" s="377"/>
      <c r="J43" s="275">
        <f>+'BGM-3 (3) Param'!M13</f>
        <v>7.1570000000000002E-3</v>
      </c>
      <c r="K43" s="307">
        <f>ROUND(L41*J43,0)</f>
        <v>202638</v>
      </c>
      <c r="L43" s="307"/>
      <c r="M43" s="12">
        <f t="shared" si="2"/>
        <v>31</v>
      </c>
      <c r="N43" s="360" t="s">
        <v>368</v>
      </c>
      <c r="O43" s="98"/>
      <c r="P43" s="181"/>
      <c r="Q43" s="406">
        <f>'[25]Lead E'!$E$38</f>
        <v>-41429.58</v>
      </c>
      <c r="R43"/>
      <c r="S43"/>
      <c r="T43"/>
      <c r="U43"/>
      <c r="V43"/>
      <c r="W43"/>
      <c r="X43"/>
      <c r="Y43"/>
      <c r="Z43" s="114"/>
      <c r="AA43" s="118"/>
      <c r="AB43" s="118"/>
      <c r="AC43" s="118"/>
      <c r="AD43" s="118"/>
      <c r="AS43" s="12"/>
      <c r="BC43" s="311"/>
      <c r="BD43" s="311"/>
      <c r="BE43" s="311"/>
      <c r="BF43" s="311"/>
      <c r="BG43" s="12"/>
      <c r="BH43" s="114"/>
      <c r="BI43" s="114"/>
      <c r="BJ43" s="114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/>
      <c r="BZ43"/>
      <c r="CA43"/>
      <c r="CB43"/>
      <c r="CC43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/>
      <c r="CO43"/>
      <c r="CP43"/>
      <c r="CQ43"/>
      <c r="CR43"/>
      <c r="CS43"/>
      <c r="CX43" s="286"/>
    </row>
    <row r="44" spans="1:116" s="313" customFormat="1">
      <c r="A44" s="9">
        <f t="shared" si="0"/>
        <v>33</v>
      </c>
      <c r="B44" s="340"/>
      <c r="C44" s="340"/>
      <c r="D44" s="340"/>
      <c r="E44" s="339">
        <f>SUM(D40:D42)</f>
        <v>-1374202.6005163509</v>
      </c>
      <c r="F44" s="9">
        <f t="shared" si="1"/>
        <v>32</v>
      </c>
      <c r="G44" s="377" t="s">
        <v>33</v>
      </c>
      <c r="H44" s="377"/>
      <c r="I44" s="377"/>
      <c r="J44" s="275">
        <f>+'BGM-3 (3) Param'!M14</f>
        <v>2E-3</v>
      </c>
      <c r="K44" s="211">
        <f>ROUND(L41*J44,0)</f>
        <v>56627</v>
      </c>
      <c r="L44" s="307"/>
      <c r="M44" s="249">
        <f t="shared" si="2"/>
        <v>32</v>
      </c>
      <c r="N44" s="360" t="s">
        <v>369</v>
      </c>
      <c r="O44" s="98"/>
      <c r="P44" s="181"/>
      <c r="Q44" s="406">
        <f>'[25]Lead E'!$E$39</f>
        <v>-11150.8</v>
      </c>
      <c r="R44"/>
      <c r="S44"/>
      <c r="T44"/>
      <c r="U44"/>
      <c r="V44"/>
      <c r="W44"/>
      <c r="X44"/>
      <c r="Y44"/>
      <c r="Z44" s="289"/>
      <c r="AA44" s="288"/>
      <c r="AB44" s="288"/>
      <c r="AC44" s="288"/>
      <c r="AD44" s="288"/>
      <c r="AS44" s="12"/>
      <c r="BC44" s="311"/>
      <c r="BD44" s="311"/>
      <c r="BE44" s="311"/>
      <c r="BF44" s="311"/>
      <c r="BG44" s="12"/>
      <c r="BH44" s="114"/>
      <c r="BI44" s="114"/>
      <c r="BJ44" s="114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/>
      <c r="BZ44"/>
      <c r="CA44"/>
      <c r="CB44"/>
      <c r="CC44"/>
      <c r="CD44" s="311"/>
      <c r="CE44" s="311"/>
      <c r="CF44" s="311"/>
      <c r="CG44" s="311"/>
      <c r="CH44" s="311"/>
      <c r="CI44" s="311"/>
      <c r="CJ44" s="311"/>
      <c r="CK44" s="311"/>
      <c r="CL44" s="311"/>
      <c r="CM44" s="311"/>
      <c r="CN44"/>
      <c r="CO44"/>
      <c r="CP44"/>
      <c r="CQ44"/>
      <c r="CR44"/>
      <c r="CS44"/>
      <c r="CX44" s="286"/>
    </row>
    <row r="45" spans="1:116" s="313" customFormat="1">
      <c r="A45" s="9">
        <v>31</v>
      </c>
      <c r="B45" s="325" t="s">
        <v>16</v>
      </c>
      <c r="C45" s="46"/>
      <c r="D45" s="234"/>
      <c r="E45" s="340"/>
      <c r="F45" s="9">
        <f t="shared" si="1"/>
        <v>33</v>
      </c>
      <c r="G45" s="45" t="s">
        <v>8</v>
      </c>
      <c r="H45" s="377"/>
      <c r="I45" s="377"/>
      <c r="J45" s="275"/>
      <c r="K45" s="234"/>
      <c r="L45" s="307">
        <f>SUM(K43:K44)</f>
        <v>259265</v>
      </c>
      <c r="M45" s="249">
        <f t="shared" si="2"/>
        <v>33</v>
      </c>
      <c r="N45" s="356" t="s">
        <v>472</v>
      </c>
      <c r="O45" s="98"/>
      <c r="P45" s="181"/>
      <c r="Q45" s="682">
        <f>'[25]Lead E'!$E$40</f>
        <v>226820.57</v>
      </c>
      <c r="R45"/>
      <c r="S45"/>
      <c r="T45"/>
      <c r="U45"/>
      <c r="V45"/>
      <c r="W45"/>
      <c r="X45"/>
      <c r="Y45"/>
      <c r="Z45" s="289"/>
      <c r="AA45" s="374"/>
      <c r="AB45" s="374"/>
      <c r="AC45" s="374"/>
      <c r="AD45" s="374"/>
      <c r="AS45" s="12"/>
      <c r="AT45" s="319"/>
      <c r="AU45" s="319"/>
      <c r="AV45" s="319"/>
      <c r="AW45" s="319"/>
      <c r="BC45" s="311"/>
      <c r="BD45" s="311"/>
      <c r="BE45" s="311"/>
      <c r="BF45" s="311"/>
      <c r="BG45" s="12"/>
      <c r="BH45" s="114"/>
      <c r="BI45" s="114"/>
      <c r="BJ45" s="114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/>
      <c r="BZ45"/>
      <c r="CA45"/>
      <c r="CB45"/>
      <c r="CC45"/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/>
      <c r="CO45"/>
      <c r="CP45"/>
      <c r="CQ45"/>
      <c r="CR45"/>
      <c r="CS45"/>
      <c r="CX45" s="286"/>
    </row>
    <row r="46" spans="1:116" s="313" customFormat="1">
      <c r="A46" s="9">
        <f>+A45+1</f>
        <v>32</v>
      </c>
      <c r="B46" s="325"/>
      <c r="C46" s="225"/>
      <c r="D46" s="234"/>
      <c r="E46" s="681">
        <f>+E33-E39-E44</f>
        <v>-44829405.429601498</v>
      </c>
      <c r="F46" s="9">
        <f t="shared" si="1"/>
        <v>34</v>
      </c>
      <c r="G46" s="377"/>
      <c r="H46" s="377"/>
      <c r="I46" s="377"/>
      <c r="J46" s="275"/>
      <c r="K46" s="198"/>
      <c r="L46" s="307"/>
      <c r="M46" s="375">
        <f t="shared" si="2"/>
        <v>34</v>
      </c>
      <c r="N46" s="356" t="s">
        <v>61</v>
      </c>
      <c r="O46" s="98"/>
      <c r="P46" s="181"/>
      <c r="Q46" s="406">
        <f>SUM(Q36:Q45)</f>
        <v>-182117177.86000004</v>
      </c>
      <c r="R46"/>
      <c r="S46"/>
      <c r="T46"/>
      <c r="U46"/>
      <c r="V46"/>
      <c r="W46"/>
      <c r="X46"/>
      <c r="Y46"/>
      <c r="Z46" s="288"/>
      <c r="AA46" s="307"/>
      <c r="AB46" s="307"/>
      <c r="AC46" s="307"/>
      <c r="AD46" s="287"/>
      <c r="AS46" s="12"/>
      <c r="AT46" s="319"/>
      <c r="AU46" s="319"/>
      <c r="AV46" s="319"/>
      <c r="AW46" s="319"/>
      <c r="BC46" s="311"/>
      <c r="BD46" s="311"/>
      <c r="BE46" s="311"/>
      <c r="BF46" s="311"/>
      <c r="BG46" s="12"/>
      <c r="BH46" s="114"/>
      <c r="BI46" s="114"/>
      <c r="BJ46" s="114"/>
      <c r="BK46" s="311"/>
      <c r="BL46" s="311"/>
      <c r="BM46" s="311"/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/>
      <c r="BZ46"/>
      <c r="CA46"/>
      <c r="CB46"/>
      <c r="CC46"/>
      <c r="CD46" s="311"/>
      <c r="CE46" s="311"/>
      <c r="CF46" s="311"/>
      <c r="CG46" s="311"/>
      <c r="CH46" s="311"/>
      <c r="CI46" s="311"/>
      <c r="CJ46" s="311"/>
      <c r="CK46" s="311"/>
      <c r="CL46" s="311"/>
      <c r="CM46" s="311"/>
      <c r="CN46"/>
      <c r="CO46"/>
      <c r="CP46"/>
      <c r="CQ46"/>
      <c r="CR46"/>
      <c r="CS46"/>
      <c r="CX46" s="286"/>
    </row>
    <row r="47" spans="1:116" s="313" customFormat="1">
      <c r="A47" s="9">
        <f>+A46+1</f>
        <v>33</v>
      </c>
      <c r="B47" s="408"/>
      <c r="D47" s="408"/>
      <c r="E47" s="288"/>
      <c r="F47" s="9">
        <f t="shared" si="1"/>
        <v>35</v>
      </c>
      <c r="G47" s="377" t="s">
        <v>34</v>
      </c>
      <c r="H47" s="377"/>
      <c r="I47" s="377"/>
      <c r="J47" s="275">
        <f>+'BGM-3 (3) Param'!M15</f>
        <v>3.8456999999999998E-2</v>
      </c>
      <c r="K47" s="291">
        <f>ROUND(L41*J47,0)</f>
        <v>1088843</v>
      </c>
      <c r="L47" s="307"/>
      <c r="M47" s="375">
        <f t="shared" si="2"/>
        <v>35</v>
      </c>
      <c r="N47" s="98"/>
      <c r="O47" s="98"/>
      <c r="P47" s="194"/>
      <c r="Q47" s="289"/>
      <c r="R47"/>
      <c r="S47"/>
      <c r="T47"/>
      <c r="U47"/>
      <c r="V47"/>
      <c r="W47"/>
      <c r="X47"/>
      <c r="Y47"/>
      <c r="Z47" s="373"/>
      <c r="AA47" s="289"/>
      <c r="AB47" s="289"/>
      <c r="AC47" s="289"/>
      <c r="AD47" s="307"/>
      <c r="AS47" s="12"/>
      <c r="AT47" s="319"/>
      <c r="AU47" s="319"/>
      <c r="AV47" s="319"/>
      <c r="AW47" s="319"/>
      <c r="BC47" s="311"/>
      <c r="BD47" s="311"/>
      <c r="BE47" s="311"/>
      <c r="BF47" s="311"/>
      <c r="BG47" s="12"/>
      <c r="BH47" s="114"/>
      <c r="BI47" s="114"/>
      <c r="BJ47" s="114"/>
      <c r="BK47" s="311"/>
      <c r="BL47" s="311"/>
      <c r="BM47" s="311"/>
      <c r="BN47" s="311"/>
      <c r="BO47" s="311"/>
      <c r="BP47" s="311"/>
      <c r="BQ47" s="311"/>
      <c r="BR47" s="311"/>
      <c r="BS47" s="311"/>
      <c r="BT47" s="311"/>
      <c r="BU47" s="311"/>
      <c r="BV47" s="311"/>
      <c r="BW47" s="311"/>
      <c r="BX47" s="311"/>
      <c r="BY47"/>
      <c r="BZ47"/>
      <c r="CA47"/>
      <c r="CB47"/>
      <c r="CC47"/>
      <c r="CD47" s="311"/>
      <c r="CE47" s="311"/>
      <c r="CF47" s="311"/>
      <c r="CG47" s="311"/>
      <c r="CH47" s="311"/>
      <c r="CI47" s="311"/>
      <c r="CJ47" s="311"/>
      <c r="CK47" s="311"/>
      <c r="CL47" s="311"/>
      <c r="CM47" s="311"/>
      <c r="CN47"/>
      <c r="CO47"/>
      <c r="CP47"/>
      <c r="CQ47"/>
      <c r="CR47"/>
      <c r="CS47"/>
      <c r="CX47" s="286"/>
    </row>
    <row r="48" spans="1:116" s="313" customFormat="1">
      <c r="A48" s="9">
        <f>+A47+1</f>
        <v>34</v>
      </c>
      <c r="B48" s="408" t="s">
        <v>13</v>
      </c>
      <c r="C48" s="281">
        <v>0.35</v>
      </c>
      <c r="D48" s="288"/>
      <c r="E48" s="289">
        <f>E46*C48</f>
        <v>-15690291.900360523</v>
      </c>
      <c r="F48" s="9">
        <f t="shared" si="1"/>
        <v>36</v>
      </c>
      <c r="G48" s="45" t="s">
        <v>9</v>
      </c>
      <c r="H48" s="377"/>
      <c r="I48" s="377"/>
      <c r="J48" s="374"/>
      <c r="K48" s="198"/>
      <c r="L48" s="291">
        <f>SUM(K47:K47)</f>
        <v>1088843</v>
      </c>
      <c r="M48" s="375">
        <f t="shared" si="2"/>
        <v>36</v>
      </c>
      <c r="N48" s="98" t="s">
        <v>272</v>
      </c>
      <c r="O48" s="98"/>
      <c r="P48" s="194"/>
      <c r="Q48" s="289">
        <f>-Q27-Q33-Q46</f>
        <v>-1539292.7857013047</v>
      </c>
      <c r="R48"/>
      <c r="S48"/>
      <c r="T48"/>
      <c r="U48"/>
      <c r="V48"/>
      <c r="W48"/>
      <c r="X48"/>
      <c r="Y48"/>
      <c r="Z48" s="373"/>
      <c r="AA48" s="289"/>
      <c r="AB48" s="289"/>
      <c r="AC48" s="289"/>
      <c r="AD48" s="289"/>
      <c r="AS48" s="12"/>
      <c r="BC48" s="311"/>
      <c r="BD48" s="311"/>
      <c r="BE48" s="311"/>
      <c r="BF48" s="311"/>
      <c r="BG48" s="12"/>
      <c r="BH48" s="114"/>
      <c r="BI48" s="114"/>
      <c r="BJ48" s="114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/>
      <c r="BZ48"/>
      <c r="CA48"/>
      <c r="CB48"/>
      <c r="CC48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/>
      <c r="CO48"/>
      <c r="CP48"/>
      <c r="CQ48"/>
      <c r="CR48"/>
      <c r="CS48"/>
      <c r="CX48" s="286"/>
    </row>
    <row r="49" spans="1:97" s="313" customFormat="1" ht="18" customHeight="1" thickBot="1">
      <c r="A49" s="9">
        <f>+A48+1</f>
        <v>35</v>
      </c>
      <c r="B49" s="408" t="s">
        <v>120</v>
      </c>
      <c r="C49"/>
      <c r="D49"/>
      <c r="E49" s="323">
        <f>E46-E48</f>
        <v>-29139113.529240973</v>
      </c>
      <c r="F49" s="9">
        <f t="shared" si="1"/>
        <v>37</v>
      </c>
      <c r="G49" s="377"/>
      <c r="H49" s="377"/>
      <c r="I49" s="377"/>
      <c r="J49" s="374"/>
      <c r="K49" s="374"/>
      <c r="L49" s="307"/>
      <c r="M49" s="375">
        <f t="shared" si="2"/>
        <v>37</v>
      </c>
      <c r="N49" s="98" t="s">
        <v>18</v>
      </c>
      <c r="O49" s="98"/>
      <c r="P49" s="194"/>
      <c r="Q49" s="307">
        <f>Q48*0.35</f>
        <v>-538752.47499545664</v>
      </c>
      <c r="R49"/>
      <c r="S49"/>
      <c r="T49"/>
      <c r="U49"/>
      <c r="V49"/>
      <c r="W49"/>
      <c r="X49"/>
      <c r="Y49"/>
      <c r="Z49" s="373"/>
      <c r="AA49" s="288"/>
      <c r="AB49" s="288"/>
      <c r="AC49" s="288"/>
      <c r="AD49" s="288"/>
      <c r="AS49" s="12"/>
      <c r="BC49" s="311"/>
      <c r="BD49" s="311"/>
      <c r="BE49" s="311"/>
      <c r="BF49" s="311"/>
      <c r="BG49" s="12"/>
      <c r="BH49" s="114"/>
      <c r="BI49" s="114"/>
      <c r="BJ49" s="114"/>
      <c r="BK49" s="311"/>
      <c r="BL49" s="311"/>
      <c r="BM49" s="311"/>
      <c r="BN49" s="311"/>
      <c r="BO49" s="311"/>
      <c r="BP49" s="311"/>
      <c r="BQ49" s="311"/>
      <c r="BR49" s="311"/>
      <c r="BS49" s="311"/>
      <c r="BT49" s="375"/>
      <c r="BU49" s="311"/>
      <c r="BV49" s="311"/>
      <c r="BW49" s="311"/>
      <c r="BX49" s="311"/>
      <c r="BY49"/>
      <c r="BZ49"/>
      <c r="CA49"/>
      <c r="CB49"/>
      <c r="CC49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74"/>
      <c r="CO49" s="374"/>
      <c r="CP49" s="374"/>
      <c r="CQ49" s="374"/>
      <c r="CR49" s="374"/>
      <c r="CS49"/>
    </row>
    <row r="50" spans="1:97" s="313" customFormat="1" ht="14.25" thickTop="1" thickBot="1">
      <c r="A50" s="9"/>
      <c r="B50" s="13"/>
      <c r="C50"/>
      <c r="D50"/>
      <c r="E50"/>
      <c r="F50" s="9">
        <f t="shared" si="1"/>
        <v>38</v>
      </c>
      <c r="G50" s="377" t="s">
        <v>16</v>
      </c>
      <c r="H50" s="377"/>
      <c r="I50" s="377"/>
      <c r="J50" s="374"/>
      <c r="K50" s="234"/>
      <c r="L50" s="307">
        <f>L41-L45-L48</f>
        <v>26965145</v>
      </c>
      <c r="M50" s="375">
        <f t="shared" si="2"/>
        <v>38</v>
      </c>
      <c r="N50" s="98" t="s">
        <v>120</v>
      </c>
      <c r="O50" s="98"/>
      <c r="P50" s="181"/>
      <c r="Q50" s="337">
        <f>Q48-Q49</f>
        <v>-1000540.310705848</v>
      </c>
      <c r="R50"/>
      <c r="S50"/>
      <c r="T50"/>
      <c r="U50"/>
      <c r="V50"/>
      <c r="W50"/>
      <c r="X50"/>
      <c r="Y50"/>
      <c r="Z50" s="289"/>
      <c r="AA50" s="373"/>
      <c r="AB50" s="373"/>
      <c r="AC50" s="373"/>
      <c r="AD50" s="373"/>
      <c r="AS50" s="12"/>
      <c r="BC50" s="311"/>
      <c r="BD50" s="311"/>
      <c r="BE50" s="311"/>
      <c r="BF50" s="311"/>
      <c r="BG50" s="12"/>
      <c r="BH50" s="114"/>
      <c r="BI50" s="114"/>
      <c r="BJ50" s="114"/>
      <c r="BK50" s="311"/>
      <c r="BL50" s="311"/>
      <c r="BM50" s="311"/>
      <c r="BN50" s="311"/>
      <c r="BO50" s="311"/>
      <c r="BP50" s="311"/>
      <c r="BQ50" s="311"/>
      <c r="BR50" s="311"/>
      <c r="BS50" s="311"/>
      <c r="BT50" s="311"/>
      <c r="BU50" s="311"/>
      <c r="BV50" s="311"/>
      <c r="BW50" s="311"/>
      <c r="BX50" s="311"/>
      <c r="BY50"/>
      <c r="BZ50"/>
      <c r="CA50"/>
      <c r="CB50"/>
      <c r="CC50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74"/>
      <c r="CO50" s="374"/>
      <c r="CP50" s="374"/>
      <c r="CQ50" s="374"/>
      <c r="CR50" s="374"/>
      <c r="CS50"/>
    </row>
    <row r="51" spans="1:97" s="313" customFormat="1" ht="13.5" thickTop="1">
      <c r="A51" s="9"/>
      <c r="B51" s="13"/>
      <c r="C51"/>
      <c r="D51"/>
      <c r="E51"/>
      <c r="F51" s="9">
        <f t="shared" si="1"/>
        <v>39</v>
      </c>
      <c r="G51" s="377"/>
      <c r="H51" s="377"/>
      <c r="I51" s="377"/>
      <c r="J51" s="374"/>
      <c r="K51" s="234"/>
      <c r="L51" s="234"/>
      <c r="M51" s="375"/>
      <c r="Q51" s="319"/>
      <c r="R51"/>
      <c r="S51"/>
      <c r="T51"/>
      <c r="U51"/>
      <c r="V51"/>
      <c r="W51"/>
      <c r="X51"/>
      <c r="Y51"/>
      <c r="Z51" s="289"/>
      <c r="AA51" s="373"/>
      <c r="AB51" s="373"/>
      <c r="AC51" s="373"/>
      <c r="AD51" s="373"/>
      <c r="AS51" s="12"/>
      <c r="BC51" s="311"/>
      <c r="BD51" s="311"/>
      <c r="BE51" s="311"/>
      <c r="BF51" s="311"/>
      <c r="BG51" s="12"/>
      <c r="BH51" s="114"/>
      <c r="BI51" s="114"/>
      <c r="BJ51" s="114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/>
      <c r="BZ51"/>
      <c r="CA51"/>
      <c r="CB51"/>
      <c r="CC5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74"/>
      <c r="CO51" s="374"/>
      <c r="CP51" s="374"/>
      <c r="CQ51" s="374"/>
      <c r="CR51" s="374"/>
    </row>
    <row r="52" spans="1:97" s="313" customFormat="1">
      <c r="A52" s="9"/>
      <c r="C52"/>
      <c r="D52"/>
      <c r="E52"/>
      <c r="F52" s="9">
        <f t="shared" si="1"/>
        <v>40</v>
      </c>
      <c r="G52" s="377" t="s">
        <v>13</v>
      </c>
      <c r="H52" s="377"/>
      <c r="I52" s="377"/>
      <c r="J52" s="46">
        <f>k_FITrate</f>
        <v>0.35</v>
      </c>
      <c r="K52" s="234"/>
      <c r="L52" s="289">
        <f>ROUND(L50*J52,0)</f>
        <v>9437801</v>
      </c>
      <c r="Q52" s="319"/>
      <c r="R52"/>
      <c r="S52"/>
      <c r="T52"/>
      <c r="U52"/>
      <c r="V52"/>
      <c r="W52"/>
      <c r="X52"/>
      <c r="Y52"/>
      <c r="Z52" s="373"/>
      <c r="AA52" s="373"/>
      <c r="AB52" s="373"/>
      <c r="AC52" s="373"/>
      <c r="AD52" s="373"/>
      <c r="AS52" s="12"/>
      <c r="BC52" s="311"/>
      <c r="BD52" s="311"/>
      <c r="BE52" s="311"/>
      <c r="BF52" s="311"/>
      <c r="BG52" s="12"/>
      <c r="BH52" s="114"/>
      <c r="BI52" s="114"/>
      <c r="BJ52" s="114"/>
      <c r="BK52" s="311"/>
      <c r="BL52" s="311"/>
      <c r="BM52" s="311"/>
      <c r="BN52" s="311"/>
      <c r="BO52" s="311"/>
      <c r="BP52" s="311"/>
      <c r="BQ52" s="311"/>
      <c r="BR52" s="311"/>
      <c r="BS52" s="311"/>
      <c r="BT52" s="311"/>
      <c r="BU52" s="311"/>
      <c r="BV52" s="311"/>
      <c r="BW52" s="311"/>
      <c r="BX52" s="311"/>
      <c r="BY52"/>
      <c r="BZ52"/>
      <c r="CA52"/>
      <c r="CB52"/>
      <c r="CC52"/>
      <c r="CD52" s="311"/>
      <c r="CE52" s="311"/>
      <c r="CF52" s="311"/>
      <c r="CG52" s="311"/>
      <c r="CH52" s="311"/>
      <c r="CI52" s="311"/>
      <c r="CJ52" s="311"/>
      <c r="CK52" s="311"/>
      <c r="CL52" s="311"/>
      <c r="CM52" s="311"/>
      <c r="CN52" s="374"/>
      <c r="CO52" s="374"/>
      <c r="CP52" s="374"/>
      <c r="CQ52" s="374"/>
      <c r="CR52" s="374"/>
    </row>
    <row r="53" spans="1:97" s="313" customFormat="1" ht="13.5" thickBot="1">
      <c r="A53" s="9"/>
      <c r="F53" s="9">
        <f t="shared" si="1"/>
        <v>41</v>
      </c>
      <c r="G53" s="377" t="s">
        <v>120</v>
      </c>
      <c r="H53" s="377"/>
      <c r="I53" s="377"/>
      <c r="J53" s="374"/>
      <c r="K53" s="234"/>
      <c r="L53" s="351">
        <f>L50-L52</f>
        <v>17527344</v>
      </c>
      <c r="Q53" s="319"/>
      <c r="R53"/>
      <c r="S53"/>
      <c r="T53"/>
      <c r="U53"/>
      <c r="V53"/>
      <c r="W53"/>
      <c r="X53"/>
      <c r="Y53"/>
      <c r="Z53" s="288"/>
      <c r="AA53" s="289"/>
      <c r="AB53" s="289"/>
      <c r="AC53" s="289"/>
      <c r="AD53" s="289"/>
      <c r="AS53" s="12"/>
      <c r="BC53" s="311"/>
      <c r="BD53" s="311"/>
      <c r="BE53" s="311"/>
      <c r="BF53" s="311"/>
      <c r="BG53" s="114"/>
      <c r="BH53" s="114"/>
      <c r="BI53" s="114"/>
      <c r="BJ53" s="114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/>
      <c r="BZ53"/>
      <c r="CA53"/>
      <c r="CB53"/>
      <c r="CC53"/>
      <c r="CD53" s="311"/>
      <c r="CE53" s="311"/>
      <c r="CF53" s="311"/>
      <c r="CG53" s="311"/>
      <c r="CH53" s="311"/>
      <c r="CI53" s="311"/>
      <c r="CJ53" s="311"/>
      <c r="CK53" s="311"/>
      <c r="CL53" s="311"/>
      <c r="CM53" s="311"/>
      <c r="CN53" s="374"/>
      <c r="CO53" s="374"/>
      <c r="CP53" s="374"/>
      <c r="CQ53" s="374"/>
      <c r="CR53" s="374"/>
    </row>
    <row r="54" spans="1:97" s="313" customFormat="1" ht="13.5" thickTop="1">
      <c r="A54" s="9"/>
      <c r="F54" s="9"/>
      <c r="G54" s="374"/>
      <c r="H54" s="374"/>
      <c r="I54" s="374"/>
      <c r="J54" s="374"/>
      <c r="K54" s="374"/>
      <c r="L54" s="374"/>
      <c r="Q54" s="319"/>
      <c r="R54"/>
      <c r="S54"/>
      <c r="T54"/>
      <c r="U54"/>
      <c r="V54"/>
      <c r="W54"/>
      <c r="X54"/>
      <c r="Y54"/>
      <c r="Z54" s="373"/>
      <c r="AA54" s="289"/>
      <c r="AB54" s="289"/>
      <c r="AC54" s="289"/>
      <c r="AD54" s="289"/>
      <c r="AS54" s="12"/>
      <c r="BC54" s="311"/>
      <c r="BD54" s="311"/>
      <c r="BE54" s="311"/>
      <c r="BF54" s="311"/>
      <c r="BG54" s="155"/>
      <c r="BH54" s="114"/>
      <c r="BI54" s="114"/>
      <c r="BJ54" s="114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/>
      <c r="BZ54"/>
      <c r="CA54"/>
      <c r="CB54"/>
      <c r="CC54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74"/>
      <c r="CO54" s="374"/>
      <c r="CP54" s="374"/>
      <c r="CQ54" s="374"/>
      <c r="CR54" s="374"/>
    </row>
    <row r="55" spans="1:97" s="313" customFormat="1">
      <c r="A55" s="357"/>
      <c r="D55" s="334"/>
      <c r="F55" s="357"/>
      <c r="Q55" s="319"/>
      <c r="R55"/>
      <c r="S55"/>
      <c r="T55"/>
      <c r="U55"/>
      <c r="V55"/>
      <c r="W55"/>
      <c r="X55"/>
      <c r="Y55"/>
      <c r="Z55" s="374"/>
      <c r="AA55" s="373"/>
      <c r="AB55" s="373"/>
      <c r="AC55" s="373"/>
      <c r="AD55" s="373"/>
      <c r="AS55" s="12"/>
      <c r="BC55" s="311"/>
      <c r="BD55" s="311"/>
      <c r="BE55" s="311"/>
      <c r="BF55" s="311"/>
      <c r="BG55" s="114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/>
      <c r="BZ55"/>
      <c r="CA55"/>
      <c r="CB55"/>
      <c r="CC55"/>
      <c r="CD55" s="311"/>
      <c r="CE55" s="311"/>
      <c r="CF55" s="311"/>
      <c r="CG55" s="311"/>
      <c r="CH55" s="311"/>
      <c r="CI55" s="311"/>
      <c r="CJ55" s="311"/>
      <c r="CK55" s="311"/>
      <c r="CL55" s="311"/>
      <c r="CM55" s="311"/>
      <c r="CN55" s="374"/>
      <c r="CO55" s="374"/>
      <c r="CP55" s="374"/>
      <c r="CQ55" s="374"/>
      <c r="CR55" s="374"/>
    </row>
    <row r="56" spans="1:97" s="313" customFormat="1">
      <c r="Q56" s="319"/>
      <c r="R56"/>
      <c r="S56"/>
      <c r="T56"/>
      <c r="U56"/>
      <c r="V56"/>
      <c r="W56"/>
      <c r="X56"/>
      <c r="Y56"/>
      <c r="Z56" s="374"/>
      <c r="AA56" s="288"/>
      <c r="AB56" s="288"/>
      <c r="AC56" s="288"/>
      <c r="AD56" s="288"/>
      <c r="AS56" s="12"/>
      <c r="BC56" s="311"/>
      <c r="BD56" s="311"/>
      <c r="BE56" s="311"/>
      <c r="BF56" s="311"/>
      <c r="BG56" s="114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/>
      <c r="BZ56"/>
      <c r="CA56"/>
      <c r="CB56"/>
      <c r="CC56" s="342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74"/>
      <c r="CO56" s="374"/>
      <c r="CP56" s="374"/>
      <c r="CQ56" s="374"/>
      <c r="CR56" s="374"/>
    </row>
    <row r="57" spans="1:97" s="313" customFormat="1">
      <c r="G57" s="374"/>
      <c r="H57" s="374"/>
      <c r="I57" s="374"/>
      <c r="J57" s="374"/>
      <c r="K57" s="287"/>
      <c r="L57" s="374"/>
      <c r="Q57" s="319"/>
      <c r="R57"/>
      <c r="S57"/>
      <c r="T57"/>
      <c r="U57"/>
      <c r="V57"/>
      <c r="W57"/>
      <c r="X57"/>
      <c r="Y57"/>
      <c r="Z57" s="374"/>
      <c r="AA57" s="373"/>
      <c r="AB57" s="373"/>
      <c r="AC57" s="373"/>
      <c r="AD57" s="373"/>
      <c r="AS57" s="12"/>
      <c r="BC57" s="311"/>
      <c r="BD57" s="311"/>
      <c r="BE57" s="311"/>
      <c r="BF57" s="311"/>
      <c r="BG57" s="114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1"/>
      <c r="BT57" s="311"/>
      <c r="BU57" s="311"/>
      <c r="BV57" s="311"/>
      <c r="BW57" s="311"/>
      <c r="BX57" s="311"/>
      <c r="BY57"/>
      <c r="BZ57"/>
      <c r="CA57"/>
      <c r="CB57"/>
      <c r="CC57"/>
      <c r="CD57" s="311"/>
      <c r="CE57" s="311"/>
      <c r="CF57" s="311"/>
      <c r="CG57" s="311"/>
      <c r="CH57" s="311"/>
      <c r="CI57" s="311"/>
      <c r="CJ57" s="311"/>
      <c r="CK57" s="311"/>
      <c r="CL57" s="311"/>
      <c r="CM57" s="311"/>
      <c r="CN57" s="374"/>
      <c r="CO57" s="374"/>
      <c r="CP57" s="374"/>
      <c r="CQ57" s="374"/>
      <c r="CR57" s="374"/>
    </row>
    <row r="58" spans="1:97" s="313" customFormat="1">
      <c r="C58" s="334"/>
      <c r="Q58" s="319"/>
      <c r="R58"/>
      <c r="S58"/>
      <c r="T58"/>
      <c r="U58"/>
      <c r="V58"/>
      <c r="W58"/>
      <c r="X58"/>
      <c r="Y58"/>
      <c r="Z58" s="374"/>
      <c r="AA58" s="374"/>
      <c r="AB58" s="374"/>
      <c r="AC58" s="374"/>
      <c r="AD58" s="374"/>
      <c r="AS58" s="12"/>
      <c r="BC58" s="311"/>
      <c r="BD58" s="311"/>
      <c r="BE58" s="311"/>
      <c r="BF58" s="311"/>
      <c r="BG58" s="114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1"/>
      <c r="CL58" s="311"/>
      <c r="CM58" s="311"/>
      <c r="CN58" s="374"/>
      <c r="CO58" s="374"/>
      <c r="CP58" s="374"/>
      <c r="CQ58" s="374"/>
      <c r="CR58" s="374"/>
    </row>
    <row r="59" spans="1:97" s="313" customFormat="1">
      <c r="Q59" s="319"/>
      <c r="R59"/>
      <c r="S59"/>
      <c r="T59"/>
      <c r="U59"/>
      <c r="V59"/>
      <c r="W59"/>
      <c r="X59"/>
      <c r="Y59"/>
      <c r="Z59" s="374"/>
      <c r="AA59" s="374"/>
      <c r="AB59" s="374"/>
      <c r="AC59" s="374"/>
      <c r="AD59" s="374"/>
      <c r="AS59" s="12"/>
      <c r="BC59" s="311"/>
      <c r="BD59" s="311"/>
      <c r="BE59" s="311"/>
      <c r="BF59" s="311"/>
      <c r="BG59" s="114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1"/>
      <c r="CL59" s="311"/>
      <c r="CM59" s="311"/>
      <c r="CN59" s="374"/>
      <c r="CO59" s="374"/>
      <c r="CP59" s="374"/>
      <c r="CQ59" s="374"/>
      <c r="CR59" s="374"/>
    </row>
    <row r="60" spans="1:97" s="313" customFormat="1">
      <c r="Q60" s="319"/>
      <c r="R60"/>
      <c r="S60"/>
      <c r="T60"/>
      <c r="U60"/>
      <c r="V60"/>
      <c r="W60"/>
      <c r="X60"/>
      <c r="Y60"/>
      <c r="Z60" s="374"/>
      <c r="AA60" s="374"/>
      <c r="AB60" s="374"/>
      <c r="AC60" s="374"/>
      <c r="AD60" s="374"/>
      <c r="AS60" s="12"/>
      <c r="BC60" s="311"/>
      <c r="BD60" s="311"/>
      <c r="BE60" s="311"/>
      <c r="BF60" s="311"/>
      <c r="BG60" s="114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1"/>
      <c r="CL60" s="311"/>
      <c r="CM60" s="311"/>
      <c r="CN60" s="374"/>
      <c r="CO60" s="374"/>
      <c r="CP60" s="374"/>
      <c r="CQ60" s="374"/>
      <c r="CR60" s="374"/>
    </row>
    <row r="61" spans="1:97" s="313" customFormat="1">
      <c r="R61"/>
      <c r="S61"/>
      <c r="T61"/>
      <c r="U61"/>
      <c r="V61"/>
      <c r="W61"/>
      <c r="X61"/>
      <c r="Y61"/>
      <c r="Z61" s="374"/>
      <c r="AA61" s="374"/>
      <c r="AB61" s="374"/>
      <c r="AC61" s="374"/>
      <c r="AD61" s="374"/>
      <c r="AS61" s="12"/>
      <c r="BC61" s="311"/>
      <c r="BD61" s="311"/>
      <c r="BE61" s="311"/>
      <c r="BF61" s="311"/>
      <c r="BG61" s="114"/>
      <c r="BH61" s="311"/>
      <c r="BI61" s="311"/>
      <c r="BJ61" s="311"/>
      <c r="BK61" s="311"/>
      <c r="BL61" s="311"/>
      <c r="BM61" s="311"/>
      <c r="BN61" s="311"/>
      <c r="BO61" s="93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1"/>
      <c r="CL61" s="311"/>
      <c r="CM61" s="311"/>
      <c r="CN61" s="374"/>
      <c r="CO61" s="374"/>
      <c r="CP61" s="374"/>
      <c r="CQ61" s="374"/>
      <c r="CR61" s="374"/>
    </row>
    <row r="62" spans="1:97" s="313" customFormat="1">
      <c r="R62"/>
      <c r="S62"/>
      <c r="T62"/>
      <c r="U62"/>
      <c r="V62"/>
      <c r="W62"/>
      <c r="X62"/>
      <c r="Y62"/>
      <c r="Z62" s="374"/>
      <c r="AA62" s="374"/>
      <c r="AB62" s="374"/>
      <c r="AC62" s="374"/>
      <c r="AD62" s="374"/>
      <c r="AS62" s="12"/>
      <c r="BC62" s="311"/>
      <c r="BD62" s="311"/>
      <c r="BE62" s="311"/>
      <c r="BF62" s="311"/>
      <c r="BG62" s="114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74"/>
      <c r="CO62" s="374"/>
      <c r="CP62" s="374"/>
      <c r="CQ62" s="374"/>
      <c r="CR62" s="374"/>
    </row>
    <row r="63" spans="1:97" s="313" customFormat="1">
      <c r="R63"/>
      <c r="S63"/>
      <c r="T63"/>
      <c r="U63"/>
      <c r="V63"/>
      <c r="W63"/>
      <c r="X63"/>
      <c r="Y63"/>
      <c r="Z63" s="374"/>
      <c r="AA63" s="374"/>
      <c r="AB63" s="374"/>
      <c r="AC63" s="374"/>
      <c r="AD63" s="374"/>
      <c r="AS63" s="12"/>
      <c r="BC63" s="311"/>
      <c r="BD63" s="311"/>
      <c r="BE63" s="311"/>
      <c r="BF63" s="311"/>
      <c r="BG63" s="114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1"/>
      <c r="CL63" s="311"/>
      <c r="CM63" s="311"/>
      <c r="CN63" s="374"/>
      <c r="CO63" s="374"/>
      <c r="CP63" s="374"/>
      <c r="CQ63" s="374"/>
      <c r="CR63" s="374"/>
    </row>
    <row r="64" spans="1:97" s="313" customFormat="1">
      <c r="R64"/>
      <c r="S64"/>
      <c r="T64"/>
      <c r="U64"/>
      <c r="V64"/>
      <c r="W64"/>
      <c r="X64"/>
      <c r="Y64"/>
      <c r="Z64" s="374"/>
      <c r="AA64" s="374"/>
      <c r="AB64" s="374"/>
      <c r="AC64" s="374"/>
      <c r="AD64" s="374"/>
      <c r="AS64" s="12"/>
      <c r="BC64" s="311"/>
      <c r="BD64" s="311"/>
      <c r="BE64" s="311"/>
      <c r="BF64" s="311"/>
      <c r="BG64" s="114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1"/>
      <c r="CL64" s="311"/>
      <c r="CM64" s="311"/>
      <c r="CN64" s="374"/>
      <c r="CO64" s="374"/>
      <c r="CP64" s="374"/>
      <c r="CQ64" s="374"/>
      <c r="CR64" s="374"/>
    </row>
    <row r="65" spans="18:96" s="313" customFormat="1">
      <c r="R65"/>
      <c r="S65"/>
      <c r="T65"/>
      <c r="U65"/>
      <c r="V65"/>
      <c r="W65"/>
      <c r="X65"/>
      <c r="Y65"/>
      <c r="Z65" s="374"/>
      <c r="AA65" s="374"/>
      <c r="AB65" s="374"/>
      <c r="AC65" s="374"/>
      <c r="AD65" s="374"/>
      <c r="AS65" s="12"/>
      <c r="BC65" s="311"/>
      <c r="BD65" s="311"/>
      <c r="BE65" s="311"/>
      <c r="BF65" s="311"/>
      <c r="BG65" s="114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11"/>
      <c r="BT65" s="311"/>
      <c r="BU65" s="311"/>
      <c r="BV65" s="311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1"/>
      <c r="CL65" s="311"/>
      <c r="CM65" s="311"/>
      <c r="CN65" s="374"/>
      <c r="CO65" s="374"/>
      <c r="CP65" s="374"/>
      <c r="CQ65" s="374"/>
      <c r="CR65" s="374"/>
    </row>
    <row r="66" spans="18:96" s="313" customFormat="1">
      <c r="R66"/>
      <c r="S66"/>
      <c r="T66"/>
      <c r="U66"/>
      <c r="V66"/>
      <c r="W66"/>
      <c r="X66"/>
      <c r="Y66"/>
      <c r="Z66" s="374"/>
      <c r="AA66" s="374"/>
      <c r="AB66" s="374"/>
      <c r="AC66" s="374"/>
      <c r="AD66" s="374"/>
      <c r="AS66" s="12"/>
      <c r="BC66" s="311"/>
      <c r="BD66" s="311"/>
      <c r="BE66" s="311"/>
      <c r="BF66" s="311"/>
      <c r="BG66" s="114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1"/>
      <c r="CL66" s="311"/>
      <c r="CM66" s="311"/>
      <c r="CN66" s="374"/>
      <c r="CO66" s="374"/>
      <c r="CP66" s="374"/>
      <c r="CQ66" s="374"/>
      <c r="CR66" s="374"/>
    </row>
    <row r="67" spans="18:96" s="313" customFormat="1">
      <c r="R67"/>
      <c r="S67"/>
      <c r="T67"/>
      <c r="U67"/>
      <c r="V67"/>
      <c r="W67"/>
      <c r="X67"/>
      <c r="Y67"/>
      <c r="Z67" s="374"/>
      <c r="AA67" s="374"/>
      <c r="AB67" s="374"/>
      <c r="AC67" s="374"/>
      <c r="AD67" s="374"/>
      <c r="AS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74"/>
      <c r="CO67" s="374"/>
      <c r="CP67" s="374"/>
      <c r="CQ67" s="374"/>
      <c r="CR67" s="374"/>
    </row>
    <row r="68" spans="18:96" s="313" customFormat="1">
      <c r="R68"/>
      <c r="S68"/>
      <c r="T68"/>
      <c r="U68"/>
      <c r="V68"/>
      <c r="W68"/>
      <c r="X68"/>
      <c r="Y68"/>
      <c r="Z68" s="374"/>
      <c r="AA68" s="374"/>
      <c r="AB68" s="374"/>
      <c r="AC68" s="374"/>
      <c r="AD68" s="374"/>
      <c r="AS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1"/>
      <c r="BS68" s="311"/>
      <c r="BT68" s="311"/>
      <c r="BU68" s="311"/>
      <c r="BV68" s="311"/>
      <c r="BW68" s="311"/>
      <c r="BX68" s="311"/>
      <c r="BY68" s="311"/>
      <c r="BZ68" s="311"/>
      <c r="CA68" s="311"/>
      <c r="CB68" s="311"/>
      <c r="CC68" s="311"/>
      <c r="CD68" s="311"/>
      <c r="CE68" s="311"/>
      <c r="CF68" s="311"/>
      <c r="CG68" s="311"/>
      <c r="CH68" s="311"/>
      <c r="CI68" s="311"/>
      <c r="CJ68" s="311"/>
      <c r="CK68" s="311"/>
      <c r="CL68" s="311"/>
      <c r="CM68" s="311"/>
      <c r="CN68" s="374"/>
      <c r="CO68" s="374"/>
      <c r="CP68" s="374"/>
      <c r="CQ68" s="374"/>
      <c r="CR68" s="374"/>
    </row>
    <row r="69" spans="18:96" s="313" customFormat="1">
      <c r="R69"/>
      <c r="S69"/>
      <c r="T69"/>
      <c r="U69"/>
      <c r="V69"/>
      <c r="W69"/>
      <c r="X69"/>
      <c r="Y69"/>
      <c r="Z69" s="319"/>
      <c r="AA69" s="374"/>
      <c r="AB69" s="374"/>
      <c r="AC69" s="374"/>
      <c r="AD69" s="374"/>
      <c r="AS69" s="311"/>
      <c r="BC69" s="311"/>
      <c r="BD69" s="311"/>
      <c r="BE69" s="311"/>
      <c r="BF69" s="311"/>
      <c r="BG69" s="311"/>
      <c r="BH69" s="311"/>
      <c r="BI69" s="311"/>
      <c r="BJ69" s="311"/>
      <c r="BK69" s="311"/>
      <c r="BL69" s="311"/>
      <c r="BM69" s="311"/>
      <c r="BN69" s="311"/>
      <c r="BO69" s="311"/>
      <c r="BP69" s="311"/>
      <c r="BQ69" s="311"/>
      <c r="BR69" s="311"/>
      <c r="BS69" s="311"/>
      <c r="BT69" s="311"/>
      <c r="BU69" s="311"/>
      <c r="BV69" s="311"/>
      <c r="BW69" s="311"/>
      <c r="BX69" s="311"/>
      <c r="BY69" s="311"/>
      <c r="BZ69" s="311"/>
      <c r="CA69" s="311"/>
      <c r="CB69" s="311"/>
      <c r="CC69" s="311"/>
      <c r="CD69" s="311"/>
      <c r="CE69" s="311"/>
      <c r="CF69" s="311"/>
      <c r="CG69" s="311"/>
      <c r="CH69" s="311"/>
      <c r="CI69" s="311"/>
      <c r="CJ69" s="311"/>
      <c r="CK69" s="311"/>
      <c r="CL69" s="311"/>
      <c r="CM69" s="311"/>
      <c r="CN69" s="374"/>
      <c r="CO69" s="374"/>
      <c r="CP69" s="374"/>
      <c r="CQ69" s="374"/>
      <c r="CR69" s="374"/>
    </row>
    <row r="70" spans="18:96" s="313" customFormat="1">
      <c r="R70"/>
      <c r="S70"/>
      <c r="T70"/>
      <c r="U70"/>
      <c r="V70"/>
      <c r="W70"/>
      <c r="X70"/>
      <c r="Y70"/>
      <c r="Z70" s="319"/>
      <c r="AA70" s="374"/>
      <c r="AB70" s="374"/>
      <c r="AC70" s="374"/>
      <c r="AD70" s="374"/>
      <c r="AS70" s="12"/>
      <c r="BC70" s="311"/>
      <c r="BD70" s="311"/>
      <c r="BE70" s="311"/>
      <c r="BF70" s="311"/>
      <c r="BG70" s="311"/>
      <c r="BH70" s="311"/>
      <c r="BI70" s="311"/>
      <c r="BJ70" s="311"/>
      <c r="BK70" s="311"/>
      <c r="BL70" s="311"/>
      <c r="BM70" s="311"/>
      <c r="BN70" s="311"/>
      <c r="BO70" s="311"/>
      <c r="BP70" s="311"/>
      <c r="BQ70" s="311"/>
      <c r="BR70" s="311"/>
      <c r="BS70" s="311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F70" s="311"/>
      <c r="CG70" s="311"/>
      <c r="CH70" s="311"/>
      <c r="CI70" s="311"/>
      <c r="CJ70" s="311"/>
      <c r="CK70" s="311"/>
      <c r="CL70" s="311"/>
      <c r="CM70" s="311"/>
      <c r="CN70" s="374"/>
      <c r="CO70" s="374"/>
      <c r="CP70" s="374"/>
      <c r="CQ70" s="374"/>
      <c r="CR70" s="374"/>
    </row>
    <row r="71" spans="18:96" s="313" customFormat="1">
      <c r="R71"/>
      <c r="S71"/>
      <c r="T71"/>
      <c r="U71"/>
      <c r="V71"/>
      <c r="W71"/>
      <c r="X71"/>
      <c r="Y71"/>
      <c r="Z71" s="319"/>
      <c r="AA71" s="374"/>
      <c r="AB71" s="374"/>
      <c r="AC71" s="374"/>
      <c r="AD71" s="374"/>
      <c r="AS71" s="12"/>
      <c r="BC71" s="311"/>
      <c r="BD71" s="311"/>
      <c r="BE71" s="311"/>
      <c r="BF71" s="311"/>
      <c r="BG71" s="311"/>
      <c r="BH71" s="311"/>
      <c r="BI71" s="311"/>
      <c r="BJ71" s="311"/>
      <c r="BK71" s="311"/>
      <c r="BL71" s="311"/>
      <c r="BM71" s="311"/>
      <c r="BN71" s="311"/>
      <c r="BO71" s="311"/>
      <c r="BP71" s="31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311"/>
      <c r="CH71" s="311"/>
      <c r="CI71" s="311"/>
      <c r="CJ71" s="311"/>
      <c r="CK71" s="311"/>
      <c r="CL71" s="311"/>
      <c r="CM71" s="311"/>
      <c r="CN71" s="374"/>
      <c r="CO71" s="374"/>
      <c r="CP71" s="374"/>
      <c r="CQ71" s="374"/>
      <c r="CR71" s="374"/>
    </row>
    <row r="72" spans="18:96" s="313" customFormat="1">
      <c r="R72"/>
      <c r="S72"/>
      <c r="T72"/>
      <c r="U72"/>
      <c r="V72"/>
      <c r="W72"/>
      <c r="X72"/>
      <c r="Y72"/>
      <c r="Z72" s="319"/>
      <c r="AA72" s="319"/>
      <c r="AB72" s="319"/>
      <c r="AC72" s="319"/>
      <c r="AD72" s="319"/>
      <c r="AS72" s="12"/>
      <c r="BC72" s="311"/>
      <c r="BD72" s="311"/>
      <c r="BE72" s="311"/>
      <c r="BF72" s="311"/>
      <c r="BG72" s="311"/>
      <c r="BH72" s="311"/>
      <c r="BI72" s="311"/>
      <c r="BJ72" s="311"/>
      <c r="BK72" s="311"/>
      <c r="BL72" s="311"/>
      <c r="BM72" s="311"/>
      <c r="BN72" s="311"/>
      <c r="BO72" s="311"/>
      <c r="BP72" s="311"/>
      <c r="BQ72" s="311"/>
      <c r="BR72" s="311"/>
      <c r="BS72" s="311"/>
      <c r="BT72" s="311"/>
      <c r="BU72" s="311"/>
      <c r="BV72" s="311"/>
      <c r="BW72" s="311"/>
      <c r="BX72" s="311"/>
      <c r="BY72" s="311"/>
      <c r="BZ72" s="311"/>
      <c r="CA72" s="311"/>
      <c r="CB72" s="311"/>
      <c r="CC72" s="311"/>
      <c r="CD72" s="311"/>
      <c r="CE72" s="311"/>
      <c r="CF72" s="311"/>
      <c r="CG72" s="311"/>
      <c r="CH72" s="311"/>
      <c r="CI72" s="311"/>
      <c r="CJ72" s="311"/>
      <c r="CK72" s="311"/>
      <c r="CL72" s="311"/>
      <c r="CM72" s="311"/>
      <c r="CN72" s="374"/>
      <c r="CO72" s="374"/>
      <c r="CP72" s="374"/>
      <c r="CQ72" s="374"/>
      <c r="CR72" s="374"/>
    </row>
    <row r="73" spans="18:96" s="313" customFormat="1">
      <c r="R73"/>
      <c r="S73"/>
      <c r="T73"/>
      <c r="U73"/>
      <c r="V73"/>
      <c r="W73"/>
      <c r="X73"/>
      <c r="Y73"/>
      <c r="Z73" s="374"/>
      <c r="AA73" s="374"/>
      <c r="AB73" s="374"/>
      <c r="AC73" s="374"/>
      <c r="AD73" s="374"/>
      <c r="AS73" s="12"/>
      <c r="BC73" s="311"/>
      <c r="BD73" s="311"/>
      <c r="BE73" s="311"/>
      <c r="BF73" s="311"/>
      <c r="BG73" s="311"/>
      <c r="BH73" s="311"/>
      <c r="BI73" s="311"/>
      <c r="BJ73" s="311"/>
      <c r="BK73" s="311"/>
      <c r="BL73" s="311"/>
      <c r="BM73" s="311"/>
      <c r="BN73" s="311"/>
      <c r="BO73" s="311"/>
      <c r="BP73" s="311"/>
      <c r="BQ73" s="311"/>
      <c r="BR73" s="311"/>
      <c r="BS73" s="311"/>
      <c r="BT73" s="311"/>
      <c r="BU73" s="311"/>
      <c r="BV73" s="311"/>
      <c r="BW73" s="311"/>
      <c r="BX73" s="311"/>
      <c r="BY73" s="311"/>
      <c r="BZ73" s="311"/>
      <c r="CA73" s="311"/>
      <c r="CB73" s="311"/>
      <c r="CC73" s="311"/>
      <c r="CD73" s="311"/>
      <c r="CE73" s="311"/>
      <c r="CF73" s="311"/>
      <c r="CG73" s="311"/>
      <c r="CH73" s="311"/>
      <c r="CI73" s="311"/>
      <c r="CJ73" s="311"/>
      <c r="CK73" s="311"/>
      <c r="CL73" s="311"/>
      <c r="CM73" s="311"/>
      <c r="CN73" s="374"/>
      <c r="CO73" s="374"/>
      <c r="CP73" s="374"/>
      <c r="CQ73" s="374"/>
      <c r="CR73" s="374"/>
    </row>
    <row r="74" spans="18:96" s="313" customFormat="1">
      <c r="R74"/>
      <c r="S74"/>
      <c r="T74"/>
      <c r="U74"/>
      <c r="V74"/>
      <c r="W74"/>
      <c r="X74"/>
      <c r="Y74"/>
      <c r="Z74" s="374"/>
      <c r="AA74" s="374"/>
      <c r="AB74" s="374"/>
      <c r="AC74" s="374"/>
      <c r="AD74" s="374"/>
      <c r="AS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BR74" s="311"/>
      <c r="BS74" s="311"/>
      <c r="BT74" s="311"/>
      <c r="BU74" s="311"/>
      <c r="BV74" s="311"/>
      <c r="BW74" s="311"/>
      <c r="BX74" s="311"/>
      <c r="BY74" s="311"/>
      <c r="BZ74" s="311"/>
      <c r="CA74" s="311"/>
      <c r="CB74" s="311"/>
      <c r="CC74" s="311"/>
      <c r="CD74" s="311"/>
      <c r="CE74" s="311"/>
      <c r="CF74" s="311"/>
      <c r="CG74" s="311"/>
      <c r="CH74" s="311"/>
      <c r="CI74" s="311"/>
      <c r="CJ74" s="311"/>
      <c r="CK74" s="311"/>
      <c r="CL74" s="311"/>
      <c r="CM74" s="311"/>
      <c r="CN74" s="374"/>
      <c r="CO74" s="374"/>
      <c r="CP74" s="374"/>
      <c r="CQ74" s="374"/>
      <c r="CR74" s="374"/>
    </row>
    <row r="75" spans="18:96" s="313" customFormat="1">
      <c r="R75"/>
      <c r="S75"/>
      <c r="T75"/>
      <c r="U75"/>
      <c r="V75"/>
      <c r="W75"/>
      <c r="X75"/>
      <c r="Y75"/>
      <c r="Z75" s="374"/>
      <c r="AA75" s="374"/>
      <c r="AB75" s="374"/>
      <c r="AC75" s="374"/>
      <c r="AD75" s="374"/>
      <c r="AS75" s="311"/>
      <c r="BC75" s="311"/>
      <c r="BD75" s="311"/>
      <c r="BE75" s="311"/>
      <c r="BF75" s="311"/>
      <c r="BG75" s="311"/>
      <c r="BH75" s="311"/>
      <c r="BI75" s="311"/>
      <c r="BJ75" s="311"/>
      <c r="BK75" s="311"/>
      <c r="BL75" s="311"/>
      <c r="BM75" s="311"/>
      <c r="BN75" s="311"/>
      <c r="BO75" s="311"/>
      <c r="BP75" s="311"/>
      <c r="BQ75" s="311"/>
      <c r="BR75" s="311"/>
      <c r="BS75" s="311"/>
      <c r="BT75" s="311"/>
      <c r="BU75" s="311"/>
      <c r="BV75" s="311"/>
      <c r="BW75" s="311"/>
      <c r="BX75" s="311"/>
      <c r="BY75" s="311"/>
      <c r="BZ75" s="311"/>
      <c r="CA75" s="311"/>
      <c r="CB75" s="311"/>
      <c r="CC75" s="311"/>
      <c r="CD75" s="311"/>
      <c r="CE75" s="311"/>
      <c r="CF75" s="311"/>
      <c r="CG75" s="311"/>
      <c r="CH75" s="311"/>
      <c r="CI75" s="311"/>
      <c r="CJ75" s="311"/>
      <c r="CK75" s="311"/>
      <c r="CL75" s="311"/>
      <c r="CM75" s="311"/>
      <c r="CN75" s="374"/>
      <c r="CO75" s="374"/>
      <c r="CP75" s="374"/>
      <c r="CQ75" s="374"/>
      <c r="CR75" s="374"/>
    </row>
    <row r="76" spans="18:96" s="313" customFormat="1">
      <c r="R76"/>
      <c r="S76"/>
      <c r="T76"/>
      <c r="U76"/>
      <c r="V76"/>
      <c r="W76"/>
      <c r="X76"/>
      <c r="Y76"/>
      <c r="Z76" s="319"/>
      <c r="AA76" s="319"/>
      <c r="AB76" s="319"/>
      <c r="AC76" s="319"/>
      <c r="AD76" s="319"/>
      <c r="AS76" s="311"/>
      <c r="BC76" s="311"/>
      <c r="BD76" s="311"/>
      <c r="BE76" s="311"/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  <c r="BP76" s="311"/>
      <c r="BQ76" s="311"/>
      <c r="BR76" s="311"/>
      <c r="BS76" s="311"/>
      <c r="BT76" s="311"/>
      <c r="BU76" s="311"/>
      <c r="BV76" s="311"/>
      <c r="BW76" s="311"/>
      <c r="BX76" s="311"/>
      <c r="BY76" s="311"/>
      <c r="BZ76" s="311"/>
      <c r="CA76" s="311"/>
      <c r="CB76" s="311"/>
      <c r="CC76" s="311"/>
      <c r="CD76" s="311"/>
      <c r="CE76" s="311"/>
      <c r="CF76" s="311"/>
      <c r="CG76" s="311"/>
      <c r="CH76" s="311"/>
      <c r="CI76" s="311"/>
      <c r="CJ76" s="311"/>
      <c r="CK76" s="311"/>
      <c r="CL76" s="311"/>
      <c r="CM76" s="311"/>
      <c r="CN76" s="374"/>
      <c r="CO76" s="374"/>
      <c r="CP76" s="374"/>
      <c r="CQ76" s="374"/>
      <c r="CR76" s="374"/>
    </row>
    <row r="77" spans="18:96" s="313" customFormat="1">
      <c r="R77"/>
      <c r="S77"/>
      <c r="T77"/>
      <c r="U77"/>
      <c r="V77"/>
      <c r="W77"/>
      <c r="X77"/>
      <c r="Y77"/>
      <c r="Z77" s="289"/>
      <c r="AA77" s="288"/>
      <c r="AB77" s="288"/>
      <c r="AC77" s="288"/>
      <c r="AD77" s="288"/>
      <c r="AS77" s="311"/>
      <c r="BC77" s="311"/>
      <c r="BD77" s="311"/>
      <c r="BE77" s="311"/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1"/>
      <c r="BR77" s="311"/>
      <c r="BS77" s="311"/>
      <c r="BT77" s="311"/>
      <c r="BU77" s="311"/>
      <c r="BV77" s="311"/>
      <c r="BW77" s="311"/>
      <c r="BX77" s="311"/>
      <c r="BY77" s="311"/>
      <c r="BZ77" s="311"/>
      <c r="CA77" s="311"/>
      <c r="CB77" s="311"/>
      <c r="CC77" s="311"/>
      <c r="CD77" s="311"/>
      <c r="CE77" s="311"/>
      <c r="CF77" s="311"/>
      <c r="CG77" s="311"/>
      <c r="CH77" s="311"/>
      <c r="CI77" s="311"/>
      <c r="CJ77" s="311"/>
      <c r="CK77" s="311"/>
      <c r="CL77" s="311"/>
      <c r="CM77" s="311"/>
      <c r="CN77" s="374"/>
      <c r="CO77" s="374"/>
      <c r="CP77" s="374"/>
      <c r="CQ77" s="374"/>
      <c r="CR77" s="374"/>
    </row>
    <row r="78" spans="18:96" s="313" customFormat="1">
      <c r="R78"/>
      <c r="S78"/>
      <c r="T78"/>
      <c r="U78"/>
      <c r="V78"/>
      <c r="W78"/>
      <c r="X78"/>
      <c r="Y78"/>
      <c r="Z78" s="289"/>
      <c r="AA78" s="374"/>
      <c r="AB78" s="374"/>
      <c r="AC78" s="374"/>
      <c r="AD78" s="374"/>
      <c r="AS78" s="311"/>
      <c r="BC78" s="311"/>
      <c r="BD78" s="311"/>
      <c r="BE78" s="311"/>
      <c r="BF78" s="311"/>
      <c r="BG78" s="311"/>
      <c r="BH78" s="311"/>
      <c r="BI78" s="311"/>
      <c r="BJ78" s="311"/>
      <c r="BK78" s="311"/>
      <c r="BL78" s="311"/>
      <c r="BM78" s="311"/>
      <c r="BN78" s="311"/>
      <c r="BO78" s="311"/>
      <c r="BP78" s="311"/>
      <c r="BQ78" s="311"/>
      <c r="BR78" s="311"/>
      <c r="BS78" s="311"/>
      <c r="BT78" s="311"/>
      <c r="BU78" s="311"/>
      <c r="BV78" s="311"/>
      <c r="BW78" s="311"/>
      <c r="BX78" s="311"/>
      <c r="BY78" s="311"/>
      <c r="BZ78" s="311"/>
      <c r="CA78" s="311"/>
      <c r="CB78" s="311"/>
      <c r="CC78" s="311"/>
      <c r="CD78" s="311"/>
      <c r="CE78" s="311"/>
      <c r="CF78" s="311"/>
      <c r="CG78" s="311"/>
      <c r="CH78" s="311"/>
      <c r="CI78" s="311"/>
      <c r="CJ78" s="311"/>
      <c r="CK78" s="311"/>
      <c r="CL78" s="311"/>
      <c r="CM78" s="311"/>
      <c r="CN78" s="374"/>
      <c r="CO78" s="374"/>
      <c r="CP78" s="374"/>
      <c r="CQ78" s="374"/>
      <c r="CR78" s="374"/>
    </row>
    <row r="79" spans="18:96" s="313" customFormat="1">
      <c r="R79"/>
      <c r="S79"/>
      <c r="T79"/>
      <c r="U79"/>
      <c r="V79"/>
      <c r="W79"/>
      <c r="X79"/>
      <c r="Y79"/>
      <c r="Z79" s="288"/>
      <c r="AA79" s="307"/>
      <c r="AB79" s="307"/>
      <c r="AC79" s="307"/>
      <c r="AD79" s="287"/>
      <c r="AS79" s="311"/>
      <c r="AT79" s="311"/>
      <c r="AU79" s="311"/>
      <c r="AV79" s="311"/>
      <c r="AW79" s="311"/>
      <c r="BC79" s="311"/>
      <c r="BD79" s="311"/>
      <c r="BE79" s="311"/>
      <c r="BF79" s="311"/>
      <c r="BG79" s="311"/>
      <c r="BH79" s="311"/>
      <c r="BI79" s="311"/>
      <c r="BJ79" s="311"/>
      <c r="BK79" s="311"/>
      <c r="BL79" s="311"/>
      <c r="BM79" s="311"/>
      <c r="BN79" s="311"/>
      <c r="BO79" s="311"/>
      <c r="BP79" s="311"/>
      <c r="BQ79" s="311"/>
      <c r="BR79" s="311"/>
      <c r="BS79" s="311"/>
      <c r="BT79" s="311"/>
      <c r="BU79" s="311"/>
      <c r="BV79" s="311"/>
      <c r="BW79" s="311"/>
      <c r="BX79" s="311"/>
      <c r="BY79" s="311"/>
      <c r="BZ79" s="311"/>
      <c r="CA79" s="311"/>
      <c r="CB79" s="311"/>
      <c r="CC79" s="311"/>
      <c r="CD79" s="311"/>
      <c r="CE79" s="311"/>
      <c r="CF79" s="311"/>
      <c r="CG79" s="311"/>
      <c r="CH79" s="311"/>
      <c r="CI79" s="311"/>
      <c r="CJ79" s="311"/>
      <c r="CK79" s="311"/>
      <c r="CL79" s="311"/>
      <c r="CM79" s="311"/>
      <c r="CN79" s="374"/>
      <c r="CO79" s="374"/>
      <c r="CP79" s="374"/>
      <c r="CQ79" s="374"/>
      <c r="CR79" s="374"/>
    </row>
    <row r="80" spans="18:96" s="313" customFormat="1">
      <c r="R80"/>
      <c r="S80"/>
      <c r="T80"/>
      <c r="U80"/>
      <c r="V80"/>
      <c r="W80"/>
      <c r="X80"/>
      <c r="Y80"/>
      <c r="Z80" s="373"/>
      <c r="AA80" s="289"/>
      <c r="AB80" s="289"/>
      <c r="AC80" s="289"/>
      <c r="AD80" s="289"/>
      <c r="AS80" s="311"/>
      <c r="AT80" s="311"/>
      <c r="AU80" s="311"/>
      <c r="AV80" s="311"/>
      <c r="AW80" s="311"/>
      <c r="BC80" s="311"/>
      <c r="BD80" s="311"/>
      <c r="BE80" s="311"/>
      <c r="BF80" s="311"/>
      <c r="BG80" s="311"/>
      <c r="BH80" s="311"/>
      <c r="BI80" s="311"/>
      <c r="BJ80" s="311"/>
      <c r="BK80" s="311"/>
      <c r="BL80" s="311"/>
      <c r="BM80" s="311"/>
      <c r="BN80" s="311"/>
      <c r="BO80" s="311"/>
      <c r="BP80" s="311"/>
      <c r="BQ80" s="311"/>
      <c r="BR80" s="311"/>
      <c r="BS80" s="311"/>
      <c r="BT80" s="311"/>
      <c r="BU80" s="311"/>
      <c r="BV80" s="311"/>
      <c r="BW80" s="311"/>
      <c r="BX80" s="311"/>
      <c r="BY80" s="311"/>
      <c r="BZ80" s="311"/>
      <c r="CA80" s="311"/>
      <c r="CB80" s="311"/>
      <c r="CC80" s="311"/>
      <c r="CD80" s="311"/>
      <c r="CE80" s="311"/>
      <c r="CF80" s="311"/>
      <c r="CG80" s="311"/>
      <c r="CH80" s="311"/>
      <c r="CI80" s="311"/>
      <c r="CJ80" s="311"/>
      <c r="CK80" s="311"/>
      <c r="CL80" s="311"/>
      <c r="CM80" s="311"/>
      <c r="CN80" s="374"/>
      <c r="CO80" s="374"/>
      <c r="CP80" s="374"/>
      <c r="CQ80" s="374"/>
      <c r="CR80" s="374"/>
    </row>
    <row r="81" spans="18:96" s="313" customFormat="1">
      <c r="R81"/>
      <c r="S81"/>
      <c r="T81"/>
      <c r="U81"/>
      <c r="V81"/>
      <c r="W81"/>
      <c r="X81"/>
      <c r="Y81"/>
      <c r="Z81" s="373"/>
      <c r="AA81" s="289"/>
      <c r="AB81" s="289"/>
      <c r="AC81" s="289"/>
      <c r="AD81" s="289"/>
      <c r="AS81" s="311"/>
      <c r="AT81" s="311"/>
      <c r="AU81" s="311"/>
      <c r="AV81" s="311"/>
      <c r="AW81" s="311"/>
      <c r="BC81" s="311"/>
      <c r="BD81" s="311"/>
      <c r="BE81" s="311"/>
      <c r="BF81" s="311"/>
      <c r="BG81" s="311"/>
      <c r="BH81" s="311"/>
      <c r="BI81" s="311"/>
      <c r="BJ81" s="311"/>
      <c r="BK81" s="311"/>
      <c r="BL81" s="311"/>
      <c r="BM81" s="311"/>
      <c r="BN81" s="311"/>
      <c r="BO81" s="311"/>
      <c r="BP81" s="311"/>
      <c r="BQ81" s="311"/>
      <c r="BR81" s="311"/>
      <c r="BS81" s="311"/>
      <c r="BT81" s="311"/>
      <c r="BU81" s="311"/>
      <c r="BV81" s="311"/>
      <c r="BW81" s="311"/>
      <c r="BX81" s="311"/>
      <c r="BY81" s="311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74"/>
      <c r="CO81" s="374"/>
      <c r="CP81" s="374"/>
      <c r="CQ81" s="374"/>
      <c r="CR81" s="374"/>
    </row>
    <row r="82" spans="18:96" s="313" customFormat="1">
      <c r="R82"/>
      <c r="S82"/>
      <c r="T82"/>
      <c r="U82"/>
      <c r="V82"/>
      <c r="W82"/>
      <c r="X82"/>
      <c r="Y82"/>
      <c r="Z82" s="373"/>
      <c r="AA82" s="288"/>
      <c r="AB82" s="289"/>
      <c r="AC82" s="289"/>
      <c r="AD82" s="289"/>
      <c r="AS82" s="311"/>
      <c r="BC82" s="311"/>
      <c r="BD82" s="311"/>
      <c r="BE82" s="311"/>
      <c r="BF82" s="311"/>
      <c r="BG82" s="311"/>
      <c r="BH82" s="311"/>
      <c r="BI82" s="311"/>
      <c r="BJ82" s="311"/>
      <c r="BK82" s="311"/>
      <c r="BL82" s="311"/>
      <c r="BM82" s="311"/>
      <c r="BN82" s="311"/>
      <c r="BO82" s="311"/>
      <c r="BP82" s="311"/>
      <c r="BQ82" s="311"/>
      <c r="BR82" s="311"/>
      <c r="BS82" s="311"/>
      <c r="BT82" s="311"/>
      <c r="BU82" s="311"/>
      <c r="BV82" s="311"/>
      <c r="BW82" s="311"/>
      <c r="BX82" s="311"/>
      <c r="BY82" s="311"/>
      <c r="BZ82" s="311"/>
      <c r="CA82" s="311"/>
      <c r="CB82" s="311"/>
      <c r="CC82" s="311"/>
      <c r="CD82" s="311"/>
      <c r="CE82" s="311"/>
      <c r="CF82" s="311"/>
      <c r="CG82" s="311"/>
      <c r="CH82" s="311"/>
      <c r="CI82" s="311"/>
      <c r="CJ82" s="311"/>
      <c r="CK82" s="311"/>
      <c r="CL82" s="311"/>
      <c r="CM82" s="311"/>
      <c r="CN82" s="374"/>
      <c r="CO82" s="374"/>
      <c r="CP82" s="374"/>
      <c r="CQ82" s="374"/>
      <c r="CR82" s="374"/>
    </row>
    <row r="83" spans="18:96" s="313" customFormat="1">
      <c r="R83"/>
      <c r="S83"/>
      <c r="T83"/>
      <c r="U83"/>
      <c r="V83"/>
      <c r="W83"/>
      <c r="X83"/>
      <c r="Y83"/>
      <c r="Z83" s="289"/>
      <c r="AA83" s="373"/>
      <c r="AB83" s="289"/>
      <c r="AC83" s="289"/>
      <c r="AD83" s="289"/>
      <c r="AS83" s="311"/>
      <c r="BC83" s="311"/>
      <c r="BD83" s="311"/>
      <c r="BE83" s="311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1"/>
      <c r="BS83" s="311"/>
      <c r="BT83" s="311"/>
      <c r="BU83" s="311"/>
      <c r="BV83" s="311"/>
      <c r="BW83" s="311"/>
      <c r="BX83" s="311"/>
      <c r="BY83" s="311"/>
      <c r="BZ83" s="311"/>
      <c r="CA83" s="311"/>
      <c r="CB83" s="311"/>
      <c r="CC83" s="311"/>
      <c r="CD83" s="311"/>
      <c r="CE83" s="311"/>
      <c r="CF83" s="311"/>
      <c r="CG83" s="311"/>
      <c r="CH83" s="311"/>
      <c r="CI83" s="311"/>
      <c r="CJ83" s="311"/>
      <c r="CK83" s="311"/>
      <c r="CL83" s="311"/>
      <c r="CM83" s="311"/>
      <c r="CN83" s="374"/>
      <c r="CO83" s="374"/>
      <c r="CP83" s="374"/>
      <c r="CQ83" s="374"/>
      <c r="CR83" s="374"/>
    </row>
    <row r="84" spans="18:96" s="313" customFormat="1">
      <c r="R84"/>
      <c r="S84"/>
      <c r="T84"/>
      <c r="U84"/>
      <c r="V84"/>
      <c r="W84"/>
      <c r="X84"/>
      <c r="Y84"/>
      <c r="Z84" s="289"/>
      <c r="AA84" s="373"/>
      <c r="AB84" s="289"/>
      <c r="AC84" s="289"/>
      <c r="AD84" s="289"/>
      <c r="AS84" s="311"/>
      <c r="BC84" s="311"/>
      <c r="BD84" s="311"/>
      <c r="BE84" s="311"/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1"/>
      <c r="BS84" s="311"/>
      <c r="BT84" s="311"/>
      <c r="BU84" s="311"/>
      <c r="BV84" s="311"/>
      <c r="BW84" s="311"/>
      <c r="BX84" s="311"/>
      <c r="BY84" s="311"/>
      <c r="BZ84" s="311"/>
      <c r="CA84" s="311"/>
      <c r="CB84" s="311"/>
      <c r="CC84" s="311"/>
      <c r="CD84" s="311"/>
      <c r="CE84" s="311"/>
      <c r="CF84" s="311"/>
      <c r="CG84" s="311"/>
      <c r="CH84" s="311"/>
      <c r="CI84" s="311"/>
      <c r="CJ84" s="311"/>
      <c r="CK84" s="311"/>
      <c r="CL84" s="311"/>
      <c r="CM84" s="311"/>
      <c r="CN84" s="374"/>
      <c r="CO84" s="374"/>
      <c r="CP84" s="374"/>
      <c r="CQ84" s="374"/>
      <c r="CR84" s="374"/>
    </row>
    <row r="85" spans="18:96" s="313" customFormat="1">
      <c r="R85"/>
      <c r="S85"/>
      <c r="T85"/>
      <c r="U85"/>
      <c r="V85"/>
      <c r="W85"/>
      <c r="X85"/>
      <c r="Y85"/>
      <c r="Z85" s="373"/>
      <c r="AA85" s="373"/>
      <c r="AB85" s="289"/>
      <c r="AC85" s="289"/>
      <c r="AD85" s="289"/>
      <c r="AS85" s="311"/>
      <c r="BC85" s="311"/>
      <c r="BD85" s="311"/>
      <c r="BE85" s="311"/>
      <c r="BF85" s="311"/>
      <c r="BG85" s="311"/>
      <c r="BH85" s="311"/>
      <c r="BI85" s="311"/>
      <c r="BJ85" s="311"/>
      <c r="BK85" s="311"/>
      <c r="BL85" s="311"/>
      <c r="BM85" s="311"/>
      <c r="BN85" s="311"/>
      <c r="BO85" s="311"/>
      <c r="BP85" s="311"/>
      <c r="BQ85" s="311"/>
      <c r="BR85" s="311"/>
      <c r="BS85" s="311"/>
      <c r="BT85" s="311"/>
      <c r="BU85" s="311"/>
      <c r="BV85" s="311"/>
      <c r="BW85" s="311"/>
      <c r="BX85" s="311"/>
      <c r="BY85" s="311"/>
      <c r="BZ85" s="311"/>
      <c r="CA85" s="311"/>
      <c r="CB85" s="311"/>
      <c r="CC85" s="311"/>
      <c r="CD85" s="311"/>
      <c r="CE85" s="311"/>
      <c r="CF85" s="311"/>
      <c r="CG85" s="311"/>
      <c r="CH85" s="311"/>
      <c r="CI85" s="311"/>
      <c r="CJ85" s="311"/>
      <c r="CK85" s="311"/>
      <c r="CL85" s="311"/>
      <c r="CM85" s="311"/>
      <c r="CN85" s="374"/>
      <c r="CO85" s="374"/>
      <c r="CP85" s="374"/>
      <c r="CQ85" s="374"/>
      <c r="CR85" s="374"/>
    </row>
    <row r="86" spans="18:96" s="313" customFormat="1">
      <c r="R86"/>
      <c r="S86"/>
      <c r="T86"/>
      <c r="U86"/>
      <c r="V86"/>
      <c r="W86"/>
      <c r="X86"/>
      <c r="Y86"/>
      <c r="Z86" s="288"/>
      <c r="AA86" s="289"/>
      <c r="AB86" s="289"/>
      <c r="AC86" s="289"/>
      <c r="AD86" s="289"/>
      <c r="AS86" s="311"/>
      <c r="BC86" s="311"/>
      <c r="BD86" s="311"/>
      <c r="BE86" s="311"/>
      <c r="BF86" s="311"/>
      <c r="BG86" s="311"/>
      <c r="BH86" s="311"/>
      <c r="BI86" s="311"/>
      <c r="BJ86" s="311"/>
      <c r="BK86" s="311"/>
      <c r="BL86" s="311"/>
      <c r="BM86" s="311"/>
      <c r="BN86" s="311"/>
      <c r="BO86" s="311"/>
      <c r="BP86" s="311"/>
      <c r="BQ86" s="311"/>
      <c r="BR86" s="311"/>
      <c r="BS86" s="311"/>
      <c r="BT86" s="311"/>
      <c r="BU86" s="311"/>
      <c r="BV86" s="311"/>
      <c r="BW86" s="311"/>
      <c r="BX86" s="311"/>
      <c r="BY86" s="311"/>
      <c r="BZ86" s="311"/>
      <c r="CA86" s="311"/>
      <c r="CB86" s="311"/>
      <c r="CC86" s="311"/>
      <c r="CD86" s="311"/>
      <c r="CE86" s="311"/>
      <c r="CF86" s="311"/>
      <c r="CG86" s="311"/>
      <c r="CH86" s="311"/>
      <c r="CI86" s="311"/>
      <c r="CJ86" s="311"/>
      <c r="CK86" s="311"/>
      <c r="CL86" s="311"/>
      <c r="CM86" s="311"/>
      <c r="CN86" s="374"/>
      <c r="CO86" s="374"/>
      <c r="CP86" s="374"/>
      <c r="CQ86" s="374"/>
      <c r="CR86" s="374"/>
    </row>
    <row r="87" spans="18:96" s="313" customFormat="1">
      <c r="R87"/>
      <c r="S87"/>
      <c r="T87"/>
      <c r="U87"/>
      <c r="V87"/>
      <c r="W87"/>
      <c r="X87"/>
      <c r="Y87"/>
      <c r="Z87" s="373"/>
      <c r="AA87" s="289"/>
      <c r="AB87" s="289"/>
      <c r="AC87" s="289"/>
      <c r="AD87" s="289"/>
      <c r="AS87" s="311"/>
      <c r="BC87" s="311"/>
      <c r="BD87" s="311"/>
      <c r="BE87" s="311"/>
      <c r="BF87" s="311"/>
      <c r="BG87" s="311"/>
      <c r="BH87" s="311"/>
      <c r="BI87" s="311"/>
      <c r="BJ87" s="311"/>
      <c r="BK87" s="311"/>
      <c r="BL87" s="311"/>
      <c r="BM87" s="311"/>
      <c r="BN87" s="311"/>
      <c r="BO87" s="311"/>
      <c r="BP87" s="311"/>
      <c r="BQ87" s="311"/>
      <c r="BR87" s="311"/>
      <c r="BS87" s="311"/>
      <c r="BT87" s="311"/>
      <c r="BU87" s="311"/>
      <c r="BV87" s="311"/>
      <c r="BW87" s="311"/>
      <c r="BX87" s="311"/>
      <c r="BY87" s="311"/>
      <c r="BZ87" s="311"/>
      <c r="CA87" s="311"/>
      <c r="CB87" s="311"/>
      <c r="CC87" s="311"/>
      <c r="CD87" s="311"/>
      <c r="CE87" s="311"/>
      <c r="CF87" s="311"/>
      <c r="CG87" s="311"/>
      <c r="CH87" s="311"/>
      <c r="CI87" s="311"/>
      <c r="CJ87" s="311"/>
      <c r="CK87" s="311"/>
      <c r="CL87" s="311"/>
      <c r="CM87" s="311"/>
      <c r="CN87" s="374"/>
      <c r="CO87" s="374"/>
      <c r="CP87" s="374"/>
      <c r="CQ87" s="374"/>
      <c r="CR87" s="374"/>
    </row>
    <row r="88" spans="18:96" s="313" customFormat="1">
      <c r="R88"/>
      <c r="S88"/>
      <c r="T88"/>
      <c r="U88"/>
      <c r="V88"/>
      <c r="W88"/>
      <c r="X88"/>
      <c r="Y88"/>
      <c r="Z88" s="374"/>
      <c r="AA88" s="373"/>
      <c r="AB88" s="289"/>
      <c r="AC88" s="289"/>
      <c r="AD88" s="289"/>
      <c r="AS88" s="311"/>
      <c r="BC88" s="311"/>
      <c r="BD88" s="311"/>
      <c r="BE88" s="311"/>
      <c r="BF88" s="311"/>
      <c r="BG88" s="311"/>
      <c r="BH88" s="311"/>
      <c r="BI88" s="311"/>
      <c r="BJ88" s="311"/>
      <c r="BK88" s="311"/>
      <c r="BL88" s="311"/>
      <c r="BM88" s="311"/>
      <c r="BN88" s="311"/>
      <c r="BO88" s="311"/>
      <c r="BP88" s="311"/>
      <c r="BQ88" s="311"/>
      <c r="BR88" s="311"/>
      <c r="BS88" s="311"/>
      <c r="BT88" s="311"/>
      <c r="BU88" s="311"/>
      <c r="BV88" s="311"/>
      <c r="BW88" s="311"/>
      <c r="BX88" s="311"/>
      <c r="BY88" s="311"/>
      <c r="BZ88" s="311"/>
      <c r="CA88" s="311"/>
      <c r="CB88" s="311"/>
      <c r="CC88" s="311"/>
      <c r="CD88" s="311"/>
      <c r="CE88" s="311"/>
      <c r="CF88" s="311"/>
      <c r="CG88" s="311"/>
      <c r="CH88" s="311"/>
      <c r="CI88" s="311"/>
      <c r="CJ88" s="311"/>
      <c r="CK88" s="311"/>
      <c r="CL88" s="311"/>
      <c r="CM88" s="311"/>
      <c r="CN88" s="374"/>
      <c r="CO88" s="374"/>
      <c r="CP88" s="374"/>
      <c r="CQ88" s="374"/>
      <c r="CR88" s="374"/>
    </row>
    <row r="89" spans="18:96" s="313" customFormat="1">
      <c r="R89"/>
      <c r="S89"/>
      <c r="T89"/>
      <c r="U89"/>
      <c r="V89"/>
      <c r="W89"/>
      <c r="X89"/>
      <c r="Y89"/>
      <c r="Z89" s="374"/>
      <c r="AA89" s="288"/>
      <c r="AB89" s="289"/>
      <c r="AC89" s="289"/>
      <c r="AD89" s="289"/>
      <c r="AS89" s="311"/>
      <c r="BC89" s="311"/>
      <c r="BD89" s="311"/>
      <c r="BE89" s="311"/>
      <c r="BF89" s="311"/>
      <c r="BG89" s="311"/>
      <c r="BH89" s="311"/>
      <c r="BI89" s="311"/>
      <c r="BJ89" s="311"/>
      <c r="BK89" s="311"/>
      <c r="BL89" s="311"/>
      <c r="BM89" s="311"/>
      <c r="BN89" s="311"/>
      <c r="BO89" s="311"/>
      <c r="BP89" s="311"/>
      <c r="BQ89" s="311"/>
      <c r="BR89" s="311"/>
      <c r="BS89" s="311"/>
      <c r="BT89" s="311"/>
      <c r="BU89" s="311"/>
      <c r="BV89" s="311"/>
      <c r="BW89" s="311"/>
      <c r="BX89" s="311"/>
      <c r="BY89" s="311"/>
      <c r="BZ89" s="311"/>
      <c r="CA89" s="311"/>
      <c r="CB89" s="311"/>
      <c r="CC89" s="311"/>
      <c r="CD89" s="311"/>
      <c r="CE89" s="311"/>
      <c r="CF89" s="311"/>
      <c r="CG89" s="311"/>
      <c r="CH89" s="311"/>
      <c r="CI89" s="311"/>
      <c r="CJ89" s="311"/>
      <c r="CK89" s="311"/>
      <c r="CL89" s="311"/>
      <c r="CM89" s="311"/>
      <c r="CN89" s="374"/>
      <c r="CO89" s="374"/>
      <c r="CP89" s="374"/>
      <c r="CQ89" s="374"/>
      <c r="CR89" s="374"/>
    </row>
    <row r="90" spans="18:96" s="313" customFormat="1">
      <c r="R90"/>
      <c r="S90"/>
      <c r="T90"/>
      <c r="U90"/>
      <c r="V90"/>
      <c r="W90"/>
      <c r="X90"/>
      <c r="Y90"/>
      <c r="Z90" s="374"/>
      <c r="AA90" s="373"/>
      <c r="AB90" s="289"/>
      <c r="AC90" s="289"/>
      <c r="AD90" s="289"/>
      <c r="AS90" s="311"/>
      <c r="BC90" s="311"/>
      <c r="BD90" s="311"/>
      <c r="BE90" s="311"/>
      <c r="BF90" s="311"/>
      <c r="BG90" s="311"/>
      <c r="BH90" s="311"/>
      <c r="BI90" s="311"/>
      <c r="BJ90" s="311"/>
      <c r="BK90" s="311"/>
      <c r="BL90" s="311"/>
      <c r="BM90" s="311"/>
      <c r="BN90" s="311"/>
      <c r="BO90" s="311"/>
      <c r="BP90" s="311"/>
      <c r="BQ90" s="311"/>
      <c r="BR90" s="311"/>
      <c r="BS90" s="311"/>
      <c r="BT90" s="311"/>
      <c r="BU90" s="311"/>
      <c r="BV90" s="311"/>
      <c r="BW90" s="311"/>
      <c r="BX90" s="311"/>
      <c r="BY90" s="311"/>
      <c r="BZ90" s="311"/>
      <c r="CA90" s="311"/>
      <c r="CB90" s="311"/>
      <c r="CC90" s="311"/>
      <c r="CD90" s="311"/>
      <c r="CE90" s="311"/>
      <c r="CF90" s="311"/>
      <c r="CG90" s="311"/>
      <c r="CH90" s="311"/>
      <c r="CI90" s="311"/>
      <c r="CJ90" s="311"/>
      <c r="CK90" s="311"/>
      <c r="CL90" s="311"/>
      <c r="CM90" s="311"/>
      <c r="CN90" s="374"/>
      <c r="CO90" s="374"/>
      <c r="CP90" s="374"/>
      <c r="CQ90" s="374"/>
      <c r="CR90" s="374"/>
    </row>
    <row r="91" spans="18:96" s="313" customFormat="1">
      <c r="R91"/>
      <c r="S91"/>
      <c r="T91"/>
      <c r="U91"/>
      <c r="V91"/>
      <c r="W91"/>
      <c r="X91"/>
      <c r="Y91"/>
      <c r="Z91" s="374"/>
      <c r="AA91" s="374"/>
      <c r="AB91" s="289"/>
      <c r="AC91" s="289"/>
      <c r="AD91" s="289"/>
      <c r="AS91" s="311"/>
      <c r="BC91" s="311"/>
      <c r="BD91" s="311"/>
      <c r="BE91" s="311"/>
      <c r="BF91" s="311"/>
      <c r="BG91" s="311"/>
      <c r="BH91" s="311"/>
      <c r="BI91" s="311"/>
      <c r="BJ91" s="311"/>
      <c r="BK91" s="311"/>
      <c r="BL91" s="311"/>
      <c r="BM91" s="311"/>
      <c r="BN91" s="311"/>
      <c r="BO91" s="311"/>
      <c r="BP91" s="311"/>
      <c r="BQ91" s="311"/>
      <c r="BR91" s="311"/>
      <c r="BS91" s="311"/>
      <c r="BT91" s="311"/>
      <c r="BU91" s="311"/>
      <c r="BV91" s="311"/>
      <c r="BW91" s="311"/>
      <c r="BX91" s="311"/>
      <c r="BY91" s="311"/>
      <c r="BZ91" s="311"/>
      <c r="CA91" s="311"/>
      <c r="CB91" s="311"/>
      <c r="CC91" s="311"/>
      <c r="CD91" s="311"/>
      <c r="CE91" s="311"/>
      <c r="CF91" s="311"/>
      <c r="CG91" s="311"/>
      <c r="CH91" s="311"/>
      <c r="CI91" s="311"/>
      <c r="CJ91" s="311"/>
      <c r="CK91" s="311"/>
      <c r="CL91" s="311"/>
      <c r="CM91" s="311"/>
      <c r="CN91" s="374"/>
      <c r="CO91" s="374"/>
      <c r="CP91" s="374"/>
      <c r="CQ91" s="374"/>
      <c r="CR91" s="374"/>
    </row>
    <row r="92" spans="18:96" s="313" customFormat="1">
      <c r="R92"/>
      <c r="S92"/>
      <c r="T92"/>
      <c r="U92"/>
      <c r="V92"/>
      <c r="W92"/>
      <c r="X92"/>
      <c r="Y92"/>
      <c r="Z92" s="374"/>
      <c r="AA92" s="374"/>
      <c r="AB92" s="289"/>
      <c r="AC92" s="289"/>
      <c r="AD92" s="289"/>
      <c r="AS92" s="311"/>
      <c r="BC92" s="311"/>
      <c r="BD92" s="311"/>
      <c r="BE92" s="311"/>
      <c r="BF92" s="311"/>
      <c r="BG92" s="311"/>
      <c r="BH92" s="311"/>
      <c r="BI92" s="311"/>
      <c r="BJ92" s="311"/>
      <c r="BK92" s="311"/>
      <c r="BL92" s="311"/>
      <c r="BM92" s="311"/>
      <c r="BN92" s="311"/>
      <c r="BO92" s="311"/>
      <c r="BP92" s="311"/>
      <c r="BQ92" s="311"/>
      <c r="BR92" s="311"/>
      <c r="BS92" s="311"/>
      <c r="BT92" s="311"/>
      <c r="BU92" s="311"/>
      <c r="BV92" s="311"/>
      <c r="BW92" s="311"/>
      <c r="BX92" s="311"/>
      <c r="BY92" s="311"/>
      <c r="BZ92" s="311"/>
      <c r="CA92" s="311"/>
      <c r="CB92" s="311"/>
      <c r="CC92" s="311"/>
      <c r="CD92" s="311"/>
      <c r="CE92" s="311"/>
      <c r="CF92" s="311"/>
      <c r="CG92" s="311"/>
      <c r="CH92" s="311"/>
      <c r="CI92" s="311"/>
      <c r="CJ92" s="311"/>
      <c r="CK92" s="311"/>
      <c r="CL92" s="311"/>
      <c r="CM92" s="311"/>
      <c r="CN92" s="374"/>
      <c r="CO92" s="374"/>
      <c r="CP92" s="374"/>
      <c r="CQ92" s="374"/>
      <c r="CR92" s="374"/>
    </row>
    <row r="93" spans="18:96" s="313" customFormat="1">
      <c r="R93"/>
      <c r="S93"/>
      <c r="T93"/>
      <c r="U93"/>
      <c r="V93"/>
      <c r="W93"/>
      <c r="X93"/>
      <c r="Y93"/>
      <c r="Z93" s="374"/>
      <c r="AA93" s="374"/>
      <c r="AB93" s="289"/>
      <c r="AC93" s="289"/>
      <c r="AD93" s="289"/>
      <c r="AS93" s="311"/>
      <c r="BC93" s="311"/>
      <c r="BD93" s="311"/>
      <c r="BE93" s="311"/>
      <c r="BF93" s="311"/>
      <c r="BG93" s="311"/>
      <c r="BH93" s="311"/>
      <c r="BI93" s="311"/>
      <c r="BJ93" s="311"/>
      <c r="BK93" s="311"/>
      <c r="BL93" s="311"/>
      <c r="BM93" s="311"/>
      <c r="BN93" s="311"/>
      <c r="BO93" s="311"/>
      <c r="BP93" s="311"/>
      <c r="BQ93" s="311"/>
      <c r="BR93" s="311"/>
      <c r="BS93" s="311"/>
      <c r="BT93" s="311"/>
      <c r="BU93" s="311"/>
      <c r="BV93" s="311"/>
      <c r="BW93" s="311"/>
      <c r="BX93" s="311"/>
      <c r="BY93" s="311"/>
      <c r="BZ93" s="311"/>
      <c r="CA93" s="311"/>
      <c r="CB93" s="311"/>
      <c r="CC93" s="311"/>
      <c r="CD93" s="311"/>
      <c r="CE93" s="311"/>
      <c r="CF93" s="311"/>
      <c r="CG93" s="311"/>
      <c r="CH93" s="311"/>
      <c r="CI93" s="311"/>
      <c r="CJ93" s="311"/>
      <c r="CK93" s="311"/>
      <c r="CL93" s="311"/>
      <c r="CM93" s="311"/>
      <c r="CN93" s="374"/>
      <c r="CO93" s="374"/>
      <c r="CP93" s="374"/>
      <c r="CQ93" s="374"/>
      <c r="CR93" s="374"/>
    </row>
    <row r="94" spans="18:96" s="313" customFormat="1">
      <c r="R94"/>
      <c r="S94"/>
      <c r="T94"/>
      <c r="U94"/>
      <c r="V94"/>
      <c r="W94"/>
      <c r="X94"/>
      <c r="Y94"/>
      <c r="Z94" s="374"/>
      <c r="AA94" s="374"/>
      <c r="AB94" s="289"/>
      <c r="AC94" s="289"/>
      <c r="AD94" s="289"/>
      <c r="AS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1"/>
      <c r="BN94" s="311"/>
      <c r="BO94" s="311"/>
      <c r="BP94" s="311"/>
      <c r="BQ94" s="311"/>
      <c r="BR94" s="311"/>
      <c r="BS94" s="311"/>
      <c r="BT94" s="311"/>
      <c r="BU94" s="311"/>
      <c r="BV94" s="311"/>
      <c r="BW94" s="311"/>
      <c r="BX94" s="311"/>
      <c r="BY94" s="311"/>
      <c r="BZ94" s="311"/>
      <c r="CA94" s="311"/>
      <c r="CB94" s="311"/>
      <c r="CC94" s="311"/>
      <c r="CD94" s="311"/>
      <c r="CE94" s="311"/>
      <c r="CF94" s="311"/>
      <c r="CG94" s="311"/>
      <c r="CH94" s="311"/>
      <c r="CI94" s="311"/>
      <c r="CJ94" s="311"/>
      <c r="CK94" s="311"/>
      <c r="CL94" s="311"/>
      <c r="CM94" s="311"/>
      <c r="CN94" s="374"/>
      <c r="CO94" s="374"/>
      <c r="CP94" s="374"/>
      <c r="CQ94" s="374"/>
      <c r="CR94" s="374"/>
    </row>
    <row r="95" spans="18:96" s="313" customFormat="1">
      <c r="R95"/>
      <c r="S95"/>
      <c r="T95"/>
      <c r="U95"/>
      <c r="V95"/>
      <c r="W95"/>
      <c r="X95"/>
      <c r="Y95"/>
      <c r="Z95" s="374"/>
      <c r="AA95" s="374"/>
      <c r="AB95" s="289"/>
      <c r="AC95" s="289"/>
      <c r="AD95" s="289"/>
      <c r="AS95" s="311"/>
      <c r="BC95" s="311"/>
      <c r="BD95" s="311"/>
      <c r="BE95" s="311"/>
      <c r="BF95" s="311"/>
      <c r="BG95" s="311"/>
      <c r="BH95" s="311"/>
      <c r="BI95" s="311"/>
      <c r="BJ95" s="311"/>
      <c r="BK95" s="311"/>
      <c r="BL95" s="311"/>
      <c r="BM95" s="311"/>
      <c r="BN95" s="311"/>
      <c r="BO95" s="311"/>
      <c r="BP95" s="311"/>
      <c r="BQ95" s="311"/>
      <c r="BR95" s="311"/>
      <c r="BS95" s="311"/>
      <c r="BT95" s="311"/>
      <c r="BU95" s="311"/>
      <c r="BV95" s="311"/>
      <c r="BW95" s="311"/>
      <c r="BX95" s="311"/>
      <c r="BY95" s="311"/>
      <c r="BZ95" s="311"/>
      <c r="CA95" s="311"/>
      <c r="CB95" s="311"/>
      <c r="CC95" s="311"/>
      <c r="CD95" s="311"/>
      <c r="CE95" s="311"/>
      <c r="CF95" s="311"/>
      <c r="CG95" s="311"/>
      <c r="CH95" s="311"/>
      <c r="CI95" s="311"/>
      <c r="CJ95" s="311"/>
      <c r="CK95" s="311"/>
      <c r="CL95" s="311"/>
      <c r="CM95" s="311"/>
      <c r="CN95" s="374"/>
      <c r="CO95" s="374"/>
      <c r="CP95" s="374"/>
      <c r="CQ95" s="374"/>
      <c r="CR95" s="374"/>
    </row>
    <row r="96" spans="18:96" s="313" customFormat="1">
      <c r="R96"/>
      <c r="S96"/>
      <c r="T96"/>
      <c r="U96"/>
      <c r="V96"/>
      <c r="W96"/>
      <c r="X96"/>
      <c r="Y96"/>
      <c r="Z96" s="374"/>
      <c r="AA96" s="374"/>
      <c r="AB96" s="289"/>
      <c r="AC96" s="289"/>
      <c r="AD96" s="289"/>
      <c r="AS96" s="311"/>
      <c r="BC96" s="311"/>
      <c r="BD96" s="311"/>
      <c r="BE96" s="311"/>
      <c r="BF96" s="311"/>
      <c r="BG96" s="311"/>
      <c r="BH96" s="311"/>
      <c r="BI96" s="311"/>
      <c r="BJ96" s="311"/>
      <c r="BK96" s="311"/>
      <c r="BL96" s="311"/>
      <c r="BM96" s="311"/>
      <c r="BN96" s="311"/>
      <c r="BO96" s="311"/>
      <c r="BP96" s="311"/>
      <c r="BQ96" s="311"/>
      <c r="BR96" s="311"/>
      <c r="BS96" s="311"/>
      <c r="BT96" s="311"/>
      <c r="BU96" s="311"/>
      <c r="BV96" s="311"/>
      <c r="BW96" s="311"/>
      <c r="BX96" s="311"/>
      <c r="BY96" s="311"/>
      <c r="BZ96" s="311"/>
      <c r="CA96" s="311"/>
      <c r="CB96" s="311"/>
      <c r="CC96" s="311"/>
      <c r="CD96" s="311"/>
      <c r="CE96" s="311"/>
      <c r="CF96" s="311"/>
      <c r="CG96" s="311"/>
      <c r="CH96" s="311"/>
      <c r="CI96" s="311"/>
      <c r="CJ96" s="311"/>
      <c r="CK96" s="311"/>
      <c r="CL96" s="311"/>
      <c r="CM96" s="311"/>
      <c r="CN96" s="374"/>
      <c r="CO96" s="374"/>
      <c r="CP96" s="374"/>
      <c r="CQ96" s="374"/>
      <c r="CR96" s="374"/>
    </row>
    <row r="97" spans="2:126" s="313" customFormat="1">
      <c r="R97"/>
      <c r="S97"/>
      <c r="T97"/>
      <c r="U97"/>
      <c r="V97"/>
      <c r="W97"/>
      <c r="X97"/>
      <c r="Y97"/>
      <c r="Z97" s="374"/>
      <c r="AA97" s="374"/>
      <c r="AB97" s="289"/>
      <c r="AC97" s="289"/>
      <c r="AD97" s="289"/>
      <c r="AS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1"/>
      <c r="CC97" s="311"/>
      <c r="CD97" s="311"/>
      <c r="CE97" s="311"/>
      <c r="CF97" s="311"/>
      <c r="CG97" s="311"/>
      <c r="CH97" s="311"/>
      <c r="CI97" s="311"/>
      <c r="CJ97" s="311"/>
      <c r="CK97" s="311"/>
      <c r="CL97" s="311"/>
      <c r="CM97" s="311"/>
      <c r="CN97" s="374"/>
      <c r="CO97" s="374"/>
      <c r="CP97" s="374"/>
      <c r="CQ97" s="374"/>
      <c r="CR97" s="374"/>
    </row>
    <row r="98" spans="2:126" s="313" customFormat="1">
      <c r="R98"/>
      <c r="S98"/>
      <c r="T98"/>
      <c r="U98"/>
      <c r="V98"/>
      <c r="W98"/>
      <c r="X98"/>
      <c r="Y98"/>
      <c r="Z98" s="374"/>
      <c r="AA98" s="374"/>
      <c r="AB98" s="289"/>
      <c r="AC98" s="289"/>
      <c r="AD98" s="289"/>
      <c r="AS98" s="311"/>
      <c r="BC98" s="311"/>
      <c r="BD98" s="311"/>
      <c r="BE98" s="311"/>
      <c r="BF98" s="311"/>
      <c r="BG98" s="311"/>
      <c r="BH98" s="311"/>
      <c r="BI98" s="311"/>
      <c r="BJ98" s="311"/>
      <c r="BK98" s="311"/>
      <c r="BL98" s="311"/>
      <c r="BM98" s="311"/>
      <c r="BN98" s="311"/>
      <c r="BO98" s="311"/>
      <c r="BP98" s="311"/>
      <c r="BQ98" s="311"/>
      <c r="BR98" s="311"/>
      <c r="BS98" s="311"/>
      <c r="BT98" s="311"/>
      <c r="BU98" s="311"/>
      <c r="BV98" s="311"/>
      <c r="BW98" s="311"/>
      <c r="BX98" s="311"/>
      <c r="BY98" s="311"/>
      <c r="BZ98" s="311"/>
      <c r="CA98" s="311"/>
      <c r="CB98" s="311"/>
      <c r="CC98" s="311"/>
      <c r="CD98" s="311"/>
      <c r="CE98" s="311"/>
      <c r="CF98" s="311"/>
      <c r="CG98" s="311"/>
      <c r="CH98" s="311"/>
      <c r="CI98" s="311"/>
      <c r="CJ98" s="311"/>
      <c r="CK98" s="311"/>
      <c r="CL98" s="311"/>
      <c r="CM98" s="311"/>
      <c r="CN98" s="374"/>
      <c r="CO98" s="374"/>
      <c r="CP98" s="374"/>
      <c r="CQ98" s="374"/>
      <c r="CR98" s="374"/>
    </row>
    <row r="99" spans="2:126" s="313" customFormat="1">
      <c r="R99"/>
      <c r="S99"/>
      <c r="T99"/>
      <c r="U99"/>
      <c r="V99"/>
      <c r="W99"/>
      <c r="X99"/>
      <c r="Y99"/>
      <c r="Z99" s="374"/>
      <c r="AA99" s="374"/>
      <c r="AB99" s="289"/>
      <c r="AC99" s="289"/>
      <c r="AD99" s="289"/>
      <c r="AS99" s="311"/>
      <c r="BC99" s="311"/>
      <c r="BD99" s="311"/>
      <c r="BE99" s="311"/>
      <c r="BF99" s="311"/>
      <c r="BG99" s="311"/>
      <c r="BH99" s="311"/>
      <c r="BI99" s="311"/>
      <c r="BJ99" s="311"/>
      <c r="BK99" s="311"/>
      <c r="BL99" s="311"/>
      <c r="BM99" s="311"/>
      <c r="BN99" s="311"/>
      <c r="BO99" s="311"/>
      <c r="BP99" s="311"/>
      <c r="BQ99" s="311"/>
      <c r="BR99" s="311"/>
      <c r="BS99" s="311"/>
      <c r="BT99" s="311"/>
      <c r="BU99" s="311"/>
      <c r="BV99" s="311"/>
      <c r="BW99" s="311"/>
      <c r="BX99" s="311"/>
      <c r="BY99" s="311"/>
      <c r="BZ99" s="311"/>
      <c r="CA99" s="311"/>
      <c r="CB99" s="311"/>
      <c r="CC99" s="311"/>
      <c r="CD99" s="311"/>
      <c r="CE99" s="311"/>
      <c r="CF99" s="311"/>
      <c r="CG99" s="311"/>
      <c r="CH99" s="311"/>
      <c r="CI99" s="311"/>
      <c r="CJ99" s="311"/>
      <c r="CK99" s="311"/>
      <c r="CL99" s="311"/>
      <c r="CM99" s="311"/>
      <c r="CN99" s="374"/>
      <c r="CO99" s="374"/>
      <c r="CP99" s="374"/>
      <c r="CQ99" s="374"/>
      <c r="CR99" s="374"/>
    </row>
    <row r="100" spans="2:126" s="313" customFormat="1">
      <c r="R100"/>
      <c r="S100"/>
      <c r="T100"/>
      <c r="U100"/>
      <c r="V100"/>
      <c r="W100"/>
      <c r="X100"/>
      <c r="Y100"/>
      <c r="Z100" s="374"/>
      <c r="AA100" s="374"/>
      <c r="AB100" s="289"/>
      <c r="AC100" s="289"/>
      <c r="AD100" s="289"/>
      <c r="AS100" s="311"/>
      <c r="BC100" s="311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1"/>
      <c r="BN100" s="311"/>
      <c r="BO100" s="311"/>
      <c r="BP100" s="311"/>
      <c r="BQ100" s="311"/>
      <c r="BR100" s="311"/>
      <c r="BS100" s="311"/>
      <c r="BT100" s="311"/>
      <c r="BU100" s="311"/>
      <c r="BV100" s="311"/>
      <c r="BW100" s="311"/>
      <c r="BX100" s="311"/>
      <c r="BY100" s="311"/>
      <c r="BZ100" s="311"/>
      <c r="CA100" s="311"/>
      <c r="CB100" s="311"/>
      <c r="CC100" s="311"/>
      <c r="CD100" s="311"/>
      <c r="CE100" s="311"/>
      <c r="CF100" s="311"/>
      <c r="CG100" s="311"/>
      <c r="CH100" s="311"/>
      <c r="CI100" s="311"/>
      <c r="CJ100" s="311"/>
      <c r="CK100" s="311"/>
      <c r="CL100" s="311"/>
      <c r="CM100" s="311"/>
      <c r="CN100" s="374"/>
      <c r="CO100" s="374"/>
      <c r="CP100" s="374"/>
      <c r="CQ100" s="374"/>
      <c r="CR100" s="374"/>
    </row>
    <row r="101" spans="2:126" s="313" customFormat="1">
      <c r="R101"/>
      <c r="S101"/>
      <c r="T101"/>
      <c r="U101"/>
      <c r="V101"/>
      <c r="W101"/>
      <c r="X101"/>
      <c r="Y101"/>
      <c r="Z101" s="374"/>
      <c r="AA101" s="374"/>
      <c r="AB101" s="289"/>
      <c r="AC101" s="289"/>
      <c r="AD101" s="289"/>
      <c r="AS101" s="311"/>
      <c r="BC101" s="311"/>
      <c r="BD101" s="311"/>
      <c r="BE101" s="311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  <c r="BS101" s="311"/>
      <c r="BT101" s="311"/>
      <c r="BU101" s="311"/>
      <c r="BV101" s="311"/>
      <c r="BW101" s="311"/>
      <c r="BX101" s="311"/>
      <c r="BY101" s="311"/>
      <c r="BZ101" s="311"/>
      <c r="CA101" s="311"/>
      <c r="CB101" s="311"/>
      <c r="CC101" s="311"/>
      <c r="CD101" s="311"/>
      <c r="CE101" s="311"/>
      <c r="CF101" s="311"/>
      <c r="CG101" s="311"/>
      <c r="CH101" s="311"/>
      <c r="CI101" s="311"/>
      <c r="CJ101" s="311"/>
      <c r="CK101" s="311"/>
      <c r="CL101" s="311"/>
      <c r="CM101" s="311"/>
      <c r="CN101" s="374"/>
      <c r="CO101" s="374"/>
      <c r="CP101" s="374"/>
      <c r="CQ101" s="374"/>
      <c r="CR101" s="374"/>
      <c r="DN101" s="286"/>
      <c r="DO101" s="286"/>
      <c r="DP101" s="286"/>
      <c r="DQ101" s="286"/>
    </row>
    <row r="102" spans="2:126" s="313" customFormat="1">
      <c r="B102"/>
      <c r="C102"/>
      <c r="D102"/>
      <c r="E102"/>
      <c r="R102"/>
      <c r="S102"/>
      <c r="T102"/>
      <c r="U102"/>
      <c r="V102"/>
      <c r="W102"/>
      <c r="X102"/>
      <c r="Y102"/>
      <c r="Z102" s="319"/>
      <c r="AA102" s="374"/>
      <c r="AB102" s="289"/>
      <c r="AC102" s="289"/>
      <c r="AD102" s="289"/>
      <c r="AS102" s="311"/>
      <c r="BC102" s="311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  <c r="BS102" s="311"/>
      <c r="BT102" s="311"/>
      <c r="BU102" s="311"/>
      <c r="BV102" s="311"/>
      <c r="BW102" s="311"/>
      <c r="BX102" s="311"/>
      <c r="BY102" s="311"/>
      <c r="BZ102" s="311"/>
      <c r="CA102" s="311"/>
      <c r="CB102" s="311"/>
      <c r="CC102" s="311"/>
      <c r="CD102" s="311"/>
      <c r="CE102" s="311"/>
      <c r="CF102" s="311"/>
      <c r="CG102" s="311"/>
      <c r="CH102" s="311"/>
      <c r="CI102" s="311"/>
      <c r="CJ102" s="311"/>
      <c r="CK102" s="311"/>
      <c r="CL102" s="311"/>
      <c r="CM102" s="311"/>
      <c r="CN102" s="374"/>
      <c r="CO102" s="374"/>
      <c r="CP102" s="374"/>
      <c r="CQ102" s="374"/>
      <c r="CR102" s="374"/>
      <c r="DN102" s="286"/>
      <c r="DO102" s="286"/>
      <c r="DP102" s="286"/>
      <c r="DQ102" s="286"/>
    </row>
    <row r="103" spans="2:126" s="313" customFormat="1">
      <c r="B103"/>
      <c r="C103"/>
      <c r="D103"/>
      <c r="E103"/>
      <c r="R103"/>
      <c r="S103"/>
      <c r="T103"/>
      <c r="U103"/>
      <c r="V103"/>
      <c r="W103"/>
      <c r="X103"/>
      <c r="Y103"/>
      <c r="Z103" s="319"/>
      <c r="AA103" s="374"/>
      <c r="AB103" s="289"/>
      <c r="AC103" s="289"/>
      <c r="AD103" s="289"/>
      <c r="AS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  <c r="BS103" s="311"/>
      <c r="BT103" s="311"/>
      <c r="BU103" s="311"/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  <c r="CF103" s="311"/>
      <c r="CG103" s="311"/>
      <c r="CH103" s="311"/>
      <c r="CI103" s="311"/>
      <c r="CJ103" s="311"/>
      <c r="CK103" s="311"/>
      <c r="CL103" s="311"/>
      <c r="CM103" s="311"/>
      <c r="CN103" s="374"/>
      <c r="CO103" s="374"/>
      <c r="CP103" s="374"/>
      <c r="CQ103" s="374"/>
      <c r="CR103" s="374"/>
      <c r="DN103" s="286"/>
      <c r="DO103" s="286"/>
      <c r="DP103" s="286"/>
      <c r="DQ103" s="286"/>
    </row>
    <row r="104" spans="2:126" s="313" customFormat="1">
      <c r="B104"/>
      <c r="C104"/>
      <c r="D104"/>
      <c r="E104"/>
      <c r="R104"/>
      <c r="S104"/>
      <c r="T104"/>
      <c r="U104"/>
      <c r="Z104" s="319"/>
      <c r="AA104" s="374"/>
      <c r="AB104" s="289"/>
      <c r="AC104" s="289"/>
      <c r="AD104" s="289"/>
      <c r="AS104" s="311"/>
      <c r="BC104" s="311"/>
      <c r="BD104" s="311"/>
      <c r="BE104" s="311"/>
      <c r="BF104" s="311"/>
      <c r="BG104" s="311"/>
      <c r="BH104" s="311"/>
      <c r="BI104" s="311"/>
      <c r="BJ104" s="311"/>
      <c r="BK104" s="311"/>
      <c r="BL104" s="311"/>
      <c r="BM104" s="311"/>
      <c r="BN104" s="311"/>
      <c r="BO104" s="311"/>
      <c r="BP104" s="311"/>
      <c r="BQ104" s="311"/>
      <c r="BR104" s="311"/>
      <c r="BS104" s="311"/>
      <c r="BT104" s="311"/>
      <c r="BU104" s="311"/>
      <c r="BV104" s="311"/>
      <c r="BW104" s="311"/>
      <c r="BX104" s="311"/>
      <c r="BY104" s="311"/>
      <c r="BZ104" s="311"/>
      <c r="CA104" s="311"/>
      <c r="CB104" s="311"/>
      <c r="CC104" s="311"/>
      <c r="CD104" s="311"/>
      <c r="CE104" s="311"/>
      <c r="CF104" s="311"/>
      <c r="CG104" s="311"/>
      <c r="CH104" s="311"/>
      <c r="CI104" s="311"/>
      <c r="CJ104" s="311"/>
      <c r="CK104" s="311"/>
      <c r="CL104" s="311"/>
      <c r="CM104" s="311"/>
      <c r="CN104" s="374"/>
      <c r="CO104" s="374"/>
      <c r="CP104" s="374"/>
      <c r="CQ104" s="374"/>
      <c r="CR104" s="374"/>
      <c r="DN104" s="286"/>
      <c r="DO104" s="286"/>
      <c r="DP104" s="286"/>
      <c r="DQ104" s="286"/>
    </row>
    <row r="105" spans="2:126" s="313" customFormat="1">
      <c r="B105"/>
      <c r="C105"/>
      <c r="D105"/>
      <c r="E105"/>
      <c r="R105"/>
      <c r="S105"/>
      <c r="T105"/>
      <c r="U105"/>
      <c r="Z105" s="319"/>
      <c r="AA105" s="319"/>
      <c r="AB105" s="289"/>
      <c r="AC105" s="289"/>
      <c r="AD105" s="289"/>
      <c r="AS105" s="311"/>
      <c r="BC105" s="311"/>
      <c r="BD105" s="311"/>
      <c r="BE105" s="311"/>
      <c r="BF105" s="311"/>
      <c r="BG105" s="311"/>
      <c r="BH105" s="311"/>
      <c r="BI105" s="311"/>
      <c r="BJ105" s="311"/>
      <c r="BK105" s="311"/>
      <c r="BL105" s="311"/>
      <c r="BM105" s="311"/>
      <c r="BN105" s="311"/>
      <c r="BO105" s="311"/>
      <c r="BP105" s="311"/>
      <c r="BQ105" s="311"/>
      <c r="BR105" s="311"/>
      <c r="BS105" s="311"/>
      <c r="BT105" s="311"/>
      <c r="BU105" s="311"/>
      <c r="BV105" s="311"/>
      <c r="BW105" s="311"/>
      <c r="BX105" s="311"/>
      <c r="BY105" s="311"/>
      <c r="BZ105" s="311"/>
      <c r="CA105" s="311"/>
      <c r="CB105" s="311"/>
      <c r="CC105" s="311"/>
      <c r="CD105" s="11"/>
      <c r="CE105" s="11"/>
      <c r="CF105" s="11"/>
      <c r="CG105" s="11"/>
      <c r="CH105" s="11"/>
      <c r="CI105" s="311"/>
      <c r="CJ105" s="311"/>
      <c r="CK105" s="311"/>
      <c r="CL105" s="311"/>
      <c r="CM105" s="311"/>
      <c r="CN105" s="374"/>
      <c r="CO105" s="374"/>
      <c r="CP105" s="374"/>
      <c r="CQ105" s="374"/>
      <c r="CR105" s="374"/>
      <c r="DN105" s="286"/>
      <c r="DO105" s="286"/>
      <c r="DP105" s="286"/>
      <c r="DQ105" s="286"/>
    </row>
    <row r="106" spans="2:126" s="313" customFormat="1">
      <c r="B106"/>
      <c r="C106"/>
      <c r="D106"/>
      <c r="E106"/>
      <c r="R106"/>
      <c r="S106"/>
      <c r="T106"/>
      <c r="U106"/>
      <c r="Z106" s="374"/>
      <c r="AA106" s="374"/>
      <c r="AB106" s="289"/>
      <c r="AC106" s="289"/>
      <c r="AD106" s="289"/>
      <c r="AS106" s="311"/>
      <c r="BC106" s="311"/>
      <c r="BD106" s="311"/>
      <c r="BE106" s="311"/>
      <c r="BF106" s="311"/>
      <c r="BG106" s="311"/>
      <c r="BH106" s="311"/>
      <c r="BI106" s="311"/>
      <c r="BJ106" s="311"/>
      <c r="BK106" s="311"/>
      <c r="BL106" s="311"/>
      <c r="BM106" s="311"/>
      <c r="BN106" s="311"/>
      <c r="BO106" s="311"/>
      <c r="BP106" s="311"/>
      <c r="BQ106" s="311"/>
      <c r="BR106" s="311"/>
      <c r="BS106" s="311"/>
      <c r="BT106" s="311"/>
      <c r="BU106" s="311"/>
      <c r="BV106" s="311"/>
      <c r="BW106" s="311"/>
      <c r="BX106" s="311"/>
      <c r="BY106" s="311"/>
      <c r="BZ106" s="311"/>
      <c r="CA106" s="311"/>
      <c r="CB106" s="311"/>
      <c r="CC106" s="311"/>
      <c r="CD106" s="11"/>
      <c r="CE106" s="11"/>
      <c r="CF106" s="11"/>
      <c r="CG106" s="11"/>
      <c r="CH106" s="11"/>
      <c r="CI106" s="311"/>
      <c r="CJ106" s="311"/>
      <c r="CK106" s="311"/>
      <c r="CL106" s="311"/>
      <c r="CM106" s="311"/>
      <c r="CN106" s="374"/>
      <c r="CO106" s="374"/>
      <c r="CP106" s="374"/>
      <c r="CQ106" s="374"/>
      <c r="CR106" s="374"/>
      <c r="DN106" s="286"/>
      <c r="DO106" s="286"/>
      <c r="DP106" s="286"/>
      <c r="DQ106" s="286"/>
    </row>
    <row r="107" spans="2:126" s="313" customFormat="1">
      <c r="B107"/>
      <c r="C107"/>
      <c r="D107"/>
      <c r="E107"/>
      <c r="R107"/>
      <c r="S107"/>
      <c r="T107"/>
      <c r="U107"/>
      <c r="Z107" s="374"/>
      <c r="AA107" s="374"/>
      <c r="AB107" s="289"/>
      <c r="AC107" s="289"/>
      <c r="AD107" s="289"/>
      <c r="AS107" s="311"/>
      <c r="BC107" s="311"/>
      <c r="BD107" s="311"/>
      <c r="BE107" s="311"/>
      <c r="BF107" s="311"/>
      <c r="BG107" s="311"/>
      <c r="BH107" s="311"/>
      <c r="BI107" s="311"/>
      <c r="BJ107" s="311"/>
      <c r="BK107" s="311"/>
      <c r="BL107" s="311"/>
      <c r="BM107" s="311"/>
      <c r="BN107" s="311"/>
      <c r="BO107" s="311"/>
      <c r="BP107" s="311"/>
      <c r="BQ107" s="311"/>
      <c r="BR107" s="311"/>
      <c r="BS107" s="311"/>
      <c r="BT107" s="311"/>
      <c r="BU107" s="311"/>
      <c r="BV107" s="311"/>
      <c r="BW107" s="311"/>
      <c r="BX107" s="311"/>
      <c r="BY107" s="311"/>
      <c r="BZ107" s="311"/>
      <c r="CA107" s="311"/>
      <c r="CB107" s="311"/>
      <c r="CC107" s="311"/>
      <c r="CD107" s="11"/>
      <c r="CE107" s="11"/>
      <c r="CF107" s="11"/>
      <c r="CG107" s="11"/>
      <c r="CH107" s="11"/>
      <c r="CI107" s="311"/>
      <c r="CJ107" s="311"/>
      <c r="CK107" s="311"/>
      <c r="CL107" s="311"/>
      <c r="CM107" s="311"/>
      <c r="CN107" s="374"/>
      <c r="CO107" s="374"/>
      <c r="CP107" s="374"/>
      <c r="CQ107" s="374"/>
      <c r="CR107" s="374"/>
      <c r="DN107" s="286"/>
      <c r="DO107" s="286"/>
      <c r="DP107" s="286"/>
      <c r="DQ107" s="286"/>
    </row>
    <row r="108" spans="2:126" s="313" customFormat="1">
      <c r="B108"/>
      <c r="C108"/>
      <c r="D108"/>
      <c r="E108"/>
      <c r="R108"/>
      <c r="S108"/>
      <c r="T108"/>
      <c r="U108"/>
      <c r="Z108" s="374"/>
      <c r="AA108" s="374"/>
      <c r="AB108" s="289"/>
      <c r="AC108" s="289"/>
      <c r="AD108" s="289"/>
      <c r="AS108" s="311"/>
      <c r="BC108" s="311"/>
      <c r="BD108" s="311"/>
      <c r="BE108" s="311"/>
      <c r="BF108" s="311"/>
      <c r="BG108" s="311"/>
      <c r="BH108" s="311"/>
      <c r="BI108" s="311"/>
      <c r="BJ108" s="311"/>
      <c r="BK108" s="311"/>
      <c r="BL108" s="311"/>
      <c r="BM108" s="311"/>
      <c r="BN108" s="311"/>
      <c r="BO108" s="311"/>
      <c r="BP108" s="311"/>
      <c r="BQ108" s="311"/>
      <c r="BR108" s="311"/>
      <c r="BS108" s="311"/>
      <c r="BT108" s="311"/>
      <c r="BU108" s="311"/>
      <c r="BV108" s="311"/>
      <c r="BW108" s="311"/>
      <c r="BX108" s="311"/>
      <c r="BY108" s="311"/>
      <c r="BZ108" s="311"/>
      <c r="CA108" s="311"/>
      <c r="CB108" s="311"/>
      <c r="CC108" s="311"/>
      <c r="CD108" s="11"/>
      <c r="CE108" s="11"/>
      <c r="CF108" s="11"/>
      <c r="CG108" s="11"/>
      <c r="CH108" s="11"/>
      <c r="CI108" s="311"/>
      <c r="CJ108" s="311"/>
      <c r="CK108" s="311"/>
      <c r="CL108" s="311"/>
      <c r="CM108" s="311"/>
      <c r="CN108" s="374"/>
      <c r="CO108" s="374"/>
      <c r="CP108" s="374"/>
      <c r="CQ108" s="374"/>
      <c r="CR108" s="374"/>
      <c r="DD108"/>
      <c r="DE108"/>
      <c r="DF108"/>
      <c r="DG108"/>
      <c r="DN108" s="286"/>
      <c r="DO108" s="286"/>
      <c r="DP108" s="286"/>
      <c r="DQ108" s="286"/>
      <c r="DS108" s="286"/>
      <c r="DT108" s="286"/>
      <c r="DU108" s="286"/>
      <c r="DV108" s="286"/>
    </row>
    <row r="109" spans="2:126" s="313" customFormat="1">
      <c r="B109"/>
      <c r="C109"/>
      <c r="D109"/>
      <c r="E109"/>
      <c r="M109"/>
      <c r="R109"/>
      <c r="S109"/>
      <c r="T109"/>
      <c r="U109"/>
      <c r="Z109" s="374"/>
      <c r="AA109" s="374"/>
      <c r="AB109" s="374"/>
      <c r="AC109" s="374"/>
      <c r="AD109" s="374"/>
      <c r="AS109" s="311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 s="311"/>
      <c r="BP109" s="311"/>
      <c r="BQ109" s="311"/>
      <c r="BR109" s="311"/>
      <c r="BS109" s="311"/>
      <c r="BT109" s="311"/>
      <c r="BU109" s="311"/>
      <c r="BV109" s="311"/>
      <c r="BW109" s="311"/>
      <c r="BX109" s="311"/>
      <c r="BY109" s="311"/>
      <c r="BZ109" s="311"/>
      <c r="CA109" s="311"/>
      <c r="CB109" s="311"/>
      <c r="CC109" s="311"/>
      <c r="CD109" s="11"/>
      <c r="CE109" s="11"/>
      <c r="CF109" s="11"/>
      <c r="CG109" s="11"/>
      <c r="CH109" s="11"/>
      <c r="CI109" s="311"/>
      <c r="CJ109" s="311"/>
      <c r="CK109" s="311"/>
      <c r="CL109" s="311"/>
      <c r="CM109" s="311"/>
      <c r="CN109" s="374"/>
      <c r="CO109" s="374"/>
      <c r="CP109" s="374"/>
      <c r="CQ109" s="374"/>
      <c r="CR109" s="374"/>
      <c r="DD109"/>
      <c r="DE109"/>
      <c r="DF109"/>
      <c r="DG109"/>
      <c r="DN109" s="286"/>
      <c r="DO109" s="286"/>
      <c r="DP109" s="286"/>
      <c r="DQ109" s="286"/>
      <c r="DS109" s="286"/>
      <c r="DT109" s="286"/>
      <c r="DU109" s="286"/>
      <c r="DV109" s="286"/>
    </row>
    <row r="110" spans="2:126">
      <c r="G110" s="313"/>
      <c r="H110" s="313"/>
      <c r="I110" s="313"/>
      <c r="J110" s="313"/>
      <c r="K110" s="313"/>
      <c r="L110" s="313"/>
      <c r="N110" s="313"/>
      <c r="O110" s="313"/>
      <c r="P110" s="313"/>
      <c r="Q110" s="313"/>
      <c r="Z110" s="311"/>
      <c r="AA110" s="311"/>
      <c r="AB110" s="311"/>
      <c r="AC110" s="311"/>
      <c r="AD110" s="311"/>
      <c r="AT110" s="313"/>
      <c r="AU110" s="313"/>
      <c r="AV110" s="313"/>
      <c r="AW110" s="313"/>
      <c r="CS110" s="313"/>
      <c r="CT110" s="313"/>
      <c r="CU110" s="313"/>
      <c r="CV110" s="313"/>
      <c r="CW110" s="313"/>
      <c r="CX110" s="313"/>
      <c r="CY110" s="313"/>
      <c r="CZ110" s="313"/>
      <c r="DA110" s="313"/>
      <c r="DB110" s="313"/>
      <c r="DH110" s="313"/>
      <c r="DI110" s="313"/>
      <c r="DJ110" s="313"/>
      <c r="DK110" s="313"/>
      <c r="DL110" s="313"/>
    </row>
    <row r="111" spans="2:126">
      <c r="G111" s="313"/>
      <c r="H111" s="313"/>
      <c r="I111" s="313"/>
      <c r="J111" s="313"/>
      <c r="K111" s="313"/>
      <c r="L111" s="313"/>
      <c r="N111" s="313"/>
      <c r="O111" s="313"/>
      <c r="P111" s="313"/>
      <c r="Q111" s="313"/>
      <c r="Z111" s="311"/>
      <c r="AA111" s="311"/>
      <c r="AB111" s="311"/>
      <c r="AC111" s="311"/>
      <c r="AD111" s="311"/>
      <c r="AT111" s="313"/>
      <c r="AU111" s="313"/>
      <c r="AV111" s="313"/>
      <c r="AW111" s="313"/>
      <c r="CS111" s="313"/>
      <c r="CT111" s="313"/>
      <c r="CU111" s="313"/>
      <c r="CV111" s="313"/>
      <c r="CW111" s="313"/>
      <c r="CY111" s="313"/>
      <c r="CZ111" s="313"/>
      <c r="DA111" s="313"/>
      <c r="DB111" s="313"/>
      <c r="DH111" s="313"/>
      <c r="DI111" s="313"/>
      <c r="DJ111" s="313"/>
      <c r="DK111" s="313"/>
      <c r="DL111" s="313"/>
    </row>
    <row r="112" spans="2:126">
      <c r="N112" s="313"/>
      <c r="O112" s="313"/>
      <c r="P112" s="313"/>
      <c r="Q112" s="313"/>
      <c r="Z112" s="311"/>
      <c r="AA112" s="311"/>
      <c r="AB112" s="311"/>
      <c r="AC112" s="311"/>
      <c r="AD112" s="311"/>
      <c r="AT112" s="313"/>
      <c r="AU112" s="313"/>
      <c r="AV112" s="313"/>
      <c r="AW112" s="313"/>
      <c r="CS112" s="313"/>
      <c r="CT112" s="313"/>
      <c r="CU112" s="313"/>
      <c r="CV112" s="313"/>
      <c r="CW112" s="313"/>
      <c r="CY112" s="313"/>
      <c r="CZ112" s="313"/>
      <c r="DA112" s="313"/>
      <c r="DB112" s="313"/>
      <c r="DH112" s="313"/>
      <c r="DI112" s="313"/>
      <c r="DJ112" s="313"/>
      <c r="DK112" s="313"/>
      <c r="DL112" s="313"/>
    </row>
    <row r="113" spans="14:116">
      <c r="N113" s="313"/>
      <c r="O113" s="313"/>
      <c r="P113" s="313"/>
      <c r="Q113" s="313"/>
      <c r="Z113" s="311"/>
      <c r="AA113" s="311"/>
      <c r="AB113" s="311"/>
      <c r="AC113" s="311"/>
      <c r="AD113" s="311"/>
      <c r="AT113" s="313"/>
      <c r="AU113" s="313"/>
      <c r="AV113" s="313"/>
      <c r="AW113" s="313"/>
      <c r="CT113" s="313"/>
      <c r="CU113" s="313"/>
      <c r="CV113" s="313"/>
      <c r="CW113" s="313"/>
      <c r="CY113" s="313"/>
      <c r="CZ113" s="313"/>
      <c r="DA113" s="313"/>
      <c r="DB113" s="313"/>
      <c r="DH113" s="313"/>
      <c r="DI113" s="313"/>
      <c r="DJ113" s="313"/>
      <c r="DK113" s="313"/>
      <c r="DL113" s="313"/>
    </row>
    <row r="114" spans="14:116">
      <c r="N114" s="313"/>
      <c r="O114" s="313"/>
      <c r="P114" s="313"/>
      <c r="Q114" s="313"/>
      <c r="Z114" s="311"/>
      <c r="AA114" s="311"/>
      <c r="AB114" s="311"/>
      <c r="AC114" s="311"/>
      <c r="AD114" s="311"/>
      <c r="AT114" s="313"/>
      <c r="AU114" s="313"/>
      <c r="AV114" s="313"/>
      <c r="AW114" s="313"/>
      <c r="CT114" s="313"/>
      <c r="CU114" s="313"/>
      <c r="CV114" s="313"/>
      <c r="CW114" s="313"/>
      <c r="CY114" s="313"/>
      <c r="CZ114" s="313"/>
      <c r="DA114" s="313"/>
      <c r="DB114" s="313"/>
      <c r="DH114" s="313"/>
      <c r="DI114" s="313"/>
      <c r="DJ114" s="313"/>
      <c r="DK114" s="313"/>
      <c r="DL114" s="313"/>
    </row>
    <row r="115" spans="14:116">
      <c r="N115" s="313"/>
      <c r="O115" s="313"/>
      <c r="P115" s="313"/>
      <c r="Q115" s="313"/>
      <c r="Z115" s="311"/>
      <c r="AA115" s="311"/>
      <c r="AB115" s="311"/>
      <c r="AC115" s="311"/>
      <c r="AD115" s="311"/>
      <c r="AT115" s="313"/>
      <c r="AU115" s="313"/>
      <c r="AV115" s="313"/>
      <c r="AW115" s="313"/>
      <c r="CT115" s="313"/>
      <c r="CU115" s="313"/>
      <c r="CV115" s="313"/>
      <c r="CW115" s="313"/>
      <c r="CY115" s="313"/>
      <c r="CZ115" s="313"/>
      <c r="DA115" s="313"/>
      <c r="DB115" s="313"/>
      <c r="DH115" s="313"/>
      <c r="DI115" s="313"/>
      <c r="DJ115" s="313"/>
      <c r="DK115" s="313"/>
      <c r="DL115" s="313"/>
    </row>
    <row r="116" spans="14:116">
      <c r="AT116" s="313"/>
      <c r="AU116" s="313"/>
      <c r="AV116" s="313"/>
      <c r="AW116" s="313"/>
      <c r="CT116" s="313"/>
      <c r="CU116" s="313"/>
      <c r="CV116" s="313"/>
      <c r="CW116" s="313"/>
      <c r="DH116" s="313"/>
      <c r="DI116" s="313"/>
      <c r="DJ116" s="313"/>
      <c r="DK116" s="313"/>
      <c r="DL116" s="313"/>
    </row>
    <row r="117" spans="14:116">
      <c r="AT117" s="313"/>
      <c r="AU117" s="313"/>
      <c r="AV117" s="313"/>
      <c r="AW117" s="313"/>
      <c r="CT117" s="313"/>
      <c r="CU117" s="313"/>
      <c r="CV117" s="313"/>
      <c r="CW117" s="313"/>
      <c r="DH117" s="313"/>
    </row>
    <row r="118" spans="14:116">
      <c r="AT118" s="164"/>
      <c r="AU118" s="164"/>
      <c r="AV118" s="164"/>
      <c r="AW118" s="164"/>
      <c r="CT118" s="313"/>
      <c r="CU118" s="313"/>
      <c r="CV118" s="313"/>
      <c r="CW118" s="313"/>
      <c r="DH118" s="313"/>
    </row>
    <row r="119" spans="14:116">
      <c r="AT119" s="164"/>
      <c r="AU119" s="164"/>
      <c r="AV119" s="164"/>
      <c r="AW119" s="164"/>
    </row>
    <row r="120" spans="14:116">
      <c r="AT120" s="164"/>
      <c r="AU120" s="164"/>
      <c r="AV120" s="164"/>
      <c r="AW120" s="164"/>
    </row>
    <row r="121" spans="14:116">
      <c r="AT121" s="164"/>
      <c r="AU121" s="164"/>
      <c r="AV121" s="164"/>
      <c r="AW121" s="164"/>
    </row>
  </sheetData>
  <mergeCells count="18">
    <mergeCell ref="DC7:DG7"/>
    <mergeCell ref="DC8:DG8"/>
    <mergeCell ref="CA10:CC10"/>
    <mergeCell ref="M6:Q6"/>
    <mergeCell ref="AX7:BB7"/>
    <mergeCell ref="AX8:BB8"/>
    <mergeCell ref="BT6:BX6"/>
    <mergeCell ref="BO6:BS6"/>
    <mergeCell ref="CX7:DB7"/>
    <mergeCell ref="CX8:DB8"/>
    <mergeCell ref="CS7:CW7"/>
    <mergeCell ref="CS8:CW8"/>
    <mergeCell ref="DH7:DL7"/>
    <mergeCell ref="DH8:DL8"/>
    <mergeCell ref="DM7:DQ7"/>
    <mergeCell ref="DM8:DQ8"/>
    <mergeCell ref="DR7:DV7"/>
    <mergeCell ref="DR8:DV8"/>
  </mergeCells>
  <phoneticPr fontId="17" type="noConversion"/>
  <conditionalFormatting sqref="AE1:CM1 A1:AC1">
    <cfRule type="cellIs" dxfId="37" priority="46" stopIfTrue="1" operator="notEqual">
      <formula>0</formula>
    </cfRule>
  </conditionalFormatting>
  <conditionalFormatting sqref="CT1:CV1">
    <cfRule type="cellIs" dxfId="36" priority="18" stopIfTrue="1" operator="notEqual">
      <formula>0</formula>
    </cfRule>
  </conditionalFormatting>
  <conditionalFormatting sqref="CN1:CR1">
    <cfRule type="cellIs" dxfId="35" priority="22" stopIfTrue="1" operator="notEqual">
      <formula>0</formula>
    </cfRule>
  </conditionalFormatting>
  <conditionalFormatting sqref="AD1">
    <cfRule type="cellIs" dxfId="34" priority="21" stopIfTrue="1" operator="notEqual">
      <formula>0</formula>
    </cfRule>
  </conditionalFormatting>
  <conditionalFormatting sqref="CW1">
    <cfRule type="cellIs" dxfId="33" priority="20" stopIfTrue="1" operator="notEqual">
      <formula>0</formula>
    </cfRule>
  </conditionalFormatting>
  <conditionalFormatting sqref="DB1">
    <cfRule type="cellIs" dxfId="32" priority="19" stopIfTrue="1" operator="notEqual">
      <formula>0</formula>
    </cfRule>
  </conditionalFormatting>
  <conditionalFormatting sqref="CX1:CZ1">
    <cfRule type="cellIs" dxfId="31" priority="17" stopIfTrue="1" operator="notEqual">
      <formula>0</formula>
    </cfRule>
  </conditionalFormatting>
  <conditionalFormatting sqref="DA1">
    <cfRule type="cellIs" dxfId="30" priority="16" stopIfTrue="1" operator="notEqual">
      <formula>0</formula>
    </cfRule>
  </conditionalFormatting>
  <conditionalFormatting sqref="DG1">
    <cfRule type="cellIs" dxfId="29" priority="15" stopIfTrue="1" operator="notEqual">
      <formula>0</formula>
    </cfRule>
  </conditionalFormatting>
  <conditionalFormatting sqref="DC1:DE1">
    <cfRule type="cellIs" dxfId="28" priority="14" stopIfTrue="1" operator="notEqual">
      <formula>0</formula>
    </cfRule>
  </conditionalFormatting>
  <conditionalFormatting sqref="DF1">
    <cfRule type="cellIs" dxfId="27" priority="13" stopIfTrue="1" operator="notEqual">
      <formula>0</formula>
    </cfRule>
  </conditionalFormatting>
  <conditionalFormatting sqref="DL1">
    <cfRule type="cellIs" dxfId="26" priority="9" stopIfTrue="1" operator="notEqual">
      <formula>0</formula>
    </cfRule>
  </conditionalFormatting>
  <conditionalFormatting sqref="DH1:DJ1">
    <cfRule type="cellIs" dxfId="25" priority="8" stopIfTrue="1" operator="notEqual">
      <formula>0</formula>
    </cfRule>
  </conditionalFormatting>
  <conditionalFormatting sqref="DK1">
    <cfRule type="cellIs" dxfId="24" priority="7" stopIfTrue="1" operator="notEqual">
      <formula>0</formula>
    </cfRule>
  </conditionalFormatting>
  <conditionalFormatting sqref="DQ1">
    <cfRule type="cellIs" dxfId="23" priority="6" stopIfTrue="1" operator="notEqual">
      <formula>0</formula>
    </cfRule>
  </conditionalFormatting>
  <conditionalFormatting sqref="DM1:DO1">
    <cfRule type="cellIs" dxfId="22" priority="5" stopIfTrue="1" operator="notEqual">
      <formula>0</formula>
    </cfRule>
  </conditionalFormatting>
  <conditionalFormatting sqref="DP1">
    <cfRule type="cellIs" dxfId="21" priority="4" stopIfTrue="1" operator="notEqual">
      <formula>0</formula>
    </cfRule>
  </conditionalFormatting>
  <conditionalFormatting sqref="DV1">
    <cfRule type="cellIs" dxfId="20" priority="3" stopIfTrue="1" operator="notEqual">
      <formula>0</formula>
    </cfRule>
  </conditionalFormatting>
  <conditionalFormatting sqref="DR1:DT1">
    <cfRule type="cellIs" dxfId="19" priority="2" stopIfTrue="1" operator="notEqual">
      <formula>0</formula>
    </cfRule>
  </conditionalFormatting>
  <conditionalFormatting sqref="DU1">
    <cfRule type="cellIs" dxfId="18" priority="1" stopIfTrue="1" operator="notEqual">
      <formula>0</formula>
    </cfRule>
  </conditionalFormatting>
  <printOptions horizontalCentered="1"/>
  <pageMargins left="0.7" right="0.7" top="0.75" bottom="0.75" header="0.3" footer="0.3"/>
  <pageSetup scale="80" fitToWidth="0" fitToHeight="0" orientation="portrait" r:id="rId1"/>
  <colBreaks count="6" manualBreakCount="6">
    <brk id="25" max="1048575" man="1"/>
    <brk id="30" max="1048575" man="1"/>
    <brk id="91" max="1048575" man="1"/>
    <brk id="96" max="1048575" man="1"/>
    <brk id="116" max="1048575" man="1"/>
    <brk id="1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300"/>
  <sheetViews>
    <sheetView zoomScale="85" zoomScaleNormal="85" zoomScaleSheetLayoutView="55" workbookViewId="0">
      <pane xSplit="1" ySplit="11" topLeftCell="B12" activePane="bottomRight" state="frozen"/>
      <selection activeCell="V12" sqref="V12"/>
      <selection pane="topRight" activeCell="V12" sqref="V12"/>
      <selection pane="bottomLeft" activeCell="V12" sqref="V12"/>
      <selection pane="bottomRight" activeCell="B12" sqref="B12"/>
    </sheetView>
  </sheetViews>
  <sheetFormatPr defaultColWidth="19.33203125" defaultRowHeight="12.75"/>
  <cols>
    <col min="1" max="1" width="7" style="374" customWidth="1"/>
    <col min="2" max="2" width="65.5" style="374" customWidth="1"/>
    <col min="3" max="5" width="20.6640625" style="374" customWidth="1"/>
    <col min="6" max="6" width="5.5" style="374" hidden="1" customWidth="1"/>
    <col min="7" max="7" width="51.6640625" style="374" hidden="1" customWidth="1"/>
    <col min="8" max="8" width="5.5" style="374" hidden="1" customWidth="1"/>
    <col min="9" max="9" width="16" style="374" hidden="1" customWidth="1"/>
    <col min="10" max="10" width="15.1640625" style="374" hidden="1" customWidth="1"/>
    <col min="11" max="11" width="6.1640625" style="374" hidden="1" customWidth="1"/>
    <col min="12" max="12" width="66.1640625" style="374" hidden="1" customWidth="1"/>
    <col min="13" max="15" width="15.33203125" style="374" hidden="1" customWidth="1"/>
    <col min="16" max="16" width="6.5" style="374" hidden="1" customWidth="1"/>
    <col min="17" max="17" width="38.5" style="374" hidden="1" customWidth="1"/>
    <col min="18" max="20" width="17.33203125" style="374" hidden="1" customWidth="1"/>
    <col min="21" max="21" width="6.83203125" style="374" hidden="1" customWidth="1"/>
    <col min="22" max="22" width="62.83203125" style="374" hidden="1" customWidth="1"/>
    <col min="23" max="23" width="17" style="374" hidden="1" customWidth="1"/>
    <col min="24" max="24" width="17.83203125" style="374" hidden="1" customWidth="1"/>
    <col min="25" max="25" width="16.1640625" style="374" hidden="1" customWidth="1"/>
    <col min="26" max="26" width="6.5" style="374" hidden="1" customWidth="1"/>
    <col min="27" max="27" width="81.83203125" style="374" hidden="1" customWidth="1"/>
    <col min="28" max="28" width="17" style="374" hidden="1" customWidth="1"/>
    <col min="29" max="29" width="17.6640625" style="374" hidden="1" customWidth="1"/>
    <col min="30" max="30" width="17" style="374" hidden="1" customWidth="1"/>
    <col min="31" max="31" width="5.83203125" style="374" hidden="1" customWidth="1"/>
    <col min="32" max="32" width="46.83203125" style="374" hidden="1" customWidth="1"/>
    <col min="33" max="33" width="16.6640625" style="374" hidden="1" customWidth="1"/>
    <col min="34" max="34" width="16.33203125" style="374" hidden="1" customWidth="1"/>
    <col min="35" max="35" width="15.83203125" style="374" hidden="1" customWidth="1"/>
    <col min="36" max="36" width="5.83203125" style="374" hidden="1" customWidth="1"/>
    <col min="37" max="37" width="39.6640625" style="374" hidden="1" customWidth="1"/>
    <col min="38" max="38" width="13.33203125" style="374" hidden="1" customWidth="1"/>
    <col min="39" max="39" width="15.83203125" style="374" hidden="1" customWidth="1"/>
    <col min="40" max="40" width="17" style="374" hidden="1" customWidth="1"/>
    <col min="41" max="41" width="5.1640625" style="374" hidden="1" customWidth="1"/>
    <col min="42" max="42" width="60.6640625" style="374" hidden="1" customWidth="1"/>
    <col min="43" max="43" width="16" style="374" hidden="1" customWidth="1"/>
    <col min="44" max="44" width="16.5" style="374" hidden="1" customWidth="1"/>
    <col min="45" max="45" width="16.6640625" style="374" hidden="1" customWidth="1"/>
    <col min="46" max="46" width="5.1640625" style="374" hidden="1" customWidth="1"/>
    <col min="47" max="47" width="45.5" style="374" hidden="1" customWidth="1"/>
    <col min="48" max="48" width="18.6640625" style="374" hidden="1" customWidth="1"/>
    <col min="49" max="49" width="18.1640625" style="374" hidden="1" customWidth="1"/>
    <col min="50" max="50" width="16.83203125" style="374" hidden="1" customWidth="1"/>
    <col min="51" max="51" width="5.1640625" style="374" hidden="1" customWidth="1"/>
    <col min="52" max="52" width="60.5" style="374" hidden="1" customWidth="1"/>
    <col min="53" max="53" width="18.6640625" style="374" hidden="1" customWidth="1"/>
    <col min="54" max="54" width="18.1640625" style="374" hidden="1" customWidth="1"/>
    <col min="55" max="55" width="16.83203125" style="374" hidden="1" customWidth="1"/>
    <col min="56" max="56" width="7.5" style="374" bestFit="1" customWidth="1"/>
    <col min="57" max="57" width="82.83203125" style="374" customWidth="1"/>
    <col min="58" max="60" width="17.33203125" style="374" customWidth="1"/>
    <col min="61" max="61" width="7" style="374" hidden="1" customWidth="1"/>
    <col min="62" max="62" width="73" style="374" hidden="1" customWidth="1"/>
    <col min="63" max="63" width="17.83203125" style="374" hidden="1" customWidth="1"/>
    <col min="64" max="64" width="17.1640625" style="374" hidden="1" customWidth="1"/>
    <col min="65" max="65" width="18.6640625" style="374" hidden="1" customWidth="1"/>
    <col min="66" max="66" width="7" style="374" customWidth="1"/>
    <col min="67" max="67" width="65.5" style="374" customWidth="1"/>
    <col min="68" max="70" width="20.6640625" style="374" customWidth="1"/>
    <col min="71" max="80" width="19.33203125" style="308"/>
    <col min="81" max="81" width="5.83203125" style="374" customWidth="1"/>
    <col min="82" max="82" width="55.1640625" style="95" customWidth="1"/>
    <col min="83" max="83" width="17" style="95" customWidth="1"/>
    <col min="84" max="84" width="15.6640625" style="95" customWidth="1"/>
    <col min="85" max="85" width="22.33203125" style="95" customWidth="1"/>
    <col min="86" max="16384" width="19.33203125" style="308"/>
  </cols>
  <sheetData>
    <row r="1" spans="1:85">
      <c r="A1" s="404"/>
      <c r="B1" s="159"/>
      <c r="C1" s="159"/>
      <c r="D1" s="159"/>
      <c r="E1" s="161"/>
      <c r="F1" s="159"/>
      <c r="G1" s="159"/>
      <c r="H1" s="159"/>
      <c r="I1" s="159"/>
      <c r="J1" s="161"/>
      <c r="K1" s="161"/>
      <c r="L1" s="161"/>
      <c r="M1" s="161"/>
      <c r="N1" s="161"/>
      <c r="O1" s="161"/>
      <c r="P1" s="159"/>
      <c r="Q1" s="159"/>
      <c r="R1" s="159"/>
      <c r="S1" s="159"/>
      <c r="T1" s="513"/>
      <c r="U1" s="159"/>
      <c r="V1" s="159"/>
      <c r="W1" s="159"/>
      <c r="X1" s="159"/>
      <c r="Y1" s="161"/>
      <c r="Z1" s="159"/>
      <c r="AA1" s="159"/>
      <c r="AB1" s="159"/>
      <c r="AC1" s="171"/>
      <c r="AD1" s="171"/>
      <c r="AE1" s="161"/>
      <c r="AF1" s="161"/>
      <c r="AG1" s="161"/>
      <c r="AH1" s="161"/>
      <c r="AI1" s="171"/>
      <c r="AJ1" s="159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694"/>
      <c r="BE1" s="694"/>
      <c r="BF1" s="694"/>
      <c r="BG1" s="694"/>
      <c r="BH1" s="171"/>
      <c r="BI1" s="161"/>
      <c r="BJ1" s="159"/>
      <c r="BK1" s="159"/>
      <c r="BL1" s="171"/>
      <c r="BM1" s="161"/>
      <c r="BN1" s="404"/>
      <c r="BO1" s="159"/>
      <c r="BP1" s="159"/>
      <c r="BQ1" s="159"/>
      <c r="BR1" s="161"/>
    </row>
    <row r="2" spans="1:85" s="374" customFormat="1">
      <c r="A2" s="371"/>
      <c r="B2" s="371"/>
      <c r="C2" s="16"/>
      <c r="D2" s="16"/>
      <c r="E2" s="8"/>
      <c r="F2" s="371"/>
      <c r="J2" s="8"/>
      <c r="K2" s="8"/>
      <c r="L2" s="8"/>
      <c r="M2" s="8"/>
      <c r="N2" s="8"/>
      <c r="O2" s="8"/>
      <c r="P2" s="371"/>
      <c r="T2" s="8"/>
      <c r="U2" s="371"/>
      <c r="V2" s="97"/>
      <c r="W2" s="97"/>
      <c r="X2" s="97"/>
      <c r="Y2" s="8"/>
      <c r="Z2" s="371"/>
      <c r="AA2" s="8"/>
      <c r="AB2" s="8"/>
      <c r="AC2" s="8"/>
      <c r="AD2" s="8"/>
      <c r="AE2" s="8"/>
      <c r="AF2" s="8"/>
      <c r="AG2" s="8"/>
      <c r="AH2" s="8"/>
      <c r="AI2" s="8"/>
      <c r="AK2" s="172"/>
      <c r="AL2" s="172"/>
      <c r="AM2" s="172"/>
      <c r="AN2" s="8"/>
      <c r="AO2" s="257"/>
      <c r="AP2" s="257"/>
      <c r="AQ2" s="257"/>
      <c r="AR2" s="257"/>
      <c r="AS2" s="8"/>
      <c r="AT2" s="257"/>
      <c r="AU2" s="257"/>
      <c r="AV2" s="257"/>
      <c r="AW2" s="257"/>
      <c r="AX2" s="8"/>
      <c r="AY2" s="257"/>
      <c r="AZ2" s="257"/>
      <c r="BA2" s="257"/>
      <c r="BB2" s="257"/>
      <c r="BC2" s="8"/>
      <c r="BD2" s="257"/>
      <c r="BE2" s="257"/>
      <c r="BF2" s="257"/>
      <c r="BG2" s="257"/>
      <c r="BH2" s="8"/>
      <c r="BI2" s="371"/>
      <c r="BK2" s="8"/>
      <c r="BM2" s="8"/>
      <c r="BN2" s="371"/>
      <c r="BO2" s="371"/>
      <c r="BP2" s="16"/>
      <c r="BQ2" s="16"/>
      <c r="BR2" s="8"/>
    </row>
    <row r="3" spans="1:85" s="8" customFormat="1" ht="13.5" thickBot="1">
      <c r="BK3" s="104"/>
    </row>
    <row r="4" spans="1:85" s="374" customFormat="1" ht="13.5" thickBot="1">
      <c r="A4" s="371"/>
      <c r="B4" s="100"/>
      <c r="C4" s="73"/>
      <c r="D4" s="73"/>
      <c r="E4" s="936" t="s">
        <v>1259</v>
      </c>
      <c r="F4" s="371"/>
      <c r="G4" s="371"/>
      <c r="H4" s="371"/>
      <c r="I4" s="371"/>
      <c r="J4" s="777">
        <v>7.02</v>
      </c>
      <c r="K4" s="379"/>
      <c r="L4" s="379"/>
      <c r="M4" s="379"/>
      <c r="N4" s="379"/>
      <c r="O4" s="777">
        <f>+J4+0.01</f>
        <v>7.0299999999999994</v>
      </c>
      <c r="P4" s="378"/>
      <c r="Q4" s="8"/>
      <c r="R4" s="8"/>
      <c r="S4" s="8"/>
      <c r="T4" s="777">
        <f>+O4+0.01</f>
        <v>7.0399999999999991</v>
      </c>
      <c r="U4" s="103"/>
      <c r="V4" s="103"/>
      <c r="W4" s="103"/>
      <c r="X4" s="103"/>
      <c r="Y4" s="777">
        <f>+T4+0.01</f>
        <v>7.0499999999999989</v>
      </c>
      <c r="Z4" s="172"/>
      <c r="AA4" s="172"/>
      <c r="AB4" s="169"/>
      <c r="AC4" s="172"/>
      <c r="AD4" s="777">
        <f>+Y4+0.01</f>
        <v>7.0599999999999987</v>
      </c>
      <c r="AE4" s="308"/>
      <c r="AF4" s="308"/>
      <c r="AG4" s="308"/>
      <c r="AH4" s="308"/>
      <c r="AI4" s="777">
        <f>+AD4+0.01</f>
        <v>7.0699999999999985</v>
      </c>
      <c r="AN4" s="777">
        <f>+AI4+0.01</f>
        <v>7.0799999999999983</v>
      </c>
      <c r="AO4" s="257"/>
      <c r="AP4" s="260"/>
      <c r="AQ4" s="257"/>
      <c r="AR4" s="257"/>
      <c r="AS4" s="777">
        <f>+AN4+0.01</f>
        <v>7.0899999999999981</v>
      </c>
      <c r="AT4" s="257"/>
      <c r="AU4" s="260"/>
      <c r="AV4" s="257"/>
      <c r="AW4" s="257"/>
      <c r="AX4" s="777">
        <f>+AS4+0.01</f>
        <v>7.0999999999999979</v>
      </c>
      <c r="AY4" s="257"/>
      <c r="AZ4" s="260"/>
      <c r="BA4" s="257"/>
      <c r="BB4" s="257"/>
      <c r="BC4" s="777">
        <f>+AX4+0.01</f>
        <v>7.1099999999999977</v>
      </c>
      <c r="BD4" s="257"/>
      <c r="BE4" s="260"/>
      <c r="BF4" s="257"/>
      <c r="BG4" s="257"/>
      <c r="BH4" s="777">
        <f>+BC4+0.01</f>
        <v>7.1199999999999974</v>
      </c>
      <c r="BI4" s="371"/>
      <c r="BJ4" s="371"/>
      <c r="BK4" s="371"/>
      <c r="BL4" s="371"/>
      <c r="BM4" s="777">
        <f>+BH4+0.01</f>
        <v>7.1299999999999972</v>
      </c>
      <c r="BN4" s="371"/>
      <c r="BO4" s="100"/>
      <c r="BP4" s="73"/>
      <c r="BQ4" s="73"/>
      <c r="BR4" s="936" t="s">
        <v>1223</v>
      </c>
    </row>
    <row r="5" spans="1:85" s="374" customFormat="1">
      <c r="A5" s="149" t="s">
        <v>351</v>
      </c>
      <c r="B5" s="149"/>
      <c r="C5" s="150"/>
      <c r="D5" s="150"/>
      <c r="E5" s="22"/>
      <c r="F5" s="246" t="s">
        <v>351</v>
      </c>
      <c r="G5" s="368"/>
      <c r="H5" s="368"/>
      <c r="I5" s="368"/>
      <c r="J5" s="368"/>
      <c r="K5" s="246" t="s">
        <v>351</v>
      </c>
      <c r="L5" s="368"/>
      <c r="M5" s="368"/>
      <c r="N5" s="368"/>
      <c r="O5" s="368"/>
      <c r="P5" s="246" t="s">
        <v>351</v>
      </c>
      <c r="Q5" s="368"/>
      <c r="R5" s="368"/>
      <c r="S5" s="368"/>
      <c r="T5" s="368"/>
      <c r="U5" s="246" t="s">
        <v>351</v>
      </c>
      <c r="V5" s="368"/>
      <c r="W5" s="368"/>
      <c r="X5" s="368"/>
      <c r="Y5" s="368"/>
      <c r="Z5" s="149" t="s">
        <v>351</v>
      </c>
      <c r="AA5" s="149"/>
      <c r="AB5" s="150"/>
      <c r="AC5" s="150"/>
      <c r="AD5" s="150"/>
      <c r="AE5" s="246" t="s">
        <v>351</v>
      </c>
      <c r="AF5" s="368"/>
      <c r="AG5" s="368"/>
      <c r="AH5" s="368"/>
      <c r="AI5" s="368"/>
      <c r="AJ5" s="149" t="s">
        <v>351</v>
      </c>
      <c r="AK5" s="149"/>
      <c r="AL5" s="150"/>
      <c r="AM5" s="150"/>
      <c r="AN5" s="150"/>
      <c r="AO5" s="1090" t="s">
        <v>351</v>
      </c>
      <c r="AP5" s="1090"/>
      <c r="AQ5" s="1090"/>
      <c r="AR5" s="1090"/>
      <c r="AS5" s="1090"/>
      <c r="AT5" s="1090" t="s">
        <v>351</v>
      </c>
      <c r="AU5" s="1090"/>
      <c r="AV5" s="1090"/>
      <c r="AW5" s="1090"/>
      <c r="AX5" s="1090"/>
      <c r="AY5" s="1090" t="s">
        <v>351</v>
      </c>
      <c r="AZ5" s="1090"/>
      <c r="BA5" s="1090"/>
      <c r="BB5" s="1090"/>
      <c r="BC5" s="1090"/>
      <c r="BD5" s="1090" t="s">
        <v>351</v>
      </c>
      <c r="BE5" s="1090"/>
      <c r="BF5" s="1090"/>
      <c r="BG5" s="1090"/>
      <c r="BH5" s="1090"/>
      <c r="BI5" s="1088" t="s">
        <v>351</v>
      </c>
      <c r="BJ5" s="1088"/>
      <c r="BK5" s="1088"/>
      <c r="BL5" s="1088"/>
      <c r="BM5" s="1088"/>
      <c r="BN5" s="149" t="s">
        <v>351</v>
      </c>
      <c r="BO5" s="149"/>
      <c r="BP5" s="150"/>
      <c r="BQ5" s="150"/>
      <c r="BR5" s="22"/>
    </row>
    <row r="6" spans="1:85" s="1086" customFormat="1">
      <c r="A6" s="1084" t="s">
        <v>38</v>
      </c>
      <c r="B6" s="1084"/>
      <c r="C6" s="1084"/>
      <c r="D6" s="1084"/>
      <c r="E6" s="1078"/>
      <c r="F6" s="1080" t="s">
        <v>284</v>
      </c>
      <c r="G6" s="1080"/>
      <c r="H6" s="1080"/>
      <c r="I6" s="1080"/>
      <c r="J6" s="1078"/>
      <c r="K6" s="1080" t="s">
        <v>199</v>
      </c>
      <c r="L6" s="1080"/>
      <c r="M6" s="1080"/>
      <c r="N6" s="1080"/>
      <c r="O6" s="1080"/>
      <c r="P6" s="1080" t="s">
        <v>73</v>
      </c>
      <c r="Q6" s="1078"/>
      <c r="R6" s="1078"/>
      <c r="S6" s="1078"/>
      <c r="T6" s="1078"/>
      <c r="U6" s="1080" t="s">
        <v>200</v>
      </c>
      <c r="V6" s="1080"/>
      <c r="W6" s="1080"/>
      <c r="X6" s="1080"/>
      <c r="Y6" s="1080"/>
      <c r="Z6" s="1084" t="s">
        <v>201</v>
      </c>
      <c r="AA6" s="1084"/>
      <c r="AB6" s="1084"/>
      <c r="AC6" s="1084"/>
      <c r="AD6" s="1078"/>
      <c r="AE6" s="1080" t="s">
        <v>579</v>
      </c>
      <c r="AF6" s="1080"/>
      <c r="AG6" s="1080"/>
      <c r="AH6" s="1080"/>
      <c r="AI6" s="1080"/>
      <c r="AJ6" s="1080" t="s">
        <v>578</v>
      </c>
      <c r="AK6" s="1085"/>
      <c r="AL6" s="1084"/>
      <c r="AM6" s="1084"/>
      <c r="AN6" s="1078"/>
      <c r="AO6" s="1093" t="s">
        <v>792</v>
      </c>
      <c r="AP6" s="1093"/>
      <c r="AQ6" s="1093"/>
      <c r="AR6" s="1093"/>
      <c r="AS6" s="1093"/>
      <c r="AT6" s="1093" t="s">
        <v>800</v>
      </c>
      <c r="AU6" s="1093"/>
      <c r="AV6" s="1093"/>
      <c r="AW6" s="1093"/>
      <c r="AX6" s="1093"/>
      <c r="AY6" s="1093" t="s">
        <v>836</v>
      </c>
      <c r="AZ6" s="1093"/>
      <c r="BA6" s="1093"/>
      <c r="BB6" s="1093"/>
      <c r="BC6" s="1093"/>
      <c r="BD6" s="1093" t="s">
        <v>908</v>
      </c>
      <c r="BE6" s="1093"/>
      <c r="BF6" s="1093"/>
      <c r="BG6" s="1093"/>
      <c r="BH6" s="1093"/>
      <c r="BI6" s="1080" t="s">
        <v>37</v>
      </c>
      <c r="BJ6" s="1080"/>
      <c r="BK6" s="1080"/>
      <c r="BL6" s="1080"/>
      <c r="BM6" s="1078"/>
      <c r="BN6" s="1084" t="s">
        <v>1210</v>
      </c>
      <c r="BO6" s="1084"/>
      <c r="BP6" s="1084"/>
      <c r="BQ6" s="1084"/>
      <c r="BR6" s="1078"/>
    </row>
    <row r="7" spans="1:85">
      <c r="A7" s="368" t="str">
        <f>keep_TESTYEAR</f>
        <v>FOR THE TWELVE MONTHS ENDED SEPTEMBER 30, 2016</v>
      </c>
      <c r="B7" s="368"/>
      <c r="C7" s="246"/>
      <c r="D7" s="368"/>
      <c r="E7" s="368"/>
      <c r="F7" s="368" t="str">
        <f>keep_TESTYEAR</f>
        <v>FOR THE TWELVE MONTHS ENDED SEPTEMBER 30, 2016</v>
      </c>
      <c r="G7" s="368"/>
      <c r="H7" s="368"/>
      <c r="I7" s="368"/>
      <c r="J7" s="23"/>
      <c r="K7" s="368" t="str">
        <f>keep_TESTYEAR</f>
        <v>FOR THE TWELVE MONTHS ENDED SEPTEMBER 30, 2016</v>
      </c>
      <c r="L7" s="368"/>
      <c r="M7" s="368"/>
      <c r="N7" s="368"/>
      <c r="O7" s="368"/>
      <c r="P7" s="368" t="str">
        <f>keep_TESTYEAR</f>
        <v>FOR THE TWELVE MONTHS ENDED SEPTEMBER 30, 2016</v>
      </c>
      <c r="Q7" s="23"/>
      <c r="R7" s="23"/>
      <c r="S7" s="23"/>
      <c r="T7" s="23"/>
      <c r="U7" s="368" t="str">
        <f>keep_TESTYEAR</f>
        <v>FOR THE TWELVE MONTHS ENDED SEPTEMBER 30, 2016</v>
      </c>
      <c r="V7" s="368"/>
      <c r="W7" s="368"/>
      <c r="X7" s="368"/>
      <c r="Y7" s="368"/>
      <c r="Z7" s="368" t="str">
        <f>keep_TESTYEAR</f>
        <v>FOR THE TWELVE MONTHS ENDED SEPTEMBER 30, 2016</v>
      </c>
      <c r="AA7" s="150"/>
      <c r="AB7" s="150"/>
      <c r="AC7" s="150"/>
      <c r="AD7" s="23"/>
      <c r="AE7" s="368" t="str">
        <f>keep_TESTYEAR</f>
        <v>FOR THE TWELVE MONTHS ENDED SEPTEMBER 30, 2016</v>
      </c>
      <c r="AF7" s="368"/>
      <c r="AG7" s="368"/>
      <c r="AH7" s="368"/>
      <c r="AI7" s="368"/>
      <c r="AJ7" s="150" t="s">
        <v>834</v>
      </c>
      <c r="AK7" s="150"/>
      <c r="AL7" s="150"/>
      <c r="AM7" s="150"/>
      <c r="AN7" s="23"/>
      <c r="AO7" s="1090" t="str">
        <f>keep_TESTYEAR</f>
        <v>FOR THE TWELVE MONTHS ENDED SEPTEMBER 30, 2016</v>
      </c>
      <c r="AP7" s="1090"/>
      <c r="AQ7" s="1090"/>
      <c r="AR7" s="1090"/>
      <c r="AS7" s="1090"/>
      <c r="AT7" s="1090" t="str">
        <f>keep_TESTYEAR</f>
        <v>FOR THE TWELVE MONTHS ENDED SEPTEMBER 30, 2016</v>
      </c>
      <c r="AU7" s="1090"/>
      <c r="AV7" s="1090"/>
      <c r="AW7" s="1090"/>
      <c r="AX7" s="1090"/>
      <c r="AY7" s="1090" t="str">
        <f>keep_TESTYEAR</f>
        <v>FOR THE TWELVE MONTHS ENDED SEPTEMBER 30, 2016</v>
      </c>
      <c r="AZ7" s="1090"/>
      <c r="BA7" s="1090"/>
      <c r="BB7" s="1090"/>
      <c r="BC7" s="1090"/>
      <c r="BD7" s="1090" t="str">
        <f>keep_TESTYEAR</f>
        <v>FOR THE TWELVE MONTHS ENDED SEPTEMBER 30, 2016</v>
      </c>
      <c r="BE7" s="1090"/>
      <c r="BF7" s="1090"/>
      <c r="BG7" s="1090"/>
      <c r="BH7" s="1090"/>
      <c r="BI7" s="368" t="str">
        <f>keep_TESTYEAR</f>
        <v>FOR THE TWELVE MONTHS ENDED SEPTEMBER 30, 2016</v>
      </c>
      <c r="BJ7" s="368"/>
      <c r="BK7" s="368"/>
      <c r="BL7" s="368"/>
      <c r="BM7" s="23"/>
      <c r="BN7" s="368" t="str">
        <f>keep_TESTYEAR</f>
        <v>FOR THE TWELVE MONTHS ENDED SEPTEMBER 30, 2016</v>
      </c>
      <c r="BO7" s="368"/>
      <c r="BP7" s="246"/>
      <c r="BQ7" s="368"/>
      <c r="BR7" s="368"/>
    </row>
    <row r="8" spans="1:85" s="374" customFormat="1">
      <c r="A8" s="246" t="s">
        <v>1277</v>
      </c>
      <c r="B8" s="368"/>
      <c r="C8" s="246"/>
      <c r="D8" s="246"/>
      <c r="E8" s="246"/>
      <c r="F8" s="144" t="s">
        <v>1277</v>
      </c>
      <c r="G8" s="144"/>
      <c r="H8" s="246"/>
      <c r="I8" s="144"/>
      <c r="J8" s="144"/>
      <c r="K8" s="144" t="s">
        <v>1277</v>
      </c>
      <c r="L8" s="368"/>
      <c r="M8" s="368"/>
      <c r="N8" s="368"/>
      <c r="O8" s="368"/>
      <c r="P8" s="144" t="s">
        <v>1277</v>
      </c>
      <c r="Q8" s="368"/>
      <c r="R8" s="368"/>
      <c r="S8" s="368"/>
      <c r="T8" s="368"/>
      <c r="U8" s="144" t="s">
        <v>1277</v>
      </c>
      <c r="V8" s="368"/>
      <c r="W8" s="368"/>
      <c r="X8" s="368"/>
      <c r="Y8" s="368"/>
      <c r="Z8" s="219"/>
      <c r="AA8" s="144" t="s">
        <v>1277</v>
      </c>
      <c r="AB8" s="150"/>
      <c r="AC8" s="150"/>
      <c r="AD8" s="23"/>
      <c r="AE8" s="368" t="s">
        <v>62</v>
      </c>
      <c r="AF8" s="368"/>
      <c r="AG8" s="368"/>
      <c r="AH8" s="368"/>
      <c r="AI8" s="368"/>
      <c r="AJ8" s="150" t="s">
        <v>62</v>
      </c>
      <c r="AK8" s="150"/>
      <c r="AL8" s="150"/>
      <c r="AM8" s="150"/>
      <c r="AN8" s="23"/>
      <c r="AO8" s="1088" t="s">
        <v>62</v>
      </c>
      <c r="AP8" s="1088"/>
      <c r="AQ8" s="1088"/>
      <c r="AR8" s="1088"/>
      <c r="AS8" s="1088"/>
      <c r="AT8" s="1088" t="s">
        <v>62</v>
      </c>
      <c r="AU8" s="1088"/>
      <c r="AV8" s="1088"/>
      <c r="AW8" s="1088"/>
      <c r="AX8" s="1088"/>
      <c r="AY8" s="1088" t="s">
        <v>62</v>
      </c>
      <c r="AZ8" s="1088"/>
      <c r="BA8" s="1088"/>
      <c r="BB8" s="1088"/>
      <c r="BC8" s="1088"/>
      <c r="BD8" s="1088" t="s">
        <v>1277</v>
      </c>
      <c r="BE8" s="1088"/>
      <c r="BF8" s="1088"/>
      <c r="BG8" s="1088"/>
      <c r="BH8" s="1088"/>
      <c r="BI8" s="246" t="s">
        <v>1277</v>
      </c>
      <c r="BJ8" s="368"/>
      <c r="BK8" s="368"/>
      <c r="BL8" s="368"/>
      <c r="BM8" s="23"/>
      <c r="BN8" s="246" t="s">
        <v>1277</v>
      </c>
      <c r="BO8" s="368"/>
      <c r="BP8" s="246"/>
      <c r="BQ8" s="246"/>
      <c r="BR8" s="246"/>
      <c r="CD8" s="95"/>
      <c r="CE8" s="95"/>
      <c r="CF8" s="95"/>
      <c r="CG8" s="95"/>
    </row>
    <row r="9" spans="1:85" s="374" customFormat="1" ht="13.5">
      <c r="A9" s="371"/>
      <c r="B9" s="371"/>
      <c r="C9" s="371"/>
      <c r="D9" s="239"/>
      <c r="E9" s="239"/>
      <c r="F9" s="371"/>
      <c r="G9" s="101"/>
      <c r="H9" s="101"/>
      <c r="I9" s="239"/>
      <c r="J9" s="239"/>
      <c r="K9" s="36"/>
      <c r="L9" s="36"/>
      <c r="M9" s="36"/>
      <c r="N9" s="36"/>
      <c r="O9" s="36"/>
      <c r="P9" s="396"/>
      <c r="Q9" s="396"/>
      <c r="R9" s="396"/>
      <c r="S9" s="396"/>
      <c r="T9" s="396"/>
      <c r="U9" s="371"/>
      <c r="V9" s="101"/>
      <c r="W9" s="101"/>
      <c r="X9" s="101"/>
      <c r="Y9" s="371"/>
      <c r="Z9" s="175"/>
      <c r="AA9" s="172"/>
      <c r="AB9" s="175"/>
      <c r="AC9" s="239"/>
      <c r="AD9" s="239"/>
      <c r="AE9" s="244"/>
      <c r="AF9" s="368"/>
      <c r="AG9" s="368"/>
      <c r="AH9" s="368"/>
      <c r="AI9" s="368"/>
      <c r="AM9" s="239"/>
      <c r="AN9" s="239"/>
      <c r="AO9" s="371"/>
      <c r="AP9" s="371"/>
      <c r="AQ9" s="371"/>
      <c r="AR9" s="239"/>
      <c r="AS9" s="239"/>
      <c r="AT9" s="371"/>
      <c r="AU9" s="371"/>
      <c r="AV9" s="371"/>
      <c r="AW9" s="239"/>
      <c r="AX9" s="239"/>
      <c r="AY9" s="371"/>
      <c r="AZ9" s="371"/>
      <c r="BA9" s="371"/>
      <c r="BB9" s="239"/>
      <c r="BC9" s="239"/>
      <c r="BD9" s="371"/>
      <c r="BE9" s="371"/>
      <c r="BF9" s="371"/>
      <c r="BG9" s="239"/>
      <c r="BH9" s="239"/>
      <c r="BI9" s="371"/>
      <c r="BK9" s="239"/>
      <c r="BL9" s="514"/>
      <c r="BM9" s="239"/>
      <c r="BN9" s="371"/>
      <c r="BO9" s="371"/>
      <c r="BP9" s="371"/>
      <c r="BQ9" s="239"/>
      <c r="BR9" s="239"/>
      <c r="BS9" s="308"/>
      <c r="BT9" s="308"/>
      <c r="BU9" s="308"/>
      <c r="BV9" s="308"/>
      <c r="BW9" s="308"/>
      <c r="BX9" s="308"/>
      <c r="CD9" s="95"/>
      <c r="CE9" s="95"/>
      <c r="CF9" s="95"/>
      <c r="CG9" s="95"/>
    </row>
    <row r="10" spans="1:85" ht="15.75" customHeight="1">
      <c r="A10" s="372" t="s">
        <v>313</v>
      </c>
      <c r="B10" s="101"/>
      <c r="C10" s="154"/>
      <c r="D10" s="476"/>
      <c r="E10" s="476" t="s">
        <v>314</v>
      </c>
      <c r="F10" s="476" t="s">
        <v>313</v>
      </c>
      <c r="G10" s="371"/>
      <c r="H10" s="371"/>
      <c r="K10" s="372" t="s">
        <v>313</v>
      </c>
      <c r="L10" s="101"/>
      <c r="M10" s="102"/>
      <c r="N10" s="476"/>
      <c r="O10" s="476"/>
      <c r="P10" s="476" t="s">
        <v>313</v>
      </c>
      <c r="Q10" s="52"/>
      <c r="R10" s="52"/>
      <c r="S10" s="52"/>
      <c r="T10" s="52"/>
      <c r="U10" s="476" t="s">
        <v>313</v>
      </c>
      <c r="V10" s="101"/>
      <c r="W10" s="101"/>
      <c r="X10" s="101"/>
      <c r="Y10" s="372"/>
      <c r="Z10" s="151" t="s">
        <v>313</v>
      </c>
      <c r="AA10" s="175"/>
      <c r="AB10" s="152" t="s">
        <v>372</v>
      </c>
      <c r="AC10" s="152" t="s">
        <v>109</v>
      </c>
      <c r="AD10" s="152"/>
      <c r="AE10" s="372" t="s">
        <v>313</v>
      </c>
      <c r="AF10" s="101"/>
      <c r="AG10" s="102"/>
      <c r="AH10" s="476" t="s">
        <v>348</v>
      </c>
      <c r="AI10" s="476"/>
      <c r="AJ10" s="257" t="s">
        <v>313</v>
      </c>
      <c r="AK10" s="257"/>
      <c r="AL10" s="257"/>
      <c r="AO10" s="257" t="s">
        <v>313</v>
      </c>
      <c r="AP10" s="257"/>
      <c r="AQ10" s="257"/>
      <c r="AR10" s="905" t="s">
        <v>376</v>
      </c>
      <c r="AS10" s="905" t="s">
        <v>376</v>
      </c>
      <c r="AT10" s="257" t="s">
        <v>313</v>
      </c>
      <c r="AU10" s="257"/>
      <c r="AV10" s="257"/>
      <c r="AW10" s="477" t="s">
        <v>376</v>
      </c>
      <c r="AX10" s="477" t="s">
        <v>376</v>
      </c>
      <c r="AY10" s="257" t="s">
        <v>313</v>
      </c>
      <c r="AZ10" s="257"/>
      <c r="BA10" s="257"/>
      <c r="BB10" s="637" t="s">
        <v>376</v>
      </c>
      <c r="BC10" s="637" t="s">
        <v>376</v>
      </c>
      <c r="BD10" s="257" t="s">
        <v>313</v>
      </c>
      <c r="BE10" s="257"/>
      <c r="BF10" s="257"/>
      <c r="BG10" s="685"/>
      <c r="BH10" s="685"/>
      <c r="BI10" s="759" t="s">
        <v>313</v>
      </c>
      <c r="BJ10" s="371"/>
      <c r="BK10" s="760" t="s">
        <v>326</v>
      </c>
      <c r="BL10" s="760" t="s">
        <v>325</v>
      </c>
      <c r="BM10" s="760" t="s">
        <v>151</v>
      </c>
      <c r="BN10" s="989" t="s">
        <v>313</v>
      </c>
      <c r="BO10" s="101"/>
      <c r="BP10" s="154"/>
      <c r="BQ10" s="988"/>
      <c r="BR10" s="988" t="s">
        <v>314</v>
      </c>
    </row>
    <row r="11" spans="1:85" ht="16.5" customHeight="1">
      <c r="A11" s="247" t="s">
        <v>330</v>
      </c>
      <c r="B11" s="248" t="s">
        <v>83</v>
      </c>
      <c r="C11" s="24" t="s">
        <v>329</v>
      </c>
      <c r="D11" s="24" t="s">
        <v>326</v>
      </c>
      <c r="E11" s="24" t="s">
        <v>85</v>
      </c>
      <c r="F11" s="24" t="s">
        <v>330</v>
      </c>
      <c r="G11" s="108" t="s">
        <v>83</v>
      </c>
      <c r="H11" s="247"/>
      <c r="I11" s="247" t="s">
        <v>326</v>
      </c>
      <c r="J11" s="247" t="s">
        <v>86</v>
      </c>
      <c r="K11" s="247" t="s">
        <v>330</v>
      </c>
      <c r="L11" s="248" t="s">
        <v>83</v>
      </c>
      <c r="M11" s="60" t="s">
        <v>329</v>
      </c>
      <c r="N11" s="24" t="s">
        <v>326</v>
      </c>
      <c r="O11" s="24" t="s">
        <v>87</v>
      </c>
      <c r="P11" s="24" t="s">
        <v>330</v>
      </c>
      <c r="Q11" s="53"/>
      <c r="R11" s="247" t="s">
        <v>329</v>
      </c>
      <c r="S11" s="247" t="s">
        <v>84</v>
      </c>
      <c r="T11" s="24" t="s">
        <v>87</v>
      </c>
      <c r="U11" s="24" t="s">
        <v>330</v>
      </c>
      <c r="V11" s="248" t="s">
        <v>83</v>
      </c>
      <c r="W11" s="247" t="s">
        <v>17</v>
      </c>
      <c r="X11" s="247" t="s">
        <v>21</v>
      </c>
      <c r="Y11" s="247" t="s">
        <v>86</v>
      </c>
      <c r="Z11" s="153" t="s">
        <v>330</v>
      </c>
      <c r="AA11" s="177" t="s">
        <v>83</v>
      </c>
      <c r="AB11" s="153" t="s">
        <v>89</v>
      </c>
      <c r="AC11" s="153" t="s">
        <v>1147</v>
      </c>
      <c r="AD11" s="153" t="s">
        <v>87</v>
      </c>
      <c r="AE11" s="247" t="s">
        <v>330</v>
      </c>
      <c r="AF11" s="248" t="s">
        <v>83</v>
      </c>
      <c r="AG11" s="24" t="s">
        <v>88</v>
      </c>
      <c r="AH11" s="24" t="s">
        <v>88</v>
      </c>
      <c r="AI11" s="24" t="s">
        <v>87</v>
      </c>
      <c r="AJ11" s="306" t="s">
        <v>330</v>
      </c>
      <c r="AK11" s="306" t="s">
        <v>83</v>
      </c>
      <c r="AL11" s="304" t="s">
        <v>88</v>
      </c>
      <c r="AM11" s="304" t="s">
        <v>326</v>
      </c>
      <c r="AN11" s="304" t="s">
        <v>87</v>
      </c>
      <c r="AO11" s="306" t="s">
        <v>330</v>
      </c>
      <c r="AP11" s="306" t="s">
        <v>83</v>
      </c>
      <c r="AQ11" s="304" t="s">
        <v>88</v>
      </c>
      <c r="AR11" s="304" t="s">
        <v>95</v>
      </c>
      <c r="AS11" s="304" t="s">
        <v>87</v>
      </c>
      <c r="AT11" s="306" t="s">
        <v>330</v>
      </c>
      <c r="AU11" s="306" t="s">
        <v>83</v>
      </c>
      <c r="AV11" s="304" t="s">
        <v>88</v>
      </c>
      <c r="AW11" s="304" t="s">
        <v>95</v>
      </c>
      <c r="AX11" s="304" t="s">
        <v>87</v>
      </c>
      <c r="AY11" s="306" t="s">
        <v>330</v>
      </c>
      <c r="AZ11" s="306" t="s">
        <v>83</v>
      </c>
      <c r="BA11" s="304" t="s">
        <v>88</v>
      </c>
      <c r="BB11" s="304" t="s">
        <v>95</v>
      </c>
      <c r="BC11" s="304" t="s">
        <v>87</v>
      </c>
      <c r="BD11" s="306" t="s">
        <v>330</v>
      </c>
      <c r="BE11" s="306" t="s">
        <v>83</v>
      </c>
      <c r="BF11" s="304" t="s">
        <v>88</v>
      </c>
      <c r="BG11" s="304" t="s">
        <v>95</v>
      </c>
      <c r="BH11" s="304" t="s">
        <v>87</v>
      </c>
      <c r="BI11" s="247" t="s">
        <v>330</v>
      </c>
      <c r="BJ11" s="248" t="s">
        <v>83</v>
      </c>
      <c r="BK11" s="247" t="s">
        <v>180</v>
      </c>
      <c r="BL11" s="247" t="s">
        <v>1153</v>
      </c>
      <c r="BM11" s="65">
        <f>k_FITrate</f>
        <v>0.35</v>
      </c>
      <c r="BN11" s="247" t="s">
        <v>330</v>
      </c>
      <c r="BO11" s="248" t="s">
        <v>83</v>
      </c>
      <c r="BP11" s="24" t="s">
        <v>329</v>
      </c>
      <c r="BQ11" s="24" t="s">
        <v>326</v>
      </c>
      <c r="BR11" s="24" t="s">
        <v>85</v>
      </c>
    </row>
    <row r="12" spans="1:85">
      <c r="A12" s="17"/>
      <c r="B12" s="81"/>
      <c r="C12" s="81"/>
      <c r="D12" s="523"/>
      <c r="E12" s="81"/>
      <c r="F12" s="375"/>
      <c r="G12" s="373"/>
      <c r="H12" s="82"/>
      <c r="I12" s="397"/>
      <c r="J12" s="397"/>
      <c r="K12" s="81"/>
      <c r="L12" s="81"/>
      <c r="M12" s="81"/>
      <c r="N12" s="81"/>
      <c r="O12" s="81"/>
      <c r="P12" s="375"/>
      <c r="Q12" s="54"/>
      <c r="R12" s="251"/>
      <c r="S12" s="251"/>
      <c r="T12" s="251"/>
      <c r="Z12" s="172"/>
      <c r="AA12" s="172"/>
      <c r="AB12" s="172"/>
      <c r="AC12" s="172"/>
      <c r="AD12" s="172"/>
      <c r="AE12" s="203"/>
      <c r="AF12" s="203"/>
      <c r="AG12" s="203"/>
      <c r="AH12" s="203"/>
      <c r="AI12" s="203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M12" s="22"/>
      <c r="BN12" s="17"/>
      <c r="BO12" s="81"/>
      <c r="BP12" s="81"/>
      <c r="BQ12" s="523"/>
      <c r="BR12" s="81"/>
    </row>
    <row r="13" spans="1:85" s="374" customFormat="1" ht="15">
      <c r="A13" s="375">
        <v>1</v>
      </c>
      <c r="B13" s="360" t="s">
        <v>420</v>
      </c>
      <c r="F13" s="375">
        <f t="shared" ref="F13:F26" si="0">F12+1</f>
        <v>1</v>
      </c>
      <c r="G13" s="486" t="s">
        <v>902</v>
      </c>
      <c r="H13" s="486"/>
      <c r="I13" s="95">
        <f>+'[38]Lead E'!$E$12</f>
        <v>4295103591.2787495</v>
      </c>
      <c r="K13" s="375">
        <v>1</v>
      </c>
      <c r="M13" s="289"/>
      <c r="N13" s="289"/>
      <c r="O13" s="289"/>
      <c r="P13" s="375">
        <v>1</v>
      </c>
      <c r="Q13" s="56" t="s">
        <v>311</v>
      </c>
      <c r="R13" s="284">
        <f>'BGM-3 (2) Detail '!C43</f>
        <v>-64111667.629999898</v>
      </c>
      <c r="S13" s="284">
        <v>0</v>
      </c>
      <c r="T13" s="284">
        <f>S13-R13</f>
        <v>64111667.629999898</v>
      </c>
      <c r="U13" s="375">
        <v>1</v>
      </c>
      <c r="V13" s="921" t="s">
        <v>2</v>
      </c>
      <c r="W13" s="397"/>
      <c r="X13" s="397"/>
      <c r="Y13" s="397"/>
      <c r="Z13" s="375">
        <v>1</v>
      </c>
      <c r="AA13" s="220" t="s">
        <v>154</v>
      </c>
      <c r="AB13" s="329"/>
      <c r="AC13" s="329"/>
      <c r="AD13" s="329"/>
      <c r="AE13" s="198">
        <v>1</v>
      </c>
      <c r="AF13" s="69" t="s">
        <v>310</v>
      </c>
      <c r="AG13" s="532"/>
      <c r="AH13" s="532"/>
      <c r="AI13" s="203"/>
      <c r="AJ13" s="583">
        <v>1</v>
      </c>
      <c r="AK13" s="584" t="s">
        <v>793</v>
      </c>
      <c r="AL13" s="585"/>
      <c r="AM13" s="585"/>
      <c r="AN13" s="585"/>
      <c r="AO13" s="583">
        <v>1</v>
      </c>
      <c r="AP13" s="734" t="s">
        <v>949</v>
      </c>
      <c r="AQ13" s="732"/>
      <c r="AR13" s="732"/>
      <c r="AS13" s="732"/>
      <c r="AT13" s="308">
        <v>1</v>
      </c>
      <c r="AU13" s="584" t="s">
        <v>801</v>
      </c>
      <c r="AV13" s="585"/>
      <c r="AW13" s="585"/>
      <c r="AX13" s="585"/>
      <c r="AY13" s="308">
        <v>1</v>
      </c>
      <c r="AZ13" s="712" t="s">
        <v>914</v>
      </c>
      <c r="BA13" s="585"/>
      <c r="BB13" s="585"/>
      <c r="BC13" s="585"/>
      <c r="BD13" s="482">
        <v>1</v>
      </c>
      <c r="BE13" s="705" t="s">
        <v>898</v>
      </c>
      <c r="BF13" s="695"/>
      <c r="BG13" s="695"/>
      <c r="BH13" s="695"/>
      <c r="BI13" s="482">
        <v>1</v>
      </c>
      <c r="BJ13" s="209" t="s">
        <v>1150</v>
      </c>
      <c r="BK13" s="507" t="s">
        <v>721</v>
      </c>
      <c r="BL13" s="761">
        <f>+ROUND('[39]Fixed Cost Production Factor'!$H$31,6)</f>
        <v>2.5347000000000001E-2</v>
      </c>
      <c r="BN13" s="375">
        <v>1</v>
      </c>
      <c r="BO13" s="360" t="s">
        <v>261</v>
      </c>
      <c r="BS13" s="308"/>
      <c r="BT13" s="308"/>
      <c r="BU13" s="308"/>
      <c r="BV13" s="308"/>
      <c r="BW13" s="308"/>
      <c r="BX13" s="308"/>
      <c r="CD13" s="95"/>
      <c r="CE13" s="95"/>
      <c r="CF13" s="95"/>
      <c r="CG13" s="95"/>
    </row>
    <row r="14" spans="1:85" s="374" customFormat="1" ht="15">
      <c r="A14" s="375">
        <f t="shared" ref="A14:A34" si="1">A13+1</f>
        <v>2</v>
      </c>
      <c r="B14" s="484" t="s">
        <v>421</v>
      </c>
      <c r="C14" s="780">
        <f>+'Power Cost Bridge to A-1'!I15</f>
        <v>85246014.709999993</v>
      </c>
      <c r="D14" s="780">
        <f>+'Power Cost Bridge to A-1'!N15</f>
        <v>79063626.165677711</v>
      </c>
      <c r="E14" s="780">
        <f>+D14-C14</f>
        <v>-6182388.5443222821</v>
      </c>
      <c r="F14" s="375">
        <f t="shared" si="0"/>
        <v>2</v>
      </c>
      <c r="G14" s="507" t="s">
        <v>1130</v>
      </c>
      <c r="H14" s="486"/>
      <c r="I14" s="545">
        <f>+'[38]Lead E'!$E$13</f>
        <v>0.05</v>
      </c>
      <c r="K14" s="375">
        <f t="shared" ref="K14:K28" si="2">K13+1</f>
        <v>2</v>
      </c>
      <c r="L14" s="220" t="s">
        <v>310</v>
      </c>
      <c r="M14" s="329"/>
      <c r="N14" s="329"/>
      <c r="O14" s="329"/>
      <c r="P14" s="375">
        <f t="shared" ref="P14:P21" si="3">P13+1</f>
        <v>2</v>
      </c>
      <c r="Q14" s="377"/>
      <c r="R14" s="316"/>
      <c r="S14" s="315"/>
      <c r="T14" s="315"/>
      <c r="U14" s="375">
        <f t="shared" ref="U14:U64" si="4">U13+1</f>
        <v>2</v>
      </c>
      <c r="V14" s="317" t="s">
        <v>1</v>
      </c>
      <c r="W14" s="69"/>
      <c r="X14" s="69"/>
      <c r="Y14" s="123"/>
      <c r="Z14" s="375">
        <f>Z13+1</f>
        <v>2</v>
      </c>
      <c r="AA14" s="285" t="str">
        <f>'[15]Lead E'!B14</f>
        <v>BEP</v>
      </c>
      <c r="AB14" s="288">
        <f>'[15]Lead E'!C14</f>
        <v>2930264.5350000057</v>
      </c>
      <c r="AC14" s="288">
        <f>'[15]Lead E'!D14</f>
        <v>0</v>
      </c>
      <c r="AD14" s="288">
        <f>+AC14-AB14</f>
        <v>-2930264.5350000057</v>
      </c>
      <c r="AE14" s="198">
        <f t="shared" ref="AE14:AE29" si="5">AE13+1</f>
        <v>2</v>
      </c>
      <c r="AF14" s="293" t="s">
        <v>152</v>
      </c>
      <c r="AG14" s="531">
        <f>'[40]Lead E'!$C$15</f>
        <v>2532527.2133333334</v>
      </c>
      <c r="AH14" s="531">
        <f>'[40]Lead E'!$D$15</f>
        <v>7815669.9016000014</v>
      </c>
      <c r="AI14" s="531">
        <f>AH14-AG14</f>
        <v>5283142.6882666685</v>
      </c>
      <c r="AJ14" s="583">
        <f>+AJ13+1</f>
        <v>2</v>
      </c>
      <c r="AK14" s="584" t="s">
        <v>794</v>
      </c>
      <c r="AL14" s="586"/>
      <c r="AM14" s="586"/>
      <c r="AN14" s="586"/>
      <c r="AO14" s="583">
        <f>+AO13+1</f>
        <v>2</v>
      </c>
      <c r="AP14" s="325" t="s">
        <v>152</v>
      </c>
      <c r="AQ14" s="926">
        <f>+'[41]Lead E'!C13</f>
        <v>21985164.197500002</v>
      </c>
      <c r="AR14" s="926">
        <f>+'[41]Lead E'!D13</f>
        <v>0</v>
      </c>
      <c r="AS14" s="926">
        <f t="shared" ref="AS14:AS18" si="6">AR14-AQ14</f>
        <v>-21985164.197500002</v>
      </c>
      <c r="AT14" s="308">
        <f>AT13+1</f>
        <v>2</v>
      </c>
      <c r="AU14" s="584" t="s">
        <v>794</v>
      </c>
      <c r="AV14" s="586"/>
      <c r="AW14" s="586"/>
      <c r="AX14" s="586"/>
      <c r="AY14" s="308">
        <f>+AY13+1</f>
        <v>2</v>
      </c>
      <c r="AZ14" s="713" t="s">
        <v>915</v>
      </c>
      <c r="BA14" s="927">
        <f>'[42]Lead E'!C11</f>
        <v>59841513.397916675</v>
      </c>
      <c r="BB14" s="927">
        <f>'[42]Lead E'!D11</f>
        <v>59749659.710000001</v>
      </c>
      <c r="BC14" s="927">
        <f>BB14-BA14</f>
        <v>-91853.68791667372</v>
      </c>
      <c r="BD14" s="482">
        <f t="shared" ref="BD14:BD24" si="7">BD13+1</f>
        <v>2</v>
      </c>
      <c r="BE14" s="225" t="s">
        <v>1149</v>
      </c>
      <c r="BF14" s="904">
        <f>+'[43]Lead E'!C14</f>
        <v>-101559498.97984974</v>
      </c>
      <c r="BG14" s="904">
        <f>+BF14</f>
        <v>-101559498.97984974</v>
      </c>
      <c r="BH14" s="780">
        <f>BG14-BF14</f>
        <v>0</v>
      </c>
      <c r="BI14" s="482">
        <f>+BI13+1</f>
        <v>2</v>
      </c>
      <c r="BJ14" s="209" t="s">
        <v>1151</v>
      </c>
      <c r="BK14" s="507" t="s">
        <v>722</v>
      </c>
      <c r="BL14" s="761">
        <f>+ROUND('[39]Variable Cost Production Factor'!$G$29,6)</f>
        <v>3.8393999999999998E-2</v>
      </c>
      <c r="BM14" s="631"/>
      <c r="BN14" s="375">
        <f t="shared" ref="BN14" si="8">BN13+1</f>
        <v>2</v>
      </c>
      <c r="BO14" s="484" t="s">
        <v>1209</v>
      </c>
      <c r="BP14" s="780">
        <f>+[32]ERB!$D$67</f>
        <v>73969464.23932533</v>
      </c>
      <c r="BQ14" s="780">
        <f>+'Power Cost Bridge to A-1'!CA15</f>
        <v>0</v>
      </c>
      <c r="BR14" s="780">
        <f>+BQ14-BP14</f>
        <v>-73969464.23932533</v>
      </c>
      <c r="BS14" s="308"/>
      <c r="BT14" s="308"/>
      <c r="BU14" s="308"/>
      <c r="BV14" s="308"/>
      <c r="BW14" s="308"/>
      <c r="BX14" s="308"/>
      <c r="CD14" s="95"/>
      <c r="CE14" s="95"/>
      <c r="CF14" s="95"/>
      <c r="CG14" s="95"/>
    </row>
    <row r="15" spans="1:85" s="374" customFormat="1" ht="15">
      <c r="A15" s="375">
        <f t="shared" si="1"/>
        <v>3</v>
      </c>
      <c r="B15" s="484" t="s">
        <v>422</v>
      </c>
      <c r="C15" s="285">
        <f>+'Power Cost Bridge to A-1'!I16</f>
        <v>149756871.78999999</v>
      </c>
      <c r="D15" s="285">
        <f>+'Power Cost Bridge to A-1'!N16</f>
        <v>128580540.49475974</v>
      </c>
      <c r="E15" s="285">
        <f t="shared" ref="E15:E24" si="9">+D15-C15</f>
        <v>-21176331.295240253</v>
      </c>
      <c r="F15" s="375">
        <f t="shared" si="0"/>
        <v>3</v>
      </c>
      <c r="G15" s="631" t="s">
        <v>903</v>
      </c>
      <c r="H15" s="486"/>
      <c r="I15" s="486">
        <f>+'[38]Lead E'!$E$14</f>
        <v>1.4999999999999999E-4</v>
      </c>
      <c r="K15" s="375">
        <f t="shared" si="2"/>
        <v>3</v>
      </c>
      <c r="L15" s="205" t="s">
        <v>152</v>
      </c>
      <c r="M15" s="287">
        <f>'[44]Lead E'!$D16</f>
        <v>4539303</v>
      </c>
      <c r="N15" s="288">
        <v>0</v>
      </c>
      <c r="O15" s="288">
        <f>+N15-M15</f>
        <v>-4539303</v>
      </c>
      <c r="P15" s="375">
        <f t="shared" si="3"/>
        <v>3</v>
      </c>
      <c r="Q15" s="45" t="s">
        <v>11</v>
      </c>
      <c r="R15" s="38">
        <f>SUM(R13:R14)</f>
        <v>-64111667.629999898</v>
      </c>
      <c r="S15" s="289">
        <f>SUM(S13:S14)</f>
        <v>0</v>
      </c>
      <c r="T15" s="289">
        <f>SUM(T13:T14)</f>
        <v>64111667.629999898</v>
      </c>
      <c r="U15" s="375">
        <f t="shared" si="4"/>
        <v>3</v>
      </c>
      <c r="V15" s="16" t="s">
        <v>1132</v>
      </c>
      <c r="W15" s="412">
        <f>'[45]Lead E'!$C$17</f>
        <v>146577.86000000002</v>
      </c>
      <c r="X15" s="412">
        <f>'[45]Lead E'!$D$17</f>
        <v>9324412.6900000013</v>
      </c>
      <c r="Y15" s="146">
        <f t="shared" ref="Y15:Y20" si="10">SUM(W15+X15)</f>
        <v>9470990.5500000007</v>
      </c>
      <c r="Z15" s="375">
        <f t="shared" ref="Z15:Z66" si="11">+Z14+1</f>
        <v>3</v>
      </c>
      <c r="AA15" s="285" t="str">
        <f>'[15]Lead E'!B15</f>
        <v>WESTCOAST PIPELINE CAPACITY - UE-082013 (FB ENERGY)</v>
      </c>
      <c r="AB15" s="285">
        <f>'[15]Lead E'!C15</f>
        <v>-658518.54083333327</v>
      </c>
      <c r="AC15" s="285">
        <f>'[15]Lead E'!D15</f>
        <v>-88510.49771296572</v>
      </c>
      <c r="AD15" s="221">
        <f>+AC15-AB15</f>
        <v>570008.04312036757</v>
      </c>
      <c r="AE15" s="198">
        <f t="shared" si="5"/>
        <v>3</v>
      </c>
      <c r="AF15" s="293" t="s">
        <v>229</v>
      </c>
      <c r="AG15" s="289">
        <f>'[40]Lead E'!$C$16</f>
        <v>-23967.255261935759</v>
      </c>
      <c r="AH15" s="289">
        <f>'[40]Lead E'!$D$16</f>
        <v>-746090.14322181221</v>
      </c>
      <c r="AI15" s="289">
        <f>AH15-AG15</f>
        <v>-722122.88795987645</v>
      </c>
      <c r="AJ15" s="583">
        <f t="shared" ref="AJ15:AJ29" si="12">+AJ14+1</f>
        <v>3</v>
      </c>
      <c r="AK15" s="587" t="s">
        <v>152</v>
      </c>
      <c r="AL15" s="588">
        <v>0</v>
      </c>
      <c r="AM15" s="589">
        <f>'[46]Lead E'!E14</f>
        <v>16120231.800000003</v>
      </c>
      <c r="AN15" s="589">
        <f>AM15-AL15</f>
        <v>16120231.800000003</v>
      </c>
      <c r="AO15" s="583">
        <f t="shared" ref="AO15:AO39" si="13">+AO14+1</f>
        <v>3</v>
      </c>
      <c r="AP15" s="325" t="s">
        <v>229</v>
      </c>
      <c r="AQ15" s="733">
        <f>+'[41]Lead E'!C14</f>
        <v>-4782184.9428318273</v>
      </c>
      <c r="AR15" s="733">
        <f>+'[41]Lead E'!D14</f>
        <v>17053554.294432983</v>
      </c>
      <c r="AS15" s="733">
        <f t="shared" si="6"/>
        <v>21835739.237264812</v>
      </c>
      <c r="AT15" s="308">
        <f>AT14+1</f>
        <v>3</v>
      </c>
      <c r="AU15" s="587" t="s">
        <v>152</v>
      </c>
      <c r="AV15" s="588">
        <f>'[47]Lead E'!C14</f>
        <v>0</v>
      </c>
      <c r="AW15" s="588">
        <f>'[47]Lead E'!D14</f>
        <v>24765516.030000001</v>
      </c>
      <c r="AX15" s="589">
        <f>AW15-AV15</f>
        <v>24765516.030000001</v>
      </c>
      <c r="AY15" s="308">
        <f>AY14+1</f>
        <v>3</v>
      </c>
      <c r="AZ15" s="713" t="s">
        <v>916</v>
      </c>
      <c r="BA15" s="928">
        <f>'[42]Lead E'!C12</f>
        <v>0</v>
      </c>
      <c r="BB15" s="928">
        <f>'[42]Lead E'!D12</f>
        <v>18825.34</v>
      </c>
      <c r="BC15" s="928">
        <f>BB15-BA15</f>
        <v>18825.34</v>
      </c>
      <c r="BD15" s="482">
        <f t="shared" si="7"/>
        <v>3</v>
      </c>
      <c r="BE15" s="225" t="s">
        <v>1021</v>
      </c>
      <c r="BF15" s="307">
        <f>+'[43]Lead E'!C15</f>
        <v>0</v>
      </c>
      <c r="BG15" s="307">
        <v>0</v>
      </c>
      <c r="BH15" s="289">
        <f t="shared" ref="BH15" si="14">BG15-BF15</f>
        <v>0</v>
      </c>
      <c r="BI15" s="482">
        <f t="shared" ref="BI15:BI81" si="15">+BI14+1</f>
        <v>3</v>
      </c>
      <c r="BJ15" s="374" t="s">
        <v>1152</v>
      </c>
      <c r="BN15" s="375"/>
      <c r="BO15" s="484"/>
      <c r="BP15" s="285"/>
      <c r="BQ15" s="285"/>
      <c r="BR15" s="285"/>
      <c r="BS15" s="308"/>
      <c r="BT15" s="308"/>
      <c r="BU15" s="308"/>
      <c r="BV15" s="308"/>
      <c r="BW15" s="308"/>
      <c r="BX15" s="308"/>
      <c r="CD15" s="95"/>
      <c r="CE15" s="95"/>
      <c r="CF15" s="95"/>
      <c r="CG15" s="95"/>
    </row>
    <row r="16" spans="1:85" s="374" customFormat="1" ht="15.75" thickBot="1">
      <c r="A16" s="375">
        <f t="shared" si="1"/>
        <v>4</v>
      </c>
      <c r="B16" s="484" t="s">
        <v>423</v>
      </c>
      <c r="C16" s="285">
        <f>+'Power Cost Bridge to A-1'!I17</f>
        <v>523037995.81000006</v>
      </c>
      <c r="D16" s="1047">
        <f>+'Power Cost Bridge to A-1'!N17-'BGM-3 (1) Lead'!W40*1000</f>
        <v>414141852.98348427</v>
      </c>
      <c r="E16" s="285">
        <f t="shared" si="9"/>
        <v>-108896142.82651579</v>
      </c>
      <c r="F16" s="375">
        <f t="shared" si="0"/>
        <v>4</v>
      </c>
      <c r="G16" s="507" t="s">
        <v>904</v>
      </c>
      <c r="H16" s="486"/>
      <c r="I16" s="693">
        <f>+I13*(1-I14)*I15</f>
        <v>612052.26175722177</v>
      </c>
      <c r="K16" s="375">
        <f t="shared" si="2"/>
        <v>4</v>
      </c>
      <c r="L16" s="179" t="s">
        <v>229</v>
      </c>
      <c r="M16" s="38">
        <f>'[44]Lead E'!$D17</f>
        <v>-1578037</v>
      </c>
      <c r="N16" s="289"/>
      <c r="O16" s="289">
        <f>+N16-M16</f>
        <v>1578037</v>
      </c>
      <c r="P16" s="375">
        <f t="shared" si="3"/>
        <v>4</v>
      </c>
      <c r="Q16" s="377"/>
      <c r="R16" s="58"/>
      <c r="S16" s="58"/>
      <c r="T16" s="58"/>
      <c r="U16" s="375">
        <f t="shared" si="4"/>
        <v>4</v>
      </c>
      <c r="V16" s="16" t="s">
        <v>1133</v>
      </c>
      <c r="W16" s="147">
        <f>'[45]Lead E'!$C$18</f>
        <v>330553.87999999983</v>
      </c>
      <c r="X16" s="147">
        <f>'[45]Lead E'!$D$18</f>
        <v>11614287.549999999</v>
      </c>
      <c r="Y16" s="147">
        <f t="shared" si="10"/>
        <v>11944841.429999998</v>
      </c>
      <c r="Z16" s="375">
        <f t="shared" si="11"/>
        <v>4</v>
      </c>
      <c r="AA16" s="285" t="str">
        <f>'[15]Lead E'!B16</f>
        <v>WESTCOAST PIPELINE CAPACITY - UE-100503 (BNP PARIBUS)</v>
      </c>
      <c r="AB16" s="285">
        <f>'[15]Lead E'!C16</f>
        <v>-902764.31833333336</v>
      </c>
      <c r="AC16" s="285">
        <f>'[15]Lead E'!D16</f>
        <v>-121339.24959547223</v>
      </c>
      <c r="AD16" s="221">
        <f>+AC16-AB16</f>
        <v>781425.06873786112</v>
      </c>
      <c r="AE16" s="198">
        <f t="shared" si="5"/>
        <v>4</v>
      </c>
      <c r="AF16" s="293" t="s">
        <v>942</v>
      </c>
      <c r="AG16" s="289">
        <f>'[40]Lead E'!$C$17</f>
        <v>1602.450349846451</v>
      </c>
      <c r="AH16" s="289">
        <f>'[40]Lead E'!$D$17</f>
        <v>0</v>
      </c>
      <c r="AI16" s="289">
        <f t="shared" ref="AI16:AI18" si="16">AH16-AG16</f>
        <v>-1602.450349846451</v>
      </c>
      <c r="AJ16" s="583">
        <f t="shared" si="12"/>
        <v>4</v>
      </c>
      <c r="AK16" s="587" t="s">
        <v>229</v>
      </c>
      <c r="AL16" s="289">
        <v>0</v>
      </c>
      <c r="AM16" s="289">
        <f>'[46]Lead E'!E15</f>
        <v>-9403468.5500000026</v>
      </c>
      <c r="AN16" s="289">
        <f>AM16-AL16</f>
        <v>-9403468.5500000026</v>
      </c>
      <c r="AO16" s="583">
        <f t="shared" si="13"/>
        <v>4</v>
      </c>
      <c r="AP16" s="325" t="s">
        <v>971</v>
      </c>
      <c r="AQ16" s="733">
        <f>+'[41]Lead E'!C15</f>
        <v>-770444.58162956533</v>
      </c>
      <c r="AR16" s="733">
        <f>+'[41]Lead E'!D15</f>
        <v>0</v>
      </c>
      <c r="AS16" s="733">
        <f t="shared" si="6"/>
        <v>770444.58162956533</v>
      </c>
      <c r="AT16" s="308">
        <f>AT15+1</f>
        <v>4</v>
      </c>
      <c r="AU16" s="587" t="s">
        <v>229</v>
      </c>
      <c r="AV16" s="590">
        <f>'[47]Lead E'!C15</f>
        <v>0</v>
      </c>
      <c r="AW16" s="590">
        <f>'[47]Lead E'!D15</f>
        <v>-1572187.2608600797</v>
      </c>
      <c r="AX16" s="591">
        <f>AW16-AV16</f>
        <v>-1572187.2608600797</v>
      </c>
      <c r="AY16" s="308">
        <f t="shared" ref="AY16:AY29" si="17">AY15+1</f>
        <v>4</v>
      </c>
      <c r="AZ16" s="713" t="s">
        <v>917</v>
      </c>
      <c r="BA16" s="929">
        <f>'[42]Lead E'!C13</f>
        <v>0</v>
      </c>
      <c r="BB16" s="929">
        <f>'[42]Lead E'!D13</f>
        <v>26606.68</v>
      </c>
      <c r="BC16" s="929">
        <f>BB16-BA16</f>
        <v>26606.68</v>
      </c>
      <c r="BD16" s="482">
        <f t="shared" si="7"/>
        <v>4</v>
      </c>
      <c r="BE16" s="696" t="s">
        <v>893</v>
      </c>
      <c r="BF16" s="320">
        <f>SUM(BF14:BF15)</f>
        <v>-101559498.97984974</v>
      </c>
      <c r="BG16" s="320">
        <f>SUM(BG14:BG15)</f>
        <v>-101559498.97984974</v>
      </c>
      <c r="BH16" s="320">
        <f>SUM(BH14:BH15)</f>
        <v>0</v>
      </c>
      <c r="BI16" s="482">
        <f t="shared" si="15"/>
        <v>4</v>
      </c>
      <c r="BJ16" s="483" t="s">
        <v>658</v>
      </c>
      <c r="BN16" s="375"/>
      <c r="BO16" s="484"/>
      <c r="BP16" s="285"/>
      <c r="BQ16" s="285"/>
      <c r="BR16" s="285"/>
      <c r="BS16" s="308"/>
      <c r="BT16" s="308"/>
      <c r="BU16" s="308"/>
      <c r="BV16" s="308"/>
      <c r="BW16" s="308"/>
      <c r="BX16" s="308"/>
      <c r="CD16" s="95"/>
      <c r="CE16" s="95"/>
      <c r="CF16" s="95"/>
      <c r="CG16" s="95"/>
    </row>
    <row r="17" spans="1:85" ht="15.75" thickTop="1">
      <c r="A17" s="375">
        <f t="shared" si="1"/>
        <v>5</v>
      </c>
      <c r="B17" s="484" t="s">
        <v>804</v>
      </c>
      <c r="C17" s="285">
        <f>SUM('Power Cost Bridge to A-1'!I18:I19)</f>
        <v>9308463.5600000005</v>
      </c>
      <c r="D17" s="285">
        <f>SUM('Power Cost Bridge to A-1'!N18:N19)</f>
        <v>9504882.1414623018</v>
      </c>
      <c r="E17" s="285">
        <f t="shared" si="9"/>
        <v>196418.58146230131</v>
      </c>
      <c r="F17" s="375">
        <f t="shared" si="0"/>
        <v>5</v>
      </c>
      <c r="G17" s="631"/>
      <c r="H17" s="486"/>
      <c r="I17" s="486"/>
      <c r="K17" s="375">
        <f t="shared" si="2"/>
        <v>5</v>
      </c>
      <c r="L17" s="290" t="s">
        <v>1131</v>
      </c>
      <c r="M17" s="38">
        <f>'[44]Lead E'!$D18</f>
        <v>-11978.689327298343</v>
      </c>
      <c r="N17" s="289"/>
      <c r="O17" s="289">
        <f>+N17-M17</f>
        <v>11978.689327298343</v>
      </c>
      <c r="P17" s="375">
        <f t="shared" si="3"/>
        <v>5</v>
      </c>
      <c r="Q17" s="377" t="s">
        <v>5</v>
      </c>
      <c r="R17" s="58"/>
      <c r="S17" s="58"/>
      <c r="T17" s="38">
        <f>-T15</f>
        <v>-64111667.629999898</v>
      </c>
      <c r="U17" s="375">
        <f t="shared" si="4"/>
        <v>5</v>
      </c>
      <c r="V17" s="16" t="s">
        <v>1134</v>
      </c>
      <c r="W17" s="147">
        <f>'[45]Lead E'!$C$19</f>
        <v>115489.18000000001</v>
      </c>
      <c r="X17" s="147">
        <f>'[45]Lead E'!$D$19</f>
        <v>5128914.879999999</v>
      </c>
      <c r="Y17" s="147">
        <f t="shared" si="10"/>
        <v>5244404.0599999987</v>
      </c>
      <c r="Z17" s="375">
        <f t="shared" si="11"/>
        <v>5</v>
      </c>
      <c r="AA17" s="285" t="str">
        <f>'[15]Lead E'!B17</f>
        <v>MINT FARM DEFFRED - UE-090704 (FERC 407.3)</v>
      </c>
      <c r="AB17" s="285">
        <f>'[15]Lead E'!C17</f>
        <v>16769498.08</v>
      </c>
      <c r="AC17" s="285">
        <f>'[15]Lead E'!D17</f>
        <v>12550110.290861849</v>
      </c>
      <c r="AD17" s="285">
        <f t="shared" ref="AD17:AD30" si="18">+AC17-AB17</f>
        <v>-4219387.7891381513</v>
      </c>
      <c r="AE17" s="198">
        <f t="shared" si="5"/>
        <v>5</v>
      </c>
      <c r="AF17" s="198" t="s">
        <v>945</v>
      </c>
      <c r="AG17" s="289">
        <f>'[40]Lead E'!$C$18</f>
        <v>-205321.18453019747</v>
      </c>
      <c r="AH17" s="289">
        <f>'[40]Lead E'!$D$18</f>
        <v>-1922512.3307887327</v>
      </c>
      <c r="AI17" s="289">
        <f t="shared" si="16"/>
        <v>-1717191.1462585353</v>
      </c>
      <c r="AJ17" s="583">
        <f t="shared" si="12"/>
        <v>5</v>
      </c>
      <c r="AK17" s="592" t="s">
        <v>795</v>
      </c>
      <c r="AL17" s="289">
        <v>0</v>
      </c>
      <c r="AM17" s="289">
        <f>'[46]Lead E'!E16</f>
        <v>-1584894.1527864772</v>
      </c>
      <c r="AN17" s="289">
        <f>AM17-AL17</f>
        <v>-1584894.1527864772</v>
      </c>
      <c r="AO17" s="583">
        <f t="shared" si="13"/>
        <v>5</v>
      </c>
      <c r="AP17" s="377" t="s">
        <v>950</v>
      </c>
      <c r="AQ17" s="733">
        <f>+'[41]Lead E'!C16</f>
        <v>-1771037.4357740821</v>
      </c>
      <c r="AR17" s="733">
        <f>+'[41]Lead E'!D16</f>
        <v>0</v>
      </c>
      <c r="AS17" s="733">
        <f t="shared" si="6"/>
        <v>1771037.4357740821</v>
      </c>
      <c r="AT17" s="308">
        <f>AT16+1</f>
        <v>5</v>
      </c>
      <c r="AU17" s="592" t="s">
        <v>795</v>
      </c>
      <c r="AV17" s="590">
        <f>'[47]Lead E'!C16</f>
        <v>0</v>
      </c>
      <c r="AW17" s="590">
        <f>'[47]Lead E'!D16</f>
        <v>-4188738.7602319769</v>
      </c>
      <c r="AX17" s="591">
        <f>AW17-AV17</f>
        <v>-4188738.7602319769</v>
      </c>
      <c r="AY17" s="308">
        <f t="shared" si="17"/>
        <v>5</v>
      </c>
      <c r="AZ17" s="713" t="s">
        <v>918</v>
      </c>
      <c r="BA17" s="928">
        <f>SUM(BA14:BA16)</f>
        <v>59841513.397916675</v>
      </c>
      <c r="BB17" s="928">
        <f t="shared" ref="BB17:BC17" si="19">SUM(BB14:BB16)</f>
        <v>59795091.730000004</v>
      </c>
      <c r="BC17" s="928">
        <f t="shared" si="19"/>
        <v>-46421.667916673723</v>
      </c>
      <c r="BD17" s="482">
        <f t="shared" si="7"/>
        <v>5</v>
      </c>
      <c r="BE17" s="325"/>
      <c r="BF17" s="288"/>
      <c r="BG17" s="288"/>
      <c r="BH17" s="288"/>
      <c r="BI17" s="482">
        <f t="shared" si="15"/>
        <v>5</v>
      </c>
      <c r="BJ17" s="377" t="s">
        <v>774</v>
      </c>
      <c r="BK17" s="287">
        <f>SUM('For Prod Adj Expense'!G13,'For Prod Adj Expense'!G15)</f>
        <v>140088.57636075636</v>
      </c>
      <c r="BL17" s="287">
        <f>-BK17*$BL$13</f>
        <v>-3550.8251450160915</v>
      </c>
      <c r="BM17" s="287">
        <f>ROUND(+BL17*-$BM$11,0)</f>
        <v>1243</v>
      </c>
      <c r="BN17" s="375"/>
      <c r="BO17" s="484"/>
      <c r="BP17" s="285"/>
      <c r="BQ17" s="285"/>
      <c r="BR17" s="285"/>
    </row>
    <row r="18" spans="1:85" ht="15.75" thickBot="1">
      <c r="A18" s="375">
        <f t="shared" si="1"/>
        <v>6</v>
      </c>
      <c r="B18" s="358" t="s">
        <v>806</v>
      </c>
      <c r="C18" s="285">
        <f>+'Power Cost Bridge to A-1'!I20</f>
        <v>113800193.22</v>
      </c>
      <c r="D18" s="285">
        <f>+'Power Cost Bridge to A-1'!N20</f>
        <v>108574737.55890049</v>
      </c>
      <c r="E18" s="285">
        <f t="shared" si="9"/>
        <v>-5225455.6610995084</v>
      </c>
      <c r="F18" s="375">
        <f t="shared" si="0"/>
        <v>6</v>
      </c>
      <c r="G18" s="631" t="s">
        <v>905</v>
      </c>
      <c r="H18" s="486"/>
      <c r="I18" s="486">
        <f>+'[38]Lead E'!$E$17</f>
        <v>2.0000000000000001E-4</v>
      </c>
      <c r="K18" s="375">
        <f t="shared" si="2"/>
        <v>6</v>
      </c>
      <c r="L18" s="179" t="s">
        <v>355</v>
      </c>
      <c r="M18" s="38">
        <f>'[44]Lead E'!$D19</f>
        <v>-984138.515625</v>
      </c>
      <c r="N18" s="289"/>
      <c r="O18" s="289">
        <f>+N18-M18</f>
        <v>984138.515625</v>
      </c>
      <c r="P18" s="375">
        <f t="shared" si="3"/>
        <v>6</v>
      </c>
      <c r="Q18" s="377"/>
      <c r="R18" s="58"/>
      <c r="S18" s="46"/>
      <c r="U18" s="375">
        <f t="shared" si="4"/>
        <v>6</v>
      </c>
      <c r="V18" s="16" t="s">
        <v>1135</v>
      </c>
      <c r="W18" s="147">
        <f>'[45]Lead E'!$C$20</f>
        <v>427808.19999999995</v>
      </c>
      <c r="X18" s="147">
        <f>'[45]Lead E'!$D$20</f>
        <v>12676575.679999998</v>
      </c>
      <c r="Y18" s="147">
        <f t="shared" si="10"/>
        <v>13104383.879999997</v>
      </c>
      <c r="Z18" s="375">
        <f t="shared" si="11"/>
        <v>6</v>
      </c>
      <c r="AA18" s="285" t="str">
        <f>'[15]Lead E'!B18</f>
        <v>CHELAN PUD</v>
      </c>
      <c r="AB18" s="285">
        <f>'[15]Lead E'!C18</f>
        <v>96067432.909166694</v>
      </c>
      <c r="AC18" s="285">
        <f>'[15]Lead E'!D18</f>
        <v>82196760.579333305</v>
      </c>
      <c r="AD18" s="285">
        <f t="shared" si="18"/>
        <v>-13870672.329833388</v>
      </c>
      <c r="AE18" s="198">
        <f t="shared" si="5"/>
        <v>6</v>
      </c>
      <c r="AF18" s="198" t="s">
        <v>946</v>
      </c>
      <c r="AG18" s="289">
        <f>'[40]Lead E'!$C$19</f>
        <v>-560.85762244625778</v>
      </c>
      <c r="AH18" s="289">
        <f>'[40]Lead E'!$D$19</f>
        <v>0</v>
      </c>
      <c r="AI18" s="289">
        <f t="shared" si="16"/>
        <v>560.85762244625778</v>
      </c>
      <c r="AJ18" s="583">
        <f t="shared" si="12"/>
        <v>6</v>
      </c>
      <c r="AK18" s="594" t="s">
        <v>796</v>
      </c>
      <c r="AL18" s="789">
        <f>SUM(AL15:AL17)</f>
        <v>0</v>
      </c>
      <c r="AM18" s="789">
        <f>SUM(AM15:AM17)</f>
        <v>5131869.0972135225</v>
      </c>
      <c r="AN18" s="789">
        <f>SUM(AN15:AN17)</f>
        <v>5131869.0972135225</v>
      </c>
      <c r="AO18" s="583">
        <f t="shared" si="13"/>
        <v>6</v>
      </c>
      <c r="AP18" s="325" t="s">
        <v>972</v>
      </c>
      <c r="AQ18" s="733">
        <f>+'[41]Lead E'!C17</f>
        <v>269655.60357034783</v>
      </c>
      <c r="AR18" s="733">
        <f>+'[41]Lead E'!D17</f>
        <v>0</v>
      </c>
      <c r="AS18" s="733">
        <f t="shared" si="6"/>
        <v>-269655.60357034783</v>
      </c>
      <c r="AT18" s="308">
        <f>AT17+1</f>
        <v>6</v>
      </c>
      <c r="AU18" s="594" t="s">
        <v>796</v>
      </c>
      <c r="AV18" s="595">
        <f>SUM(AV15:AV17)</f>
        <v>0</v>
      </c>
      <c r="AW18" s="595">
        <f>SUM(AW15:AW17)</f>
        <v>19004590.008907948</v>
      </c>
      <c r="AX18" s="595">
        <f>SUM(AX15:AX17)</f>
        <v>19004590.008907948</v>
      </c>
      <c r="AY18" s="308">
        <f t="shared" si="17"/>
        <v>6</v>
      </c>
      <c r="AZ18" s="713" t="s">
        <v>919</v>
      </c>
      <c r="BA18" s="928">
        <f>'[42]Lead E'!C15</f>
        <v>-37066402.04703182</v>
      </c>
      <c r="BB18" s="928">
        <f>'[42]Lead E'!D15</f>
        <v>-43026718.335546739</v>
      </c>
      <c r="BC18" s="928">
        <f>BB18-BA18</f>
        <v>-5960316.2885149196</v>
      </c>
      <c r="BD18" s="482">
        <f t="shared" si="7"/>
        <v>6</v>
      </c>
      <c r="BE18" s="325"/>
      <c r="BF18" s="288"/>
      <c r="BG18" s="288"/>
      <c r="BH18" s="288"/>
      <c r="BI18" s="482">
        <f t="shared" si="15"/>
        <v>6</v>
      </c>
      <c r="BJ18" s="377" t="s">
        <v>768</v>
      </c>
      <c r="BK18" s="285">
        <f>SUM('For Prod Adj Expense'!G14,'For Prod Adj Expense'!G16)</f>
        <v>283735.61315888772</v>
      </c>
      <c r="BL18" s="285">
        <f>-BK18*$BL$13</f>
        <v>-7191.8465867383275</v>
      </c>
      <c r="BM18" s="285">
        <f>ROUND(+BL18*-$BM$11,0)</f>
        <v>2517</v>
      </c>
      <c r="BN18" s="375"/>
      <c r="BO18" s="358"/>
      <c r="BP18" s="285"/>
      <c r="BQ18" s="285"/>
      <c r="BR18" s="285"/>
    </row>
    <row r="19" spans="1:85" ht="16.5" thickTop="1" thickBot="1">
      <c r="A19" s="375">
        <f t="shared" si="1"/>
        <v>7</v>
      </c>
      <c r="B19" s="360" t="s">
        <v>807</v>
      </c>
      <c r="C19" s="285">
        <f>+'Power Cost Bridge to A-1'!I21</f>
        <v>-201125741.74000001</v>
      </c>
      <c r="D19" s="285">
        <f>+'Power Cost Bridge to A-1'!N21</f>
        <v>-28431646.31934049</v>
      </c>
      <c r="E19" s="285">
        <f t="shared" si="9"/>
        <v>172694095.42065951</v>
      </c>
      <c r="F19" s="375">
        <f t="shared" si="0"/>
        <v>7</v>
      </c>
      <c r="G19" s="507" t="s">
        <v>906</v>
      </c>
      <c r="H19" s="486"/>
      <c r="I19" s="919">
        <f>+I18*I13</f>
        <v>859020.7182557499</v>
      </c>
      <c r="K19" s="375">
        <f t="shared" si="2"/>
        <v>7</v>
      </c>
      <c r="L19" s="179" t="s">
        <v>941</v>
      </c>
      <c r="M19" s="38">
        <f>'[44]Lead E'!$D20</f>
        <v>4192.5412645544202</v>
      </c>
      <c r="N19" s="764"/>
      <c r="O19" s="289">
        <f>+N19-M19</f>
        <v>-4192.5412645544202</v>
      </c>
      <c r="P19" s="375">
        <f t="shared" si="3"/>
        <v>7</v>
      </c>
      <c r="Q19" s="377" t="s">
        <v>163</v>
      </c>
      <c r="R19" s="223">
        <v>0.35</v>
      </c>
      <c r="T19" s="307">
        <f>T17*R19</f>
        <v>-22439083.670499962</v>
      </c>
      <c r="U19" s="375">
        <f t="shared" si="4"/>
        <v>7</v>
      </c>
      <c r="V19" s="16" t="s">
        <v>1136</v>
      </c>
      <c r="W19" s="147">
        <f>'[45]Lead E'!$C$21</f>
        <v>718705.77</v>
      </c>
      <c r="X19" s="147">
        <f>'[45]Lead E'!$D$21</f>
        <v>12394591.869999999</v>
      </c>
      <c r="Y19" s="147">
        <f t="shared" si="10"/>
        <v>13113297.639999999</v>
      </c>
      <c r="Z19" s="375">
        <f t="shared" si="11"/>
        <v>7</v>
      </c>
      <c r="AA19" s="285" t="str">
        <f>'[15]Lead E'!B19</f>
        <v xml:space="preserve">CHELAN - ROCK ISLAND SECURITY DEPOSIT </v>
      </c>
      <c r="AB19" s="285">
        <f>'[15]Lead E'!C19</f>
        <v>18500000</v>
      </c>
      <c r="AC19" s="285">
        <f>'[15]Lead E'!D19</f>
        <v>18500000</v>
      </c>
      <c r="AD19" s="285">
        <f t="shared" si="18"/>
        <v>0</v>
      </c>
      <c r="AE19" s="198">
        <f t="shared" si="5"/>
        <v>7</v>
      </c>
      <c r="AF19" s="198" t="s">
        <v>843</v>
      </c>
      <c r="AG19" s="789">
        <f>SUM(AG14:AG18)</f>
        <v>2304280.3662686003</v>
      </c>
      <c r="AH19" s="789">
        <f>SUM(AH14:AH18)</f>
        <v>5147067.4275894566</v>
      </c>
      <c r="AI19" s="789">
        <f>SUM(AI14:AI18)</f>
        <v>2842787.0613208562</v>
      </c>
      <c r="AJ19" s="583">
        <f t="shared" si="12"/>
        <v>7</v>
      </c>
      <c r="AK19" s="593"/>
      <c r="AL19" s="596"/>
      <c r="AM19" s="596"/>
      <c r="AN19" s="596"/>
      <c r="AO19" s="583">
        <f t="shared" si="13"/>
        <v>7</v>
      </c>
      <c r="AP19" s="325" t="s">
        <v>796</v>
      </c>
      <c r="AQ19" s="789">
        <f>SUM(AQ14:AQ18)</f>
        <v>14931152.840834877</v>
      </c>
      <c r="AR19" s="789">
        <f t="shared" ref="AR19:AS19" si="20">SUM(AR14:AR18)</f>
        <v>17053554.294432983</v>
      </c>
      <c r="AS19" s="789">
        <f t="shared" si="20"/>
        <v>2122401.45359811</v>
      </c>
      <c r="AT19" s="313"/>
      <c r="AU19" s="313"/>
      <c r="AV19" s="313"/>
      <c r="AW19" s="313"/>
      <c r="AX19" s="313"/>
      <c r="AY19" s="308">
        <f t="shared" si="17"/>
        <v>7</v>
      </c>
      <c r="AZ19" s="713" t="s">
        <v>355</v>
      </c>
      <c r="BA19" s="929">
        <f>'[42]Lead E'!C16</f>
        <v>-7971288.6979166651</v>
      </c>
      <c r="BB19" s="929">
        <f>'[42]Lead E'!D16</f>
        <v>-5853029.717275939</v>
      </c>
      <c r="BC19" s="929">
        <f>BB19-BA19</f>
        <v>2118258.9806407262</v>
      </c>
      <c r="BD19" s="482">
        <f t="shared" si="7"/>
        <v>7</v>
      </c>
      <c r="BE19" s="706" t="s">
        <v>899</v>
      </c>
      <c r="BF19" s="697"/>
      <c r="BG19" s="698"/>
      <c r="BH19" s="207"/>
      <c r="BI19" s="482">
        <f t="shared" si="15"/>
        <v>7</v>
      </c>
      <c r="BJ19" s="377" t="s">
        <v>776</v>
      </c>
      <c r="BK19" s="285">
        <f>+'For Prod Adj Expense'!H21</f>
        <v>7400696.49367911</v>
      </c>
      <c r="BL19" s="285">
        <f>-BK19*$BL$13</f>
        <v>-187585.45402528442</v>
      </c>
      <c r="BM19" s="285">
        <f>ROUND(+BL19*-$BM$11,0)</f>
        <v>65655</v>
      </c>
      <c r="BN19" s="375"/>
      <c r="BO19" s="360"/>
      <c r="BP19" s="285"/>
      <c r="BQ19" s="285"/>
      <c r="BR19" s="285"/>
    </row>
    <row r="20" spans="1:85" ht="16.5" thickTop="1" thickBot="1">
      <c r="A20" s="375">
        <f t="shared" si="1"/>
        <v>8</v>
      </c>
      <c r="B20" s="360" t="s">
        <v>808</v>
      </c>
      <c r="C20" s="285">
        <f>+'Power Cost Bridge to A-1'!I22</f>
        <v>18023677.969999999</v>
      </c>
      <c r="D20" s="285">
        <f>+'Power Cost Bridge to A-1'!N22</f>
        <v>-15588634.390200933</v>
      </c>
      <c r="E20" s="285">
        <f t="shared" si="9"/>
        <v>-33612312.360200934</v>
      </c>
      <c r="F20" s="375">
        <f t="shared" si="0"/>
        <v>8</v>
      </c>
      <c r="G20" s="631"/>
      <c r="H20" s="486"/>
      <c r="I20" s="486"/>
      <c r="J20" s="486"/>
      <c r="K20" s="375">
        <f t="shared" si="2"/>
        <v>8</v>
      </c>
      <c r="L20" s="158" t="s">
        <v>309</v>
      </c>
      <c r="M20" s="323">
        <f>SUM(M15:M19)</f>
        <v>1969341.3363122563</v>
      </c>
      <c r="N20" s="323">
        <f t="shared" ref="N20:O20" si="21">SUM(N15:N19)</f>
        <v>0</v>
      </c>
      <c r="O20" s="323">
        <f t="shared" si="21"/>
        <v>-1969341.3363122563</v>
      </c>
      <c r="P20" s="375">
        <f t="shared" si="3"/>
        <v>8</v>
      </c>
      <c r="U20" s="375">
        <f t="shared" si="4"/>
        <v>8</v>
      </c>
      <c r="V20" s="16" t="s">
        <v>1137</v>
      </c>
      <c r="W20" s="147">
        <f>'[45]Lead E'!$C$22</f>
        <v>506068.88000000006</v>
      </c>
      <c r="X20" s="147">
        <f>'[45]Lead E'!$D$22</f>
        <v>10553488.410000002</v>
      </c>
      <c r="Y20" s="147">
        <f t="shared" si="10"/>
        <v>11059557.290000003</v>
      </c>
      <c r="Z20" s="375">
        <f t="shared" si="11"/>
        <v>8</v>
      </c>
      <c r="AA20" s="285" t="str">
        <f>'[15]Lead E'!B20</f>
        <v>COLSTRIP 1&amp;2 (WECo) PREPAYMENT</v>
      </c>
      <c r="AB20" s="285">
        <f>'[15]Lead E'!C20</f>
        <v>1874999.78</v>
      </c>
      <c r="AC20" s="285">
        <f>'[15]Lead E'!D20</f>
        <v>750000.00000000524</v>
      </c>
      <c r="AD20" s="285">
        <f t="shared" si="18"/>
        <v>-1124999.7799999947</v>
      </c>
      <c r="AE20" s="198">
        <f t="shared" si="5"/>
        <v>8</v>
      </c>
      <c r="AF20" s="198"/>
      <c r="AG20" s="198"/>
      <c r="AH20" s="198"/>
      <c r="AI20" s="198"/>
      <c r="AJ20" s="583">
        <f t="shared" si="12"/>
        <v>8</v>
      </c>
      <c r="AK20" s="597" t="s">
        <v>797</v>
      </c>
      <c r="AL20" s="586"/>
      <c r="AM20" s="586"/>
      <c r="AN20" s="586"/>
      <c r="AO20" s="583">
        <f t="shared" si="13"/>
        <v>8</v>
      </c>
      <c r="AP20" s="734"/>
      <c r="AQ20" s="288"/>
      <c r="AR20" s="208"/>
      <c r="AS20" s="288"/>
      <c r="AT20" s="313"/>
      <c r="AU20" s="313"/>
      <c r="AV20" s="313"/>
      <c r="AW20" s="313"/>
      <c r="AX20" s="313"/>
      <c r="AY20" s="308">
        <f t="shared" si="17"/>
        <v>8</v>
      </c>
      <c r="AZ20" s="714" t="s">
        <v>920</v>
      </c>
      <c r="BA20" s="789">
        <f>SUM(BA17:BA19)</f>
        <v>14803822.652968191</v>
      </c>
      <c r="BB20" s="789">
        <f t="shared" ref="BB20:BC20" si="22">SUM(BB17:BB19)</f>
        <v>10915343.677177325</v>
      </c>
      <c r="BC20" s="789">
        <f t="shared" si="22"/>
        <v>-3888478.9757908676</v>
      </c>
      <c r="BD20" s="482">
        <f t="shared" si="7"/>
        <v>8</v>
      </c>
      <c r="BE20" s="933" t="s">
        <v>475</v>
      </c>
      <c r="BF20" s="904">
        <f>+'[43]Lead E'!C20</f>
        <v>-3279780</v>
      </c>
      <c r="BG20" s="904">
        <f>+BF20</f>
        <v>-3279780</v>
      </c>
      <c r="BH20" s="780">
        <f>BG20-BF20</f>
        <v>0</v>
      </c>
      <c r="BI20" s="482">
        <f t="shared" si="15"/>
        <v>8</v>
      </c>
      <c r="BJ20" s="377" t="s">
        <v>777</v>
      </c>
      <c r="BK20" s="285">
        <f>+'For Prod Adj Expense'!H26</f>
        <v>214071.82388560369</v>
      </c>
      <c r="BL20" s="285">
        <f>-BK20*$BL$13</f>
        <v>-5426.0785200283972</v>
      </c>
      <c r="BM20" s="285">
        <f>ROUND(+BL20*-$BM$11,0)</f>
        <v>1899</v>
      </c>
      <c r="BN20" s="375"/>
      <c r="BO20" s="360"/>
      <c r="BP20" s="285"/>
      <c r="BQ20" s="285"/>
      <c r="BR20" s="285"/>
    </row>
    <row r="21" spans="1:85" ht="16.5" thickTop="1" thickBot="1">
      <c r="A21" s="375">
        <f t="shared" si="1"/>
        <v>9</v>
      </c>
      <c r="E21" s="285">
        <f t="shared" si="9"/>
        <v>0</v>
      </c>
      <c r="F21" s="375">
        <f t="shared" si="0"/>
        <v>9</v>
      </c>
      <c r="G21" s="357" t="s">
        <v>907</v>
      </c>
      <c r="H21" s="546"/>
      <c r="I21" s="547"/>
      <c r="J21" s="920">
        <f>+I19+I16</f>
        <v>1471072.9800129717</v>
      </c>
      <c r="K21" s="375">
        <f t="shared" si="2"/>
        <v>9</v>
      </c>
      <c r="L21" s="224"/>
      <c r="M21" s="288"/>
      <c r="N21" s="288"/>
      <c r="O21" s="288"/>
      <c r="P21" s="375">
        <f t="shared" si="3"/>
        <v>9</v>
      </c>
      <c r="Q21" s="377" t="s">
        <v>120</v>
      </c>
      <c r="R21" s="223"/>
      <c r="S21" s="234"/>
      <c r="T21" s="320">
        <f>+T17-T19</f>
        <v>-41672583.95949994</v>
      </c>
      <c r="U21" s="375">
        <f t="shared" si="4"/>
        <v>9</v>
      </c>
      <c r="V21" s="59" t="s">
        <v>4</v>
      </c>
      <c r="W21" s="479">
        <f>SUM(W15:W20)</f>
        <v>2245203.77</v>
      </c>
      <c r="X21" s="479">
        <f>SUM(X15:X20)</f>
        <v>61692271.079999998</v>
      </c>
      <c r="Y21" s="321">
        <f>SUM(Y15:Y20)</f>
        <v>63937474.849999994</v>
      </c>
      <c r="Z21" s="375">
        <f t="shared" si="11"/>
        <v>9</v>
      </c>
      <c r="AA21" s="285" t="str">
        <f>'[15]Lead E'!B21</f>
        <v>FERC PART 12 STUDY NON-CONSTRUCTION COSTS UE-070074 (FERC 407)</v>
      </c>
      <c r="AB21" s="285">
        <f>'[15]Lead E'!C21</f>
        <v>180950.83</v>
      </c>
      <c r="AC21" s="285">
        <f>'[15]Lead E'!D21</f>
        <v>0</v>
      </c>
      <c r="AD21" s="285">
        <f t="shared" si="18"/>
        <v>-180950.83</v>
      </c>
      <c r="AE21" s="198">
        <f t="shared" si="5"/>
        <v>9</v>
      </c>
      <c r="AF21" s="299" t="s">
        <v>0</v>
      </c>
      <c r="AG21" s="305"/>
      <c r="AH21" s="305"/>
      <c r="AI21" s="305"/>
      <c r="AJ21" s="583">
        <f t="shared" si="12"/>
        <v>9</v>
      </c>
      <c r="AK21" s="598" t="s">
        <v>153</v>
      </c>
      <c r="AL21" s="780">
        <v>0</v>
      </c>
      <c r="AM21" s="780">
        <f>'[46]Lead E'!$E$22</f>
        <v>5373410.6000000006</v>
      </c>
      <c r="AN21" s="780">
        <f>AM21-AL21</f>
        <v>5373410.6000000006</v>
      </c>
      <c r="AO21" s="583">
        <f t="shared" si="13"/>
        <v>9</v>
      </c>
      <c r="AP21" s="734" t="s">
        <v>951</v>
      </c>
      <c r="AQ21" s="732"/>
      <c r="AR21" s="732"/>
      <c r="AS21" s="732"/>
      <c r="AT21" s="313"/>
      <c r="AU21" s="313"/>
      <c r="AV21" s="313"/>
      <c r="AW21" s="313"/>
      <c r="AX21" s="313"/>
      <c r="AY21" s="308">
        <f t="shared" si="17"/>
        <v>9</v>
      </c>
      <c r="AZ21" s="714"/>
      <c r="BA21" s="928"/>
      <c r="BB21" s="928"/>
      <c r="BC21" s="928"/>
      <c r="BD21" s="482">
        <f t="shared" si="7"/>
        <v>9</v>
      </c>
      <c r="BE21" s="696" t="s">
        <v>894</v>
      </c>
      <c r="BF21" s="934">
        <f>SUM(BF20:BF20)</f>
        <v>-3279780</v>
      </c>
      <c r="BG21" s="934">
        <f>SUM(BG20:BG20)</f>
        <v>-3279780</v>
      </c>
      <c r="BH21" s="934">
        <f>SUM(BH20:BH20)</f>
        <v>0</v>
      </c>
      <c r="BI21" s="482">
        <f t="shared" si="15"/>
        <v>9</v>
      </c>
      <c r="BJ21" s="377" t="s">
        <v>778</v>
      </c>
      <c r="BK21" s="285">
        <f>+'For Prod Adj Expense'!H27</f>
        <v>2763777.09</v>
      </c>
      <c r="BL21" s="285">
        <f>-BK21*$BL$13</f>
        <v>-70053.457900230002</v>
      </c>
      <c r="BM21" s="285">
        <f>ROUND(+BL21*-$BM$11,0)</f>
        <v>24519</v>
      </c>
      <c r="BN21" s="375"/>
      <c r="BO21" s="360"/>
      <c r="BP21" s="285"/>
      <c r="BQ21" s="285"/>
      <c r="BR21" s="285"/>
    </row>
    <row r="22" spans="1:85" ht="15" thickTop="1">
      <c r="A22" s="375">
        <f t="shared" si="1"/>
        <v>10</v>
      </c>
      <c r="B22" s="358" t="s">
        <v>341</v>
      </c>
      <c r="C22" s="285">
        <f>+'Power Cost Bridge to A-1'!I25</f>
        <v>125897437.02000001</v>
      </c>
      <c r="D22" s="285">
        <f>+'Power Cost Bridge to A-1'!N25</f>
        <v>135482345.97367546</v>
      </c>
      <c r="E22" s="285">
        <f t="shared" si="9"/>
        <v>9584908.9536754489</v>
      </c>
      <c r="F22" s="375">
        <f t="shared" si="0"/>
        <v>10</v>
      </c>
      <c r="G22" s="357" t="s">
        <v>7</v>
      </c>
      <c r="H22" s="546"/>
      <c r="I22" s="548"/>
      <c r="J22" s="554">
        <f>+'[38]Lead E'!$E$21</f>
        <v>1540793.07</v>
      </c>
      <c r="K22" s="375">
        <f t="shared" si="2"/>
        <v>10</v>
      </c>
      <c r="L22" s="178" t="s">
        <v>0</v>
      </c>
      <c r="P22" s="375"/>
      <c r="Q22" s="18"/>
      <c r="R22" s="313"/>
      <c r="S22" s="328"/>
      <c r="U22" s="375">
        <f t="shared" si="4"/>
        <v>10</v>
      </c>
      <c r="W22" s="307"/>
      <c r="X22" s="307"/>
      <c r="Y22" s="307"/>
      <c r="Z22" s="375">
        <f t="shared" si="11"/>
        <v>10</v>
      </c>
      <c r="AA22" s="285" t="str">
        <f>'[15]Lead E'!B22</f>
        <v>LOWER SNAKE RIVER PP TRANSM PRINCIPAL $99.8M</v>
      </c>
      <c r="AB22" s="285">
        <f>'[15]Lead E'!C22</f>
        <v>68955037.953333333</v>
      </c>
      <c r="AC22" s="285">
        <f>'[15]Lead E'!D22</f>
        <v>60863794.047865629</v>
      </c>
      <c r="AD22" s="285">
        <f t="shared" si="18"/>
        <v>-8091243.9054677039</v>
      </c>
      <c r="AE22" s="198">
        <f t="shared" si="5"/>
        <v>10</v>
      </c>
      <c r="AF22" s="295" t="s">
        <v>944</v>
      </c>
      <c r="AG22" s="531">
        <f>'[40]Lead E'!$C$23</f>
        <v>123836.50843962499</v>
      </c>
      <c r="AH22" s="531">
        <f>'[40]Lead E'!$D$23</f>
        <v>340033.97615332442</v>
      </c>
      <c r="AI22" s="531">
        <f>+AH22-AG22</f>
        <v>216197.46771369944</v>
      </c>
      <c r="AJ22" s="583">
        <f t="shared" si="12"/>
        <v>10</v>
      </c>
      <c r="AK22" s="599" t="s">
        <v>22</v>
      </c>
      <c r="AL22" s="600">
        <f>SUM(AL21:AL21)</f>
        <v>0</v>
      </c>
      <c r="AM22" s="600">
        <f>SUM(AM21:AM21)</f>
        <v>5373410.6000000006</v>
      </c>
      <c r="AN22" s="600">
        <f>SUM(AN21:AN21)</f>
        <v>5373410.6000000006</v>
      </c>
      <c r="AO22" s="583">
        <f t="shared" si="13"/>
        <v>10</v>
      </c>
      <c r="AP22" s="325" t="s">
        <v>152</v>
      </c>
      <c r="AQ22" s="926">
        <f>+'[41]Lead E'!C21</f>
        <v>3134072.5099999993</v>
      </c>
      <c r="AR22" s="926">
        <f>+'[41]Lead E'!D21</f>
        <v>25072580.079999987</v>
      </c>
      <c r="AS22" s="926">
        <f t="shared" ref="AS22:AS26" si="23">AR22-AQ22</f>
        <v>21938507.569999989</v>
      </c>
      <c r="AT22" s="313"/>
      <c r="AU22" s="313"/>
      <c r="AV22" s="313"/>
      <c r="AW22" s="313"/>
      <c r="AX22" s="313"/>
      <c r="AY22" s="308">
        <f t="shared" si="17"/>
        <v>10</v>
      </c>
      <c r="AZ22" s="712" t="s">
        <v>921</v>
      </c>
      <c r="BA22" s="928"/>
      <c r="BB22" s="928"/>
      <c r="BC22" s="928"/>
      <c r="BD22" s="482">
        <f t="shared" si="7"/>
        <v>10</v>
      </c>
      <c r="BE22" s="699"/>
      <c r="BF22" s="700"/>
      <c r="BG22" s="700"/>
      <c r="BH22" s="700"/>
      <c r="BI22" s="482">
        <f t="shared" si="15"/>
        <v>10</v>
      </c>
      <c r="BJ22" s="357" t="s">
        <v>674</v>
      </c>
      <c r="BK22" s="322">
        <f>SUM(BK17:BK21)</f>
        <v>10802369.597084358</v>
      </c>
      <c r="BL22" s="322">
        <f>SUM(BL17:BL21)</f>
        <v>-273807.66217729723</v>
      </c>
      <c r="BM22" s="322">
        <f>SUM(BM17:BM21)</f>
        <v>95833</v>
      </c>
      <c r="BN22" s="375"/>
      <c r="BO22" s="360"/>
      <c r="BP22" s="285"/>
      <c r="BQ22" s="285"/>
      <c r="BR22" s="285"/>
      <c r="CD22" s="377"/>
      <c r="CE22" s="58"/>
      <c r="CF22" s="58"/>
      <c r="CG22" s="58"/>
    </row>
    <row r="23" spans="1:85" ht="15">
      <c r="A23" s="375">
        <f t="shared" si="1"/>
        <v>11</v>
      </c>
      <c r="B23" s="360" t="s">
        <v>12</v>
      </c>
      <c r="C23" s="285">
        <f>+'Power Cost Bridge to A-1'!I26</f>
        <v>662134.87</v>
      </c>
      <c r="D23" s="285">
        <f>+'Power Cost Bridge to A-1'!N26</f>
        <v>645351.73745011003</v>
      </c>
      <c r="E23" s="285">
        <f t="shared" si="9"/>
        <v>-16783.132549889968</v>
      </c>
      <c r="F23" s="375">
        <f t="shared" si="0"/>
        <v>11</v>
      </c>
      <c r="G23" s="357" t="s">
        <v>16</v>
      </c>
      <c r="H23" s="549"/>
      <c r="I23" s="547"/>
      <c r="J23" s="790">
        <f>J22-J21</f>
        <v>69720.08998702839</v>
      </c>
      <c r="K23" s="375">
        <f t="shared" si="2"/>
        <v>11</v>
      </c>
      <c r="L23" s="187" t="s">
        <v>153</v>
      </c>
      <c r="M23" s="287">
        <f>'[44]Lead E'!$D$26</f>
        <v>188181.00000000003</v>
      </c>
      <c r="N23" s="288">
        <v>0</v>
      </c>
      <c r="O23" s="288">
        <f>N23-M23</f>
        <v>-188181.00000000003</v>
      </c>
      <c r="P23" s="357"/>
      <c r="Q23" s="18"/>
      <c r="R23" s="308"/>
      <c r="S23" s="328"/>
      <c r="T23" s="328"/>
      <c r="U23" s="375">
        <f t="shared" si="4"/>
        <v>11</v>
      </c>
      <c r="V23" s="374" t="s">
        <v>10</v>
      </c>
      <c r="W23" s="307">
        <f>W21/6</f>
        <v>374200.62833333336</v>
      </c>
      <c r="X23" s="307">
        <f>X21/6</f>
        <v>10282045.18</v>
      </c>
      <c r="Y23" s="289">
        <f>+Y21/6</f>
        <v>10656245.808333332</v>
      </c>
      <c r="Z23" s="375">
        <f t="shared" si="11"/>
        <v>11</v>
      </c>
      <c r="AA23" s="285" t="str">
        <f>'[15]Lead E'!B23</f>
        <v>CARRYING CHARGES ON LSR PP TRANSM $99.8M (FERC 407.3)</v>
      </c>
      <c r="AB23" s="285">
        <f>'[15]Lead E'!C23</f>
        <v>9472052.8500000015</v>
      </c>
      <c r="AC23" s="285">
        <f>'[15]Lead E'!D23</f>
        <v>8466701.2744743638</v>
      </c>
      <c r="AD23" s="285">
        <f t="shared" si="18"/>
        <v>-1005351.5755256377</v>
      </c>
      <c r="AE23" s="198">
        <f t="shared" si="5"/>
        <v>11</v>
      </c>
      <c r="AF23" s="296" t="s">
        <v>943</v>
      </c>
      <c r="AG23" s="285">
        <f>'[40]Lead E'!$C$24</f>
        <v>-7633.7978685983253</v>
      </c>
      <c r="AH23" s="285">
        <f>'[40]Lead E'!$D$24</f>
        <v>0</v>
      </c>
      <c r="AI23" s="285">
        <f>AH23-AG23</f>
        <v>7633.7978685983253</v>
      </c>
      <c r="AJ23" s="583">
        <f t="shared" si="12"/>
        <v>11</v>
      </c>
      <c r="AK23" s="599"/>
      <c r="AL23" s="601"/>
      <c r="AM23" s="601"/>
      <c r="AN23" s="601"/>
      <c r="AO23" s="583">
        <f t="shared" si="13"/>
        <v>11</v>
      </c>
      <c r="AP23" s="325" t="s">
        <v>229</v>
      </c>
      <c r="AQ23" s="733">
        <f>+'[41]Lead E'!C22</f>
        <v>-3364.9770921440963</v>
      </c>
      <c r="AR23" s="733">
        <f>+'[41]Lead E'!D22</f>
        <v>-1607188.8953450497</v>
      </c>
      <c r="AS23" s="733">
        <f t="shared" si="23"/>
        <v>-1603823.9182529056</v>
      </c>
      <c r="AT23" s="313"/>
      <c r="AU23" s="313"/>
      <c r="AV23" s="313"/>
      <c r="AW23" s="313"/>
      <c r="AX23" s="313"/>
      <c r="AY23" s="308">
        <f t="shared" si="17"/>
        <v>11</v>
      </c>
      <c r="AZ23" s="713" t="s">
        <v>922</v>
      </c>
      <c r="BA23" s="932">
        <f>'[42]Lead E'!C20</f>
        <v>1494701.7220710218</v>
      </c>
      <c r="BB23" s="932">
        <f>'[42]Lead E'!D20</f>
        <v>6689176.5497812955</v>
      </c>
      <c r="BC23" s="932">
        <f>BB23-BA23</f>
        <v>5194474.8277102737</v>
      </c>
      <c r="BD23" s="482">
        <f t="shared" si="7"/>
        <v>11</v>
      </c>
      <c r="BE23" s="602" t="s">
        <v>13</v>
      </c>
      <c r="BF23" s="603">
        <v>0.35</v>
      </c>
      <c r="BG23" s="604"/>
      <c r="BH23" s="683">
        <f>-BH21*BF23</f>
        <v>0</v>
      </c>
      <c r="BI23" s="482">
        <f t="shared" si="15"/>
        <v>11</v>
      </c>
      <c r="BJ23" s="357"/>
      <c r="BK23" s="322"/>
      <c r="BL23" s="322"/>
      <c r="BM23" s="322"/>
      <c r="BN23" s="375"/>
      <c r="BO23" s="360"/>
      <c r="BP23" s="285"/>
      <c r="BQ23" s="285"/>
      <c r="BR23" s="285"/>
      <c r="CD23" s="377"/>
      <c r="CE23" s="58"/>
      <c r="CF23" s="58"/>
      <c r="CG23" s="58"/>
    </row>
    <row r="24" spans="1:85" ht="15.75" thickBot="1">
      <c r="A24" s="375">
        <f t="shared" si="1"/>
        <v>12</v>
      </c>
      <c r="B24" s="360" t="s">
        <v>1129</v>
      </c>
      <c r="C24" s="285">
        <f>+'Power Cost Bridge to A-1'!I27</f>
        <v>-8228548.5899999999</v>
      </c>
      <c r="D24" s="285">
        <f>+'Power Cost Bridge to A-1'!N27</f>
        <v>-9692025.729682086</v>
      </c>
      <c r="E24" s="285">
        <f t="shared" si="9"/>
        <v>-1463477.1396820862</v>
      </c>
      <c r="F24" s="375">
        <f t="shared" si="0"/>
        <v>12</v>
      </c>
      <c r="G24" s="631"/>
      <c r="H24" s="544"/>
      <c r="I24" s="544" t="s">
        <v>282</v>
      </c>
      <c r="J24" s="544" t="s">
        <v>282</v>
      </c>
      <c r="K24" s="375">
        <f t="shared" si="2"/>
        <v>12</v>
      </c>
      <c r="L24" s="290" t="s">
        <v>913</v>
      </c>
      <c r="M24" s="38">
        <f>'[44]Lead E'!$D$27</f>
        <v>23957.378654596687</v>
      </c>
      <c r="N24" s="38"/>
      <c r="O24" s="38">
        <f>N24-M24</f>
        <v>-23957.378654596687</v>
      </c>
      <c r="P24" s="375"/>
      <c r="Q24" s="18"/>
      <c r="R24" s="328"/>
      <c r="S24" s="328"/>
      <c r="T24" s="328"/>
      <c r="U24" s="375">
        <f t="shared" si="4"/>
        <v>12</v>
      </c>
      <c r="W24" s="307"/>
      <c r="X24" s="307"/>
      <c r="Y24" s="307"/>
      <c r="Z24" s="375">
        <f t="shared" si="11"/>
        <v>12</v>
      </c>
      <c r="AA24" s="285" t="str">
        <f>'[15]Lead E'!B24</f>
        <v>LOWER SNAKE RIVER PLANT DEFERRAL $18.3M  (FERC 407.3)</v>
      </c>
      <c r="AB24" s="285">
        <f>'[15]Lead E'!C24</f>
        <v>497611.72500000009</v>
      </c>
      <c r="AC24" s="285">
        <f>'[15]Lead E'!D24</f>
        <v>0.16838636322063394</v>
      </c>
      <c r="AD24" s="285">
        <f>+AC24-AB24</f>
        <v>-497611.5566136369</v>
      </c>
      <c r="AE24" s="198">
        <f t="shared" si="5"/>
        <v>12</v>
      </c>
      <c r="AF24" s="295" t="s">
        <v>673</v>
      </c>
      <c r="AG24" s="781">
        <f>SUM(AG22:AG23)</f>
        <v>116202.71057102666</v>
      </c>
      <c r="AH24" s="781">
        <f>SUM(AH22:AH23)</f>
        <v>340033.97615332442</v>
      </c>
      <c r="AI24" s="781">
        <f>SUM(AI22:AI23)</f>
        <v>223831.26558229775</v>
      </c>
      <c r="AJ24" s="583">
        <f t="shared" si="12"/>
        <v>12</v>
      </c>
      <c r="AK24" s="597"/>
      <c r="AL24" s="601"/>
      <c r="AM24" s="601"/>
      <c r="AN24" s="601"/>
      <c r="AO24" s="583">
        <f t="shared" si="13"/>
        <v>12</v>
      </c>
      <c r="AP24" s="325" t="s">
        <v>971</v>
      </c>
      <c r="AQ24" s="733">
        <f>+'[41]Lead E'!C23</f>
        <v>-109553.08143874648</v>
      </c>
      <c r="AR24" s="733">
        <f>+'[41]Lead E'!D23</f>
        <v>0</v>
      </c>
      <c r="AS24" s="733">
        <f t="shared" si="23"/>
        <v>109553.08143874648</v>
      </c>
      <c r="AT24" s="313"/>
      <c r="AU24" s="313"/>
      <c r="AV24" s="313"/>
      <c r="AW24" s="313"/>
      <c r="AX24" s="313"/>
      <c r="AY24" s="308">
        <f t="shared" si="17"/>
        <v>12</v>
      </c>
      <c r="AZ24" s="714" t="s">
        <v>923</v>
      </c>
      <c r="BA24" s="781">
        <f>SUM(BA23)</f>
        <v>1494701.7220710218</v>
      </c>
      <c r="BB24" s="781">
        <f t="shared" ref="BB24:BC24" si="24">SUM(BB23)</f>
        <v>6689176.5497812955</v>
      </c>
      <c r="BC24" s="781">
        <f t="shared" si="24"/>
        <v>5194474.8277102737</v>
      </c>
      <c r="BD24" s="482">
        <f t="shared" si="7"/>
        <v>12</v>
      </c>
      <c r="BE24" s="602" t="s">
        <v>120</v>
      </c>
      <c r="BF24" s="604"/>
      <c r="BG24" s="604"/>
      <c r="BH24" s="684">
        <f>-BH21-BH23</f>
        <v>0</v>
      </c>
      <c r="BI24" s="482">
        <f t="shared" si="15"/>
        <v>12</v>
      </c>
      <c r="BJ24" s="485" t="s">
        <v>239</v>
      </c>
      <c r="BK24" s="631"/>
      <c r="BL24" s="631"/>
      <c r="BM24" s="631"/>
      <c r="BN24" s="375"/>
      <c r="BO24" s="360"/>
      <c r="BP24" s="285"/>
      <c r="BQ24" s="285"/>
      <c r="BR24" s="285"/>
      <c r="CD24" s="377"/>
      <c r="CE24" s="58"/>
      <c r="CF24" s="58"/>
      <c r="CG24" s="58"/>
    </row>
    <row r="25" spans="1:85" ht="15.75" thickTop="1">
      <c r="A25" s="375">
        <f>+A24+1</f>
        <v>13</v>
      </c>
      <c r="B25" s="360" t="s">
        <v>424</v>
      </c>
      <c r="C25" s="285"/>
      <c r="D25" s="285">
        <f>+'Power Cost Bridge to A-1'!N28</f>
        <v>4769481.1386719989</v>
      </c>
      <c r="E25" s="285">
        <f>+D25-C25</f>
        <v>4769481.1386719989</v>
      </c>
      <c r="F25" s="375">
        <f t="shared" si="0"/>
        <v>13</v>
      </c>
      <c r="G25" s="357" t="s">
        <v>20</v>
      </c>
      <c r="H25" s="550">
        <v>0.35</v>
      </c>
      <c r="I25" s="486"/>
      <c r="J25" s="280">
        <f>ROUND(J23*$H$25,0)</f>
        <v>24402</v>
      </c>
      <c r="K25" s="375">
        <f t="shared" si="2"/>
        <v>13</v>
      </c>
      <c r="L25" s="376" t="s">
        <v>289</v>
      </c>
      <c r="M25" s="779">
        <f>SUM(M23:M24)</f>
        <v>212138.37865459672</v>
      </c>
      <c r="N25" s="779">
        <f>SUM(N23:N24)</f>
        <v>0</v>
      </c>
      <c r="O25" s="779">
        <f>SUM(O23:O24)</f>
        <v>-212138.37865459672</v>
      </c>
      <c r="P25" s="375"/>
      <c r="Q25" s="18"/>
      <c r="R25" s="328"/>
      <c r="S25" s="86"/>
      <c r="T25" s="328"/>
      <c r="U25" s="375">
        <f t="shared" si="4"/>
        <v>13</v>
      </c>
      <c r="V25" s="357" t="s">
        <v>847</v>
      </c>
      <c r="W25" s="307"/>
      <c r="X25" s="307"/>
      <c r="Y25" s="307"/>
      <c r="Z25" s="375">
        <f t="shared" si="11"/>
        <v>13</v>
      </c>
      <c r="AA25" s="285" t="str">
        <f>'[15]Lead E'!B25</f>
        <v>BAKER LICENSE UPGRADE DEFERRAL (2013 PCORC) (FERC 407.3)</v>
      </c>
      <c r="AB25" s="285">
        <f>'[15]Lead E'!C25</f>
        <v>1130665.8299999996</v>
      </c>
      <c r="AC25" s="285">
        <f>'[15]Lead E'!D25</f>
        <v>151971.71732166281</v>
      </c>
      <c r="AD25" s="285">
        <f>+AC25-AB25</f>
        <v>-978694.11267833679</v>
      </c>
      <c r="AE25" s="198">
        <f t="shared" si="5"/>
        <v>13</v>
      </c>
      <c r="AF25" s="295"/>
      <c r="AG25" s="285"/>
      <c r="AH25" s="285"/>
      <c r="AI25" s="285"/>
      <c r="AJ25" s="583">
        <f t="shared" si="12"/>
        <v>13</v>
      </c>
      <c r="AK25" s="594"/>
      <c r="AL25" s="601"/>
      <c r="AM25" s="601"/>
      <c r="AN25" s="601"/>
      <c r="AO25" s="583">
        <f t="shared" si="13"/>
        <v>13</v>
      </c>
      <c r="AP25" s="377" t="s">
        <v>950</v>
      </c>
      <c r="AQ25" s="733">
        <f>+'[41]Lead E'!C24</f>
        <v>-150563.60204358294</v>
      </c>
      <c r="AR25" s="733">
        <f>+'[41]Lead E'!D24</f>
        <v>-4537903.8039487666</v>
      </c>
      <c r="AS25" s="733">
        <f t="shared" si="23"/>
        <v>-4387340.2019051835</v>
      </c>
      <c r="AT25" s="313"/>
      <c r="AU25" s="313"/>
      <c r="AV25" s="313"/>
      <c r="AW25" s="313"/>
      <c r="AX25" s="313"/>
      <c r="AY25" s="308">
        <f t="shared" si="17"/>
        <v>13</v>
      </c>
      <c r="AZ25" s="714"/>
      <c r="BA25" s="928"/>
      <c r="BB25" s="928"/>
      <c r="BC25" s="928"/>
      <c r="BD25" s="482"/>
      <c r="BE25" s="352"/>
      <c r="BF25" s="536"/>
      <c r="BG25" s="536"/>
      <c r="BH25" s="536"/>
      <c r="BI25" s="482">
        <f t="shared" si="15"/>
        <v>13</v>
      </c>
      <c r="BJ25" s="377" t="s">
        <v>373</v>
      </c>
      <c r="BK25" s="534">
        <f>+'For Prod Adj Expense'!F45</f>
        <v>149765347.19094247</v>
      </c>
      <c r="BL25" s="285">
        <f>-BK25*$BL$13</f>
        <v>-3796102.255248819</v>
      </c>
      <c r="BM25" s="285">
        <f>+'For Prod Adj Expense'!G60</f>
        <v>1447773.0108788868</v>
      </c>
      <c r="BN25" s="375"/>
      <c r="BO25" s="360"/>
      <c r="BP25" s="285"/>
      <c r="BQ25" s="285"/>
      <c r="BR25" s="285"/>
      <c r="CD25" s="377"/>
      <c r="CE25" s="377"/>
      <c r="CF25" s="377"/>
      <c r="CG25" s="58"/>
    </row>
    <row r="26" spans="1:85" ht="15.75" thickBot="1">
      <c r="A26" s="375">
        <f t="shared" si="1"/>
        <v>14</v>
      </c>
      <c r="F26" s="375">
        <f t="shared" si="0"/>
        <v>14</v>
      </c>
      <c r="G26" s="357" t="s">
        <v>120</v>
      </c>
      <c r="H26" s="550"/>
      <c r="I26" s="258"/>
      <c r="J26" s="323">
        <f>J23-J25</f>
        <v>45318.08998702839</v>
      </c>
      <c r="K26" s="375">
        <f t="shared" si="2"/>
        <v>14</v>
      </c>
      <c r="L26" s="376"/>
      <c r="M26" s="289"/>
      <c r="N26" s="289"/>
      <c r="O26" s="289"/>
      <c r="P26" s="375"/>
      <c r="Q26" s="18"/>
      <c r="R26" s="328"/>
      <c r="S26" s="328"/>
      <c r="T26" s="328"/>
      <c r="U26" s="375">
        <f t="shared" si="4"/>
        <v>14</v>
      </c>
      <c r="V26" s="160" t="s">
        <v>611</v>
      </c>
      <c r="W26" s="681">
        <f>W20</f>
        <v>506068.88000000006</v>
      </c>
      <c r="X26" s="681">
        <f>X20</f>
        <v>10553488.410000002</v>
      </c>
      <c r="Y26" s="681">
        <f>W26+X26</f>
        <v>11059557.290000003</v>
      </c>
      <c r="Z26" s="375">
        <f t="shared" si="11"/>
        <v>14</v>
      </c>
      <c r="AA26" s="285" t="str">
        <f>'[15]Lead E'!B26</f>
        <v>SNOQUALMIE LICENSE UPGRADE DEFERRAL (2013 PCORC) (FERC 407.3)</v>
      </c>
      <c r="AB26" s="285">
        <f>'[15]Lead E'!C26</f>
        <v>4439919.72</v>
      </c>
      <c r="AC26" s="285">
        <f>'[15]Lead E'!D26</f>
        <v>596763.95810137875</v>
      </c>
      <c r="AD26" s="285">
        <f t="shared" ref="AD26" si="25">+AC26-AB26</f>
        <v>-3843155.761898621</v>
      </c>
      <c r="AE26" s="198">
        <f t="shared" si="5"/>
        <v>14</v>
      </c>
      <c r="AF26" s="295" t="s">
        <v>289</v>
      </c>
      <c r="AG26" s="285"/>
      <c r="AH26" s="285"/>
      <c r="AI26" s="289">
        <f>AI24</f>
        <v>223831.26558229775</v>
      </c>
      <c r="AJ26" s="583">
        <f t="shared" si="12"/>
        <v>14</v>
      </c>
      <c r="AK26" s="599" t="s">
        <v>22</v>
      </c>
      <c r="AL26" s="601">
        <f>+AL22</f>
        <v>0</v>
      </c>
      <c r="AM26" s="601">
        <f>+AM22</f>
        <v>5373410.6000000006</v>
      </c>
      <c r="AN26" s="601">
        <f>+AN22</f>
        <v>5373410.6000000006</v>
      </c>
      <c r="AO26" s="583">
        <f t="shared" si="13"/>
        <v>14</v>
      </c>
      <c r="AP26" s="325" t="s">
        <v>972</v>
      </c>
      <c r="AQ26" s="733">
        <f>+'[41]Lead E'!C25</f>
        <v>38343.578503561264</v>
      </c>
      <c r="AR26" s="733">
        <f>+'[41]Lead E'!D25</f>
        <v>0</v>
      </c>
      <c r="AS26" s="733">
        <f t="shared" si="23"/>
        <v>-38343.578503561264</v>
      </c>
      <c r="AT26" s="313"/>
      <c r="AU26" s="313"/>
      <c r="AV26" s="313"/>
      <c r="AW26" s="313"/>
      <c r="AX26" s="313"/>
      <c r="AY26" s="308">
        <f t="shared" si="17"/>
        <v>14</v>
      </c>
      <c r="AZ26" s="715" t="s">
        <v>924</v>
      </c>
      <c r="BA26" s="928"/>
      <c r="BB26" s="928"/>
      <c r="BC26" s="928">
        <f>BC24</f>
        <v>5194474.8277102737</v>
      </c>
      <c r="BD26" s="286"/>
      <c r="BE26" s="286"/>
      <c r="BF26" s="286"/>
      <c r="BG26" s="286"/>
      <c r="BH26" s="286"/>
      <c r="BI26" s="482">
        <f t="shared" si="15"/>
        <v>14</v>
      </c>
      <c r="BJ26" s="377" t="s">
        <v>975</v>
      </c>
      <c r="BK26" s="534">
        <f>BG20</f>
        <v>-3279780</v>
      </c>
      <c r="BL26" s="285">
        <f>-BK26*$BL$13</f>
        <v>83132.583660000004</v>
      </c>
      <c r="BM26" s="285">
        <f>ROUND(+BL26*-$BM$11,0)</f>
        <v>-29096</v>
      </c>
      <c r="BN26" s="375"/>
      <c r="BO26" s="360"/>
      <c r="BP26" s="285"/>
      <c r="BQ26" s="285"/>
      <c r="BR26" s="285"/>
      <c r="CD26" s="377"/>
      <c r="CE26" s="377"/>
      <c r="CF26" s="377"/>
      <c r="CG26" s="58"/>
    </row>
    <row r="27" spans="1:85" ht="16.5" thickTop="1" thickBot="1">
      <c r="A27" s="375">
        <f t="shared" si="1"/>
        <v>15</v>
      </c>
      <c r="B27" s="360" t="s">
        <v>22</v>
      </c>
      <c r="C27" s="322">
        <f>SUM(C14:C26)</f>
        <v>816378498.62</v>
      </c>
      <c r="D27" s="322">
        <f>SUM(D14:D26)</f>
        <v>827050511.75485861</v>
      </c>
      <c r="E27" s="322">
        <f>SUM(E14:E26)</f>
        <v>10672013.134858491</v>
      </c>
      <c r="F27" s="375"/>
      <c r="K27" s="375">
        <f t="shared" si="2"/>
        <v>15</v>
      </c>
      <c r="L27" s="357" t="s">
        <v>13</v>
      </c>
      <c r="M27" s="328"/>
      <c r="N27" s="145">
        <v>0.35</v>
      </c>
      <c r="O27" s="280">
        <f>ROUND(-O25*$N$27,0)</f>
        <v>74248</v>
      </c>
      <c r="P27" s="375"/>
      <c r="R27" s="328"/>
      <c r="S27" s="289"/>
      <c r="T27" s="289"/>
      <c r="U27" s="375">
        <f t="shared" si="4"/>
        <v>15</v>
      </c>
      <c r="W27" s="307"/>
      <c r="X27" s="307"/>
      <c r="Y27" s="307"/>
      <c r="Z27" s="375">
        <f t="shared" si="11"/>
        <v>15</v>
      </c>
      <c r="AA27" s="285" t="str">
        <f>'[15]Lead E'!B27</f>
        <v>FERNDALE DEFERRAL (2013 PCORC) (FERC 407.3)</v>
      </c>
      <c r="AB27" s="285">
        <f>'[15]Lead E'!C27</f>
        <v>10528816.84</v>
      </c>
      <c r="AC27" s="285">
        <f>'[15]Lead E'!D27</f>
        <v>3917699.507429909</v>
      </c>
      <c r="AD27" s="285">
        <f t="shared" si="18"/>
        <v>-6611117.3325700909</v>
      </c>
      <c r="AE27" s="198">
        <f t="shared" si="5"/>
        <v>15</v>
      </c>
      <c r="AF27" s="295"/>
      <c r="AG27" s="285"/>
      <c r="AH27" s="285"/>
      <c r="AI27" s="289"/>
      <c r="AJ27" s="583">
        <f t="shared" si="12"/>
        <v>15</v>
      </c>
      <c r="AK27" s="593"/>
      <c r="AL27" s="601"/>
      <c r="AM27" s="601"/>
      <c r="AN27" s="601"/>
      <c r="AO27" s="583">
        <f t="shared" si="13"/>
        <v>15</v>
      </c>
      <c r="AP27" s="325" t="s">
        <v>796</v>
      </c>
      <c r="AQ27" s="789">
        <f>SUM(AQ22:AQ26)</f>
        <v>2908934.4279290871</v>
      </c>
      <c r="AR27" s="789">
        <f t="shared" ref="AR27:AS27" si="26">SUM(AR22:AR26)</f>
        <v>18927487.380706169</v>
      </c>
      <c r="AS27" s="789">
        <f t="shared" si="26"/>
        <v>16018552.952777086</v>
      </c>
      <c r="AT27" s="313"/>
      <c r="AU27" s="313"/>
      <c r="AV27" s="313"/>
      <c r="AW27" s="313"/>
      <c r="AX27" s="313"/>
      <c r="AY27" s="308">
        <f t="shared" si="17"/>
        <v>15</v>
      </c>
      <c r="AZ27" s="714"/>
      <c r="BA27" s="928"/>
      <c r="BB27" s="928"/>
      <c r="BC27" s="928"/>
      <c r="BD27"/>
      <c r="BE27"/>
      <c r="BF27"/>
      <c r="BG27"/>
      <c r="BH27"/>
      <c r="BI27" s="482">
        <f t="shared" si="15"/>
        <v>15</v>
      </c>
      <c r="BJ27" s="377" t="s">
        <v>173</v>
      </c>
      <c r="BK27" s="285">
        <f>+'For Prod Adj Expense'!F55</f>
        <v>11818341.976000002</v>
      </c>
      <c r="BL27" s="285">
        <f>-BK27*$BL$13</f>
        <v>-299559.51406567206</v>
      </c>
      <c r="BM27" s="285">
        <f>+'For Prod Adj Expense'!G61</f>
        <v>101652.83664475386</v>
      </c>
      <c r="BN27" s="375"/>
      <c r="BO27" s="360"/>
      <c r="BP27" s="285"/>
      <c r="BQ27" s="285"/>
      <c r="BR27" s="285"/>
      <c r="CD27" s="377"/>
      <c r="CE27" s="377"/>
      <c r="CF27" s="377"/>
      <c r="CG27" s="58"/>
    </row>
    <row r="28" spans="1:85" ht="16.5" thickTop="1" thickBot="1">
      <c r="A28" s="375">
        <f t="shared" si="1"/>
        <v>16</v>
      </c>
      <c r="F28" s="96"/>
      <c r="I28" s="307"/>
      <c r="K28" s="375">
        <f t="shared" si="2"/>
        <v>16</v>
      </c>
      <c r="L28" s="357" t="s">
        <v>120</v>
      </c>
      <c r="M28" s="329"/>
      <c r="N28" s="329"/>
      <c r="O28" s="323">
        <f>-O25-O27</f>
        <v>137890.37865459672</v>
      </c>
      <c r="P28" s="375"/>
      <c r="Q28" s="18"/>
      <c r="R28" s="328"/>
      <c r="S28" s="328"/>
      <c r="T28" s="328"/>
      <c r="U28" s="375">
        <f t="shared" si="4"/>
        <v>16</v>
      </c>
      <c r="V28" s="48" t="s">
        <v>228</v>
      </c>
      <c r="W28" s="307">
        <f>W23-W26</f>
        <v>-131868.25166666671</v>
      </c>
      <c r="X28" s="307">
        <f>X23-X26</f>
        <v>-271443.23000000231</v>
      </c>
      <c r="Y28" s="289">
        <f>Y23-Y26</f>
        <v>-403311.48166667111</v>
      </c>
      <c r="Z28" s="375">
        <f t="shared" si="11"/>
        <v>16</v>
      </c>
      <c r="AA28" s="285" t="str">
        <f>'[15]Lead E'!B28</f>
        <v>BAKER TREASURY GRANT DEFERRAL (2014 PCORC) (FERC 407.4)</v>
      </c>
      <c r="AB28" s="285">
        <f>'[15]Lead E'!C28</f>
        <v>-806046.15000000014</v>
      </c>
      <c r="AC28" s="285">
        <f>'[15]Lead E'!D28</f>
        <v>-108339.16201768839</v>
      </c>
      <c r="AD28" s="285">
        <f t="shared" si="18"/>
        <v>697706.98798231175</v>
      </c>
      <c r="AE28" s="198">
        <f t="shared" si="5"/>
        <v>16</v>
      </c>
      <c r="AF28" s="295" t="s">
        <v>13</v>
      </c>
      <c r="AG28" s="285"/>
      <c r="AH28" s="223">
        <v>0.35</v>
      </c>
      <c r="AI28" s="530">
        <f>-AI26*AH28</f>
        <v>-78340.942953804202</v>
      </c>
      <c r="AJ28" s="583">
        <f t="shared" si="12"/>
        <v>16</v>
      </c>
      <c r="AK28" s="602" t="s">
        <v>13</v>
      </c>
      <c r="AL28" s="603">
        <v>0.35</v>
      </c>
      <c r="AM28" s="604"/>
      <c r="AN28" s="683">
        <f>-AN26*AL28</f>
        <v>-1880693.71</v>
      </c>
      <c r="AO28" s="583">
        <f t="shared" si="13"/>
        <v>16</v>
      </c>
      <c r="AP28" s="605"/>
      <c r="AQ28" s="340"/>
      <c r="AR28" s="402"/>
      <c r="AS28" s="340"/>
      <c r="AT28" s="313"/>
      <c r="AU28" s="313"/>
      <c r="AV28" s="313"/>
      <c r="AW28" s="313"/>
      <c r="AX28" s="313"/>
      <c r="AY28" s="308">
        <f t="shared" si="17"/>
        <v>16</v>
      </c>
      <c r="AZ28" s="716" t="s">
        <v>925</v>
      </c>
      <c r="BA28" s="928"/>
      <c r="BB28" s="145">
        <v>0.35</v>
      </c>
      <c r="BC28" s="928">
        <f>-BC26*BB28</f>
        <v>-1818066.1896985958</v>
      </c>
      <c r="BD28"/>
      <c r="BE28"/>
      <c r="BF28"/>
      <c r="BG28"/>
      <c r="BH28"/>
      <c r="BI28" s="482">
        <f t="shared" si="15"/>
        <v>16</v>
      </c>
      <c r="BJ28" s="357" t="s">
        <v>438</v>
      </c>
      <c r="BK28" s="517">
        <f>SUM(BK25:BK27)</f>
        <v>158303909.16694248</v>
      </c>
      <c r="BL28" s="517">
        <f>SUM(BL25:BL27)</f>
        <v>-4012529.1856544912</v>
      </c>
      <c r="BM28" s="517">
        <f>SUM(BM25:BM27)</f>
        <v>1520329.8475236406</v>
      </c>
      <c r="BN28" s="375"/>
      <c r="BO28" s="360"/>
      <c r="BP28" s="285"/>
      <c r="BQ28" s="285"/>
      <c r="BR28" s="285"/>
      <c r="CD28" s="288"/>
      <c r="CE28" s="288"/>
      <c r="CF28" s="288"/>
      <c r="CG28" s="288"/>
    </row>
    <row r="29" spans="1:85" ht="16.5" thickTop="1" thickBot="1">
      <c r="A29" s="375">
        <f t="shared" si="1"/>
        <v>17</v>
      </c>
      <c r="B29" s="360" t="s">
        <v>805</v>
      </c>
      <c r="C29" s="510">
        <f>-C27</f>
        <v>-816378498.62</v>
      </c>
      <c r="D29" s="510">
        <f>-D27</f>
        <v>-827050511.75485861</v>
      </c>
      <c r="E29" s="510">
        <f>-E27</f>
        <v>-10672013.134858491</v>
      </c>
      <c r="F29" s="96"/>
      <c r="G29" s="375"/>
      <c r="H29" s="375"/>
      <c r="I29" s="353"/>
      <c r="L29" s="313"/>
      <c r="M29" s="313"/>
      <c r="N29" s="313"/>
      <c r="O29" s="313"/>
      <c r="P29" s="375"/>
      <c r="Q29" s="18"/>
      <c r="R29" s="328"/>
      <c r="S29" s="328"/>
      <c r="T29" s="328"/>
      <c r="U29" s="375">
        <f t="shared" si="4"/>
        <v>17</v>
      </c>
      <c r="V29" s="48"/>
      <c r="W29" s="307"/>
      <c r="X29" s="307"/>
      <c r="Y29" s="307"/>
      <c r="Z29" s="375">
        <f t="shared" si="11"/>
        <v>17</v>
      </c>
      <c r="AA29" s="285" t="str">
        <f>'[15]Lead E'!B29</f>
        <v>SNOQUALMIE TREASURY GRANT DEFERRAL (2014 PCORC) (FERC 407.4)</v>
      </c>
      <c r="AB29" s="285">
        <f>'[15]Lead E'!C29</f>
        <v>-2784431.6500000004</v>
      </c>
      <c r="AC29" s="285">
        <f>'[15]Lead E'!D29</f>
        <v>-374251.50670083519</v>
      </c>
      <c r="AD29" s="285">
        <f t="shared" si="18"/>
        <v>2410180.1432991652</v>
      </c>
      <c r="AE29" s="198">
        <f t="shared" si="5"/>
        <v>17</v>
      </c>
      <c r="AF29" s="297" t="s">
        <v>120</v>
      </c>
      <c r="AI29" s="320">
        <f>-AI26-AI28</f>
        <v>-145490.32262849354</v>
      </c>
      <c r="AJ29" s="583">
        <f t="shared" si="12"/>
        <v>17</v>
      </c>
      <c r="AK29" s="602" t="s">
        <v>120</v>
      </c>
      <c r="AL29" s="604"/>
      <c r="AM29" s="604"/>
      <c r="AN29" s="684">
        <f>-AN26-AN28</f>
        <v>-3492716.8900000006</v>
      </c>
      <c r="AO29" s="583">
        <f t="shared" si="13"/>
        <v>17</v>
      </c>
      <c r="AP29" s="734" t="s">
        <v>952</v>
      </c>
      <c r="AQ29" s="732"/>
      <c r="AR29" s="732"/>
      <c r="AS29" s="732"/>
      <c r="AT29" s="313"/>
      <c r="AU29" s="313"/>
      <c r="AV29" s="313"/>
      <c r="AW29" s="313"/>
      <c r="AX29" s="313"/>
      <c r="AY29" s="308">
        <f t="shared" si="17"/>
        <v>17</v>
      </c>
      <c r="AZ29" s="716" t="s">
        <v>926</v>
      </c>
      <c r="BA29" s="930"/>
      <c r="BB29" s="930"/>
      <c r="BC29" s="931">
        <f>-BC26-BC28</f>
        <v>-3376408.6380116781</v>
      </c>
      <c r="BD29"/>
      <c r="BE29"/>
      <c r="BF29"/>
      <c r="BG29"/>
      <c r="BH29"/>
      <c r="BI29" s="482">
        <f t="shared" si="15"/>
        <v>17</v>
      </c>
      <c r="BJ29" s="631"/>
      <c r="BK29" s="322"/>
      <c r="BL29" s="322"/>
      <c r="BM29" s="322"/>
      <c r="BN29" s="375"/>
      <c r="BO29" s="360"/>
      <c r="BP29" s="285"/>
      <c r="BQ29" s="285"/>
      <c r="BR29" s="285"/>
      <c r="CD29" s="374"/>
      <c r="CE29" s="374"/>
      <c r="CF29" s="374"/>
      <c r="CG29" s="374"/>
    </row>
    <row r="30" spans="1:85" ht="13.5" thickTop="1">
      <c r="A30" s="375">
        <f t="shared" si="1"/>
        <v>18</v>
      </c>
      <c r="F30" s="96"/>
      <c r="G30" s="375"/>
      <c r="H30" s="375"/>
      <c r="L30" s="313"/>
      <c r="M30" s="313"/>
      <c r="N30" s="313"/>
      <c r="O30" s="313"/>
      <c r="R30" s="307"/>
      <c r="S30" s="307"/>
      <c r="T30" s="307"/>
      <c r="U30" s="375">
        <f t="shared" si="4"/>
        <v>18</v>
      </c>
      <c r="W30" s="307"/>
      <c r="X30" s="307"/>
      <c r="Y30" s="307"/>
      <c r="Z30" s="375">
        <f t="shared" si="11"/>
        <v>18</v>
      </c>
      <c r="AA30" s="285" t="str">
        <f>'[15]Lead E'!B30</f>
        <v>ELECTRON UNRECOVERED COST (2014 PCORC) (FERC 407.3)</v>
      </c>
      <c r="AB30" s="285">
        <f>'[15]Lead E'!C30</f>
        <v>6319201.1350000016</v>
      </c>
      <c r="AC30" s="285">
        <f>'[15]Lead E'!D30</f>
        <v>1128003.9151666719</v>
      </c>
      <c r="AD30" s="285">
        <f t="shared" si="18"/>
        <v>-5191197.2198333293</v>
      </c>
      <c r="AE30" s="198"/>
      <c r="AF30" s="376"/>
      <c r="AH30" s="223"/>
      <c r="AI30" s="285"/>
      <c r="AJ30" s="583"/>
      <c r="AO30" s="583">
        <f t="shared" si="13"/>
        <v>18</v>
      </c>
      <c r="AP30" s="325" t="s">
        <v>954</v>
      </c>
      <c r="AQ30" s="926">
        <f>+'[41]Lead E'!C29</f>
        <v>340770.04506125004</v>
      </c>
      <c r="AR30" s="926">
        <f>+'[41]Lead E'!D29</f>
        <v>0</v>
      </c>
      <c r="AS30" s="926">
        <f t="shared" ref="AS30:AS33" si="27">AR30-AQ30</f>
        <v>-340770.04506125004</v>
      </c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/>
      <c r="BE30"/>
      <c r="BF30"/>
      <c r="BG30"/>
      <c r="BH30"/>
      <c r="BI30" s="482">
        <f t="shared" si="15"/>
        <v>18</v>
      </c>
      <c r="BJ30" s="485" t="s">
        <v>660</v>
      </c>
      <c r="BN30" s="375"/>
      <c r="BO30" s="360"/>
      <c r="BP30" s="285"/>
      <c r="BQ30" s="285"/>
      <c r="BR30" s="285"/>
      <c r="CD30" s="374"/>
      <c r="CE30" s="374"/>
      <c r="CF30" s="374"/>
      <c r="CG30" s="374"/>
    </row>
    <row r="31" spans="1:85">
      <c r="A31" s="375">
        <f t="shared" si="1"/>
        <v>19</v>
      </c>
      <c r="B31" s="360" t="s">
        <v>932</v>
      </c>
      <c r="C31" s="109">
        <f>'BGM-3 (3) Param'!L15</f>
        <v>3.8733999999999998E-2</v>
      </c>
      <c r="D31" s="308"/>
      <c r="E31" s="285">
        <f>E24*C31</f>
        <v>-56686.323528445922</v>
      </c>
      <c r="L31" s="313"/>
      <c r="M31" s="313"/>
      <c r="N31" s="313"/>
      <c r="O31" s="313"/>
      <c r="R31" s="307"/>
      <c r="S31" s="307"/>
      <c r="T31" s="307"/>
      <c r="U31" s="375">
        <f>U30+1</f>
        <v>19</v>
      </c>
      <c r="V31" s="921" t="s">
        <v>256</v>
      </c>
      <c r="W31" s="397"/>
      <c r="X31" s="397"/>
      <c r="Y31" s="397"/>
      <c r="Z31" s="375">
        <f t="shared" si="11"/>
        <v>19</v>
      </c>
      <c r="AA31" s="360"/>
      <c r="AB31" s="285"/>
      <c r="AC31" s="285"/>
      <c r="AD31" s="285"/>
      <c r="AE31" s="198"/>
      <c r="AF31" s="357"/>
      <c r="AH31" s="223"/>
      <c r="AI31" s="285"/>
      <c r="AJ31" s="583"/>
      <c r="AO31" s="583">
        <f t="shared" si="13"/>
        <v>19</v>
      </c>
      <c r="AP31" s="325" t="s">
        <v>973</v>
      </c>
      <c r="AQ31" s="733">
        <f>+'[41]Lead E'!C30</f>
        <v>1540889.1632591307</v>
      </c>
      <c r="AR31" s="733">
        <f>+'[41]Lead E'!D30</f>
        <v>0</v>
      </c>
      <c r="AS31" s="733">
        <f t="shared" si="27"/>
        <v>-1540889.1632591307</v>
      </c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/>
      <c r="BE31"/>
      <c r="BF31"/>
      <c r="BG31"/>
      <c r="BH31"/>
      <c r="BI31" s="482">
        <f t="shared" si="15"/>
        <v>19</v>
      </c>
      <c r="BJ31" s="631" t="s">
        <v>678</v>
      </c>
      <c r="BK31" s="307">
        <f>+J21</f>
        <v>1471072.9800129717</v>
      </c>
      <c r="BL31" s="285">
        <f>-BK31*$BL$14</f>
        <v>-56480.375994618029</v>
      </c>
      <c r="BM31" s="534">
        <f>ROUND(+BL31*-$BM$11,0)</f>
        <v>19768</v>
      </c>
      <c r="BN31" s="375"/>
      <c r="BO31" s="360"/>
      <c r="BP31" s="285"/>
      <c r="BQ31" s="285"/>
      <c r="BR31" s="285"/>
      <c r="CD31" s="116"/>
      <c r="CE31" s="116"/>
      <c r="CF31" s="116"/>
      <c r="CG31" s="116"/>
    </row>
    <row r="32" spans="1:85">
      <c r="A32" s="375">
        <f t="shared" si="1"/>
        <v>20</v>
      </c>
      <c r="B32" s="360" t="s">
        <v>16</v>
      </c>
      <c r="D32" s="308"/>
      <c r="E32" s="285">
        <f>+E29+E31</f>
        <v>-10728699.458386937</v>
      </c>
      <c r="J32" s="373"/>
      <c r="L32" s="313"/>
      <c r="M32" s="313"/>
      <c r="N32" s="313"/>
      <c r="O32" s="313"/>
      <c r="R32" s="307"/>
      <c r="S32" s="307"/>
      <c r="T32" s="307"/>
      <c r="U32" s="375">
        <f t="shared" si="4"/>
        <v>20</v>
      </c>
      <c r="V32" s="69" t="s">
        <v>141</v>
      </c>
      <c r="W32" s="397"/>
      <c r="X32" s="397"/>
      <c r="Y32" s="397"/>
      <c r="Z32" s="375">
        <f t="shared" si="11"/>
        <v>20</v>
      </c>
      <c r="AA32" s="360"/>
      <c r="AB32" s="285"/>
      <c r="AC32" s="285"/>
      <c r="AD32" s="285"/>
      <c r="AE32" s="198"/>
      <c r="AF32" s="357"/>
      <c r="AH32" s="223"/>
      <c r="AI32" s="198"/>
      <c r="AJ32" s="605"/>
      <c r="AK32" s="506"/>
      <c r="AL32" s="604"/>
      <c r="AM32" s="604"/>
      <c r="AN32" s="604"/>
      <c r="AO32" s="583">
        <f t="shared" si="13"/>
        <v>20</v>
      </c>
      <c r="AP32" s="325" t="s">
        <v>955</v>
      </c>
      <c r="AQ32" s="733">
        <f>+'[41]Lead E'!C31</f>
        <v>48455.670126874989</v>
      </c>
      <c r="AR32" s="733">
        <f>+'[41]Lead E'!D31</f>
        <v>2145903.9723363491</v>
      </c>
      <c r="AS32" s="733">
        <f t="shared" si="27"/>
        <v>2097448.3022094741</v>
      </c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/>
      <c r="BE32"/>
      <c r="BF32"/>
      <c r="BG32"/>
      <c r="BH32"/>
      <c r="BI32" s="482">
        <f t="shared" si="15"/>
        <v>20</v>
      </c>
      <c r="BJ32" s="377" t="s">
        <v>179</v>
      </c>
      <c r="BK32" s="534">
        <f>+'For Prod Adj Expense'!H25</f>
        <v>2097013.8763986793</v>
      </c>
      <c r="BL32" s="285">
        <f>-BK32*$BL$13</f>
        <v>-53153.010725077329</v>
      </c>
      <c r="BM32" s="534">
        <f>ROUND(+BL32*-$BM$11,0)</f>
        <v>18604</v>
      </c>
      <c r="BN32" s="375"/>
      <c r="BO32" s="360"/>
      <c r="BP32" s="285"/>
      <c r="BQ32" s="285"/>
      <c r="BR32" s="285"/>
    </row>
    <row r="33" spans="1:85" ht="16.5" customHeight="1" thickBot="1">
      <c r="A33" s="375">
        <f t="shared" si="1"/>
        <v>21</v>
      </c>
      <c r="B33" s="360" t="s">
        <v>13</v>
      </c>
      <c r="C33" s="223">
        <f>k_FITrate</f>
        <v>0.35</v>
      </c>
      <c r="D33" s="308"/>
      <c r="E33" s="285">
        <f>+C33*E32</f>
        <v>-3755044.8104354278</v>
      </c>
      <c r="J33" s="288"/>
      <c r="L33" s="313"/>
      <c r="M33" s="313"/>
      <c r="N33" s="313"/>
      <c r="O33" s="313"/>
      <c r="R33" s="307"/>
      <c r="S33" s="307"/>
      <c r="T33" s="307"/>
      <c r="U33" s="375">
        <f t="shared" si="4"/>
        <v>21</v>
      </c>
      <c r="V33" s="69" t="s">
        <v>849</v>
      </c>
      <c r="W33" s="69"/>
      <c r="X33" s="69"/>
      <c r="Y33" s="69"/>
      <c r="Z33" s="375">
        <f t="shared" si="11"/>
        <v>21</v>
      </c>
      <c r="AA33" s="360" t="s">
        <v>1001</v>
      </c>
      <c r="AB33" s="924">
        <f>SUM(AB14:AB32)</f>
        <v>232514691.52833334</v>
      </c>
      <c r="AC33" s="924">
        <f>SUM(AC14:AC32)</f>
        <v>188429365.04291415</v>
      </c>
      <c r="AD33" s="924">
        <f>SUM(AD14:AD32)</f>
        <v>-44085326.485419191</v>
      </c>
      <c r="AE33" s="198"/>
      <c r="AF33" s="357"/>
      <c r="AI33" s="373"/>
      <c r="AJ33" s="605"/>
      <c r="AK33" s="604"/>
      <c r="AL33" s="604"/>
      <c r="AM33" s="604"/>
      <c r="AN33" s="604"/>
      <c r="AO33" s="583">
        <f t="shared" si="13"/>
        <v>21</v>
      </c>
      <c r="AP33" s="325" t="s">
        <v>973</v>
      </c>
      <c r="AQ33" s="733">
        <f>+'[41]Lead E'!C32</f>
        <v>219106.16287749296</v>
      </c>
      <c r="AR33" s="733">
        <f>+'[41]Lead E'!D32</f>
        <v>0</v>
      </c>
      <c r="AS33" s="733">
        <f t="shared" si="27"/>
        <v>-219106.16287749296</v>
      </c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/>
      <c r="BE33"/>
      <c r="BF33"/>
      <c r="BG33"/>
      <c r="BH33"/>
      <c r="BI33" s="482">
        <f t="shared" si="15"/>
        <v>21</v>
      </c>
      <c r="BJ33" s="377" t="s">
        <v>659</v>
      </c>
      <c r="BK33" s="517">
        <f>SUM(BK31:BK32)</f>
        <v>3568086.8564116508</v>
      </c>
      <c r="BL33" s="517">
        <f>SUM(BL31:BL32)</f>
        <v>-109633.38671969535</v>
      </c>
      <c r="BM33" s="517">
        <f>SUM(BM31:BM32)</f>
        <v>38372</v>
      </c>
      <c r="BN33" s="375"/>
      <c r="BO33" s="360"/>
      <c r="BP33" s="285"/>
      <c r="BQ33" s="285"/>
      <c r="BR33" s="285"/>
    </row>
    <row r="34" spans="1:85" ht="14.25" thickTop="1" thickBot="1">
      <c r="A34" s="375">
        <f t="shared" si="1"/>
        <v>22</v>
      </c>
      <c r="B34" s="360" t="s">
        <v>120</v>
      </c>
      <c r="C34" s="308"/>
      <c r="D34" s="308"/>
      <c r="E34" s="789">
        <f>+E32-E33</f>
        <v>-6973654.6479515098</v>
      </c>
      <c r="J34" s="288"/>
      <c r="L34" s="313"/>
      <c r="M34" s="313"/>
      <c r="N34" s="313"/>
      <c r="O34" s="313"/>
      <c r="R34" s="307"/>
      <c r="S34" s="307"/>
      <c r="T34" s="307"/>
      <c r="U34" s="375">
        <f t="shared" si="4"/>
        <v>22</v>
      </c>
      <c r="V34" s="480" t="s">
        <v>436</v>
      </c>
      <c r="W34" s="147">
        <f>'[45]Lead E'!$C$35</f>
        <v>-12560038.23</v>
      </c>
      <c r="X34" s="69"/>
      <c r="Y34" s="69"/>
      <c r="Z34" s="375">
        <f t="shared" si="11"/>
        <v>22</v>
      </c>
      <c r="AA34" s="360"/>
      <c r="AB34" s="644"/>
      <c r="AE34" s="198"/>
      <c r="AF34" s="302"/>
      <c r="AI34" s="329"/>
      <c r="AJ34" s="605"/>
      <c r="AK34" s="604"/>
      <c r="AL34" s="604"/>
      <c r="AM34" s="604"/>
      <c r="AN34" s="604"/>
      <c r="AO34" s="583">
        <f t="shared" si="13"/>
        <v>22</v>
      </c>
      <c r="AP34" s="325" t="s">
        <v>953</v>
      </c>
      <c r="AQ34" s="781">
        <f>SUM(AQ30:AQ33)</f>
        <v>2149221.0413247487</v>
      </c>
      <c r="AR34" s="781">
        <f t="shared" ref="AR34:AS34" si="28">SUM(AR30:AR33)</f>
        <v>2145903.9723363491</v>
      </c>
      <c r="AS34" s="781">
        <f t="shared" si="28"/>
        <v>-3317.0689883994637</v>
      </c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/>
      <c r="BE34"/>
      <c r="BF34"/>
      <c r="BG34"/>
      <c r="BH34"/>
      <c r="BI34" s="482">
        <f t="shared" si="15"/>
        <v>22</v>
      </c>
      <c r="BJ34" s="631"/>
      <c r="BK34" s="322"/>
      <c r="BL34" s="322"/>
      <c r="BM34" s="322"/>
      <c r="BN34" s="375"/>
      <c r="BO34" s="360"/>
      <c r="BP34" s="285"/>
      <c r="BQ34" s="285"/>
      <c r="BR34" s="285"/>
    </row>
    <row r="35" spans="1:85" ht="13.5" thickTop="1">
      <c r="A35" s="375"/>
      <c r="B35" s="313"/>
      <c r="C35" s="313"/>
      <c r="D35" s="313"/>
      <c r="E35" s="313"/>
      <c r="J35" s="373"/>
      <c r="L35" s="313"/>
      <c r="M35" s="313"/>
      <c r="N35" s="313"/>
      <c r="O35" s="313"/>
      <c r="R35" s="307"/>
      <c r="S35" s="307"/>
      <c r="T35" s="307"/>
      <c r="U35" s="375">
        <f t="shared" si="4"/>
        <v>23</v>
      </c>
      <c r="V35" s="480" t="s">
        <v>848</v>
      </c>
      <c r="W35" s="147">
        <f>'[45]Lead E'!$C$36</f>
        <v>50185.88</v>
      </c>
      <c r="X35" s="69"/>
      <c r="Y35" s="69"/>
      <c r="Z35" s="375">
        <f t="shared" si="11"/>
        <v>23</v>
      </c>
      <c r="AA35" s="222"/>
      <c r="AE35" s="198"/>
      <c r="AF35" s="299"/>
      <c r="AG35" s="299"/>
      <c r="AH35" s="299"/>
      <c r="AI35" s="299"/>
      <c r="AJ35" s="605"/>
      <c r="AK35" s="604"/>
      <c r="AL35" s="604"/>
      <c r="AM35" s="604"/>
      <c r="AN35" s="604"/>
      <c r="AO35" s="583">
        <f t="shared" si="13"/>
        <v>23</v>
      </c>
      <c r="AP35" s="605"/>
      <c r="AQ35" s="340"/>
      <c r="AR35" s="402"/>
      <c r="AS35" s="340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/>
      <c r="BE35"/>
      <c r="BF35"/>
      <c r="BG35"/>
      <c r="BH35"/>
      <c r="BI35" s="482">
        <f t="shared" si="15"/>
        <v>23</v>
      </c>
      <c r="BJ35" s="483" t="s">
        <v>1154</v>
      </c>
      <c r="BK35" s="534"/>
      <c r="BL35" s="285"/>
      <c r="BM35" s="285"/>
      <c r="BN35" s="375"/>
      <c r="BO35" s="360"/>
      <c r="BP35" s="285"/>
      <c r="BQ35" s="285"/>
      <c r="BR35" s="285"/>
      <c r="CD35" s="374"/>
      <c r="CE35" s="374"/>
      <c r="CF35" s="374"/>
      <c r="CG35" s="374"/>
    </row>
    <row r="36" spans="1:85">
      <c r="A36" s="375"/>
      <c r="B36" s="319"/>
      <c r="C36" s="319"/>
      <c r="D36" s="319"/>
      <c r="E36" s="319"/>
      <c r="J36" s="373"/>
      <c r="L36" s="313"/>
      <c r="M36" s="313"/>
      <c r="N36" s="313"/>
      <c r="O36" s="313"/>
      <c r="R36" s="307"/>
      <c r="S36" s="307"/>
      <c r="T36" s="307"/>
      <c r="U36" s="375">
        <f t="shared" si="4"/>
        <v>24</v>
      </c>
      <c r="V36" s="480" t="s">
        <v>437</v>
      </c>
      <c r="W36" s="147">
        <f>'[45]Lead E'!$C$37</f>
        <v>18185672.66</v>
      </c>
      <c r="X36" s="69"/>
      <c r="Y36" s="69"/>
      <c r="Z36" s="375">
        <f t="shared" si="11"/>
        <v>24</v>
      </c>
      <c r="AA36" s="222" t="s">
        <v>343</v>
      </c>
      <c r="AB36" s="285"/>
      <c r="AC36" s="285"/>
      <c r="AD36" s="285"/>
      <c r="AE36" s="198"/>
      <c r="AF36" s="299"/>
      <c r="AG36" s="299"/>
      <c r="AH36" s="299"/>
      <c r="AI36" s="299"/>
      <c r="AJ36" s="605"/>
      <c r="AK36" s="605"/>
      <c r="AL36" s="605"/>
      <c r="AM36" s="605"/>
      <c r="AN36" s="605"/>
      <c r="AO36" s="583">
        <f t="shared" si="13"/>
        <v>24</v>
      </c>
      <c r="AP36" s="489"/>
      <c r="AQ36" s="340"/>
      <c r="AR36" s="402"/>
      <c r="AS36" s="340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/>
      <c r="BE36"/>
      <c r="BF36"/>
      <c r="BG36"/>
      <c r="BH36"/>
      <c r="BI36" s="482">
        <f t="shared" si="15"/>
        <v>24</v>
      </c>
      <c r="BJ36" s="631" t="s">
        <v>984</v>
      </c>
      <c r="BK36" s="307">
        <f>'BGM-3 (5) PF Adj.'!BB23</f>
        <v>6689176.5497812955</v>
      </c>
      <c r="BL36" s="285">
        <f t="shared" ref="BL36" si="29">-BK36*$BL$13</f>
        <v>-169550.55800730651</v>
      </c>
      <c r="BM36" s="307">
        <f>-BL36*$BM$11</f>
        <v>59342.695302557273</v>
      </c>
      <c r="BN36" s="375"/>
      <c r="BO36" s="319"/>
      <c r="BP36" s="319"/>
      <c r="BQ36" s="319"/>
      <c r="BR36" s="319"/>
      <c r="CC36" s="308"/>
      <c r="CD36" s="198"/>
      <c r="CE36" s="198"/>
      <c r="CF36" s="198"/>
      <c r="CG36" s="198"/>
    </row>
    <row r="37" spans="1:85">
      <c r="A37" s="375"/>
      <c r="B37" s="319"/>
      <c r="C37" s="285"/>
      <c r="D37" s="285"/>
      <c r="E37" s="285"/>
      <c r="J37" s="373"/>
      <c r="L37" s="313"/>
      <c r="M37" s="313"/>
      <c r="N37" s="313"/>
      <c r="O37" s="313"/>
      <c r="R37" s="307"/>
      <c r="S37" s="307"/>
      <c r="T37" s="289"/>
      <c r="U37" s="375">
        <f t="shared" si="4"/>
        <v>25</v>
      </c>
      <c r="V37" s="480" t="s">
        <v>679</v>
      </c>
      <c r="W37" s="147">
        <f>'[45]Lead E'!$C$38</f>
        <v>24157767.119999997</v>
      </c>
      <c r="X37" s="69"/>
      <c r="Y37" s="69"/>
      <c r="Z37" s="375">
        <f t="shared" si="11"/>
        <v>25</v>
      </c>
      <c r="AA37" s="377" t="str">
        <f>'[15]Lead E'!B36</f>
        <v>BEP</v>
      </c>
      <c r="AB37" s="646" t="s">
        <v>1160</v>
      </c>
      <c r="AC37" s="646"/>
      <c r="AD37" s="646"/>
      <c r="AE37" s="198"/>
      <c r="AF37" s="299"/>
      <c r="AG37" s="299"/>
      <c r="AH37" s="299"/>
      <c r="AI37" s="299"/>
      <c r="AJ37" s="605"/>
      <c r="AK37" s="605"/>
      <c r="AL37" s="605"/>
      <c r="AM37" s="605"/>
      <c r="AN37" s="605"/>
      <c r="AO37" s="583">
        <f t="shared" si="13"/>
        <v>25</v>
      </c>
      <c r="AP37" s="605"/>
      <c r="AQ37" s="340"/>
      <c r="AR37" s="402"/>
      <c r="AS37" s="340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/>
      <c r="BE37"/>
      <c r="BF37"/>
      <c r="BG37"/>
      <c r="BH37"/>
      <c r="BI37" s="482">
        <f t="shared" si="15"/>
        <v>25</v>
      </c>
      <c r="BJ37" s="631" t="s">
        <v>710</v>
      </c>
      <c r="BK37" s="307">
        <f>AC51</f>
        <v>-1381851.7170492394</v>
      </c>
      <c r="BL37" s="285">
        <f t="shared" ref="BL37:BL46" si="30">-BK37*$BL$13</f>
        <v>35025.795472047073</v>
      </c>
      <c r="BM37" s="307">
        <f>-BL37*$BM$11</f>
        <v>-12259.028415216475</v>
      </c>
      <c r="BN37" s="375"/>
      <c r="BO37" s="319"/>
      <c r="BP37" s="285"/>
      <c r="BQ37" s="285"/>
      <c r="BR37" s="285"/>
      <c r="CC37" s="308"/>
      <c r="CD37" s="287"/>
      <c r="CE37" s="287"/>
      <c r="CF37" s="287"/>
      <c r="CG37" s="287"/>
    </row>
    <row r="38" spans="1:85">
      <c r="A38" s="375"/>
      <c r="B38" s="319"/>
      <c r="C38" s="285"/>
      <c r="D38" s="285"/>
      <c r="E38" s="285"/>
      <c r="L38" s="313"/>
      <c r="M38" s="313"/>
      <c r="N38" s="313"/>
      <c r="O38" s="313"/>
      <c r="P38" s="263"/>
      <c r="Q38" s="263"/>
      <c r="R38" s="263"/>
      <c r="S38" s="307"/>
      <c r="T38" s="289"/>
      <c r="U38" s="375">
        <f t="shared" si="4"/>
        <v>26</v>
      </c>
      <c r="V38" s="480" t="s">
        <v>818</v>
      </c>
      <c r="W38" s="147">
        <f>'[45]Lead E'!$C$39</f>
        <v>8269006</v>
      </c>
      <c r="X38" s="69"/>
      <c r="Y38" s="69"/>
      <c r="Z38" s="375">
        <f>+Z37+1</f>
        <v>26</v>
      </c>
      <c r="AA38" s="377" t="str">
        <f>'[15]Lead E'!B37</f>
        <v>WESTCOAST PIPELINE CAPACITY - UE-082013 (FB ENERGY)</v>
      </c>
      <c r="AB38" s="646" t="s">
        <v>1160</v>
      </c>
      <c r="AC38" s="646"/>
      <c r="AD38" s="646"/>
      <c r="AE38" s="198"/>
      <c r="AF38" s="299"/>
      <c r="AG38" s="299"/>
      <c r="AH38" s="299"/>
      <c r="AI38" s="299"/>
      <c r="AO38" s="583">
        <f t="shared" si="13"/>
        <v>26</v>
      </c>
      <c r="AP38" s="602" t="s">
        <v>13</v>
      </c>
      <c r="AQ38" s="603">
        <v>0.35</v>
      </c>
      <c r="AR38" s="402"/>
      <c r="AS38" s="733">
        <f>-AS34*AQ38</f>
        <v>1160.9741459398122</v>
      </c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/>
      <c r="BE38"/>
      <c r="BF38"/>
      <c r="BG38"/>
      <c r="BH38"/>
      <c r="BI38" s="482">
        <f t="shared" si="15"/>
        <v>26</v>
      </c>
      <c r="BJ38" s="631" t="s">
        <v>711</v>
      </c>
      <c r="BK38" s="307">
        <f>AC50</f>
        <v>-400021.52129608387</v>
      </c>
      <c r="BL38" s="285">
        <f t="shared" si="30"/>
        <v>10139.345500291838</v>
      </c>
      <c r="BM38" s="307">
        <f t="shared" ref="BM38:BM46" si="31">-BL38*$BM$11</f>
        <v>-3548.7709251021433</v>
      </c>
      <c r="BN38" s="375"/>
      <c r="BO38" s="319"/>
      <c r="BP38" s="285"/>
      <c r="BQ38" s="285"/>
      <c r="BR38" s="285"/>
      <c r="CC38" s="308"/>
      <c r="CD38" s="374"/>
      <c r="CE38" s="374"/>
      <c r="CF38" s="374"/>
      <c r="CG38" s="374"/>
    </row>
    <row r="39" spans="1:85" ht="13.5" thickBot="1">
      <c r="A39" s="375"/>
      <c r="B39" s="319"/>
      <c r="C39" s="285"/>
      <c r="D39" s="285"/>
      <c r="E39" s="285"/>
      <c r="L39" s="313"/>
      <c r="M39" s="313"/>
      <c r="N39" s="313"/>
      <c r="O39" s="313"/>
      <c r="P39" s="264"/>
      <c r="Q39" s="264"/>
      <c r="R39" s="264"/>
      <c r="S39" s="265" t="s">
        <v>281</v>
      </c>
      <c r="T39" s="289"/>
      <c r="U39" s="375">
        <f t="shared" si="4"/>
        <v>27</v>
      </c>
      <c r="V39" s="69" t="s">
        <v>606</v>
      </c>
      <c r="W39" s="558">
        <f>SUM(W34:W38)</f>
        <v>38102593.43</v>
      </c>
      <c r="X39" s="474"/>
      <c r="Y39" s="474"/>
      <c r="Z39" s="375">
        <f t="shared" si="11"/>
        <v>27</v>
      </c>
      <c r="AA39" s="377" t="str">
        <f>'[15]Lead E'!B38</f>
        <v>WESTCOAST PIPELINE CAPACITY - UE-100503 (BNP PARIBUS)</v>
      </c>
      <c r="AB39" s="646" t="s">
        <v>1160</v>
      </c>
      <c r="AC39" s="646"/>
      <c r="AD39" s="646"/>
      <c r="AE39" s="198"/>
      <c r="AF39" s="300"/>
      <c r="AG39" s="299"/>
      <c r="AH39" s="299"/>
      <c r="AI39" s="299"/>
      <c r="AO39" s="583">
        <f t="shared" si="13"/>
        <v>27</v>
      </c>
      <c r="AP39" s="602" t="s">
        <v>120</v>
      </c>
      <c r="AQ39" s="340"/>
      <c r="AR39" s="402"/>
      <c r="AS39" s="320">
        <f>-AS34-AS38</f>
        <v>2156.0948424596518</v>
      </c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/>
      <c r="BE39"/>
      <c r="BF39"/>
      <c r="BG39"/>
      <c r="BH39"/>
      <c r="BI39" s="482">
        <f t="shared" si="15"/>
        <v>27</v>
      </c>
      <c r="BJ39" s="631" t="s">
        <v>712</v>
      </c>
      <c r="BK39" s="307">
        <f>AC52</f>
        <v>3786307.8400000003</v>
      </c>
      <c r="BL39" s="285">
        <f t="shared" si="30"/>
        <v>-95971.54482048002</v>
      </c>
      <c r="BM39" s="307">
        <f t="shared" si="31"/>
        <v>33590.040687168002</v>
      </c>
      <c r="BN39" s="375"/>
      <c r="BO39" s="319"/>
      <c r="BP39" s="285"/>
      <c r="BQ39" s="285"/>
      <c r="BR39" s="285"/>
      <c r="CD39" s="374"/>
      <c r="CE39" s="374"/>
      <c r="CF39" s="374"/>
      <c r="CG39" s="374"/>
    </row>
    <row r="40" spans="1:85" ht="13.5" thickTop="1">
      <c r="A40" s="375"/>
      <c r="B40" s="319"/>
      <c r="C40" s="319"/>
      <c r="D40" s="319"/>
      <c r="E40" s="319"/>
      <c r="L40" s="313"/>
      <c r="M40" s="313"/>
      <c r="N40" s="313"/>
      <c r="O40" s="313"/>
      <c r="P40" s="263"/>
      <c r="Q40" s="264"/>
      <c r="R40" s="264"/>
      <c r="S40" s="265"/>
      <c r="T40" s="289"/>
      <c r="U40" s="375">
        <f t="shared" si="4"/>
        <v>28</v>
      </c>
      <c r="V40" s="69"/>
      <c r="W40" s="474"/>
      <c r="X40" s="474"/>
      <c r="Y40" s="474"/>
      <c r="Z40" s="375">
        <f t="shared" si="11"/>
        <v>28</v>
      </c>
      <c r="AA40" s="377" t="str">
        <f>'[15]Lead E'!B39</f>
        <v>MINT FARM DEFFRED - UE-090704 (FERC 407.3)</v>
      </c>
      <c r="AB40" s="780">
        <f>'[15]Lead E'!C39</f>
        <v>2885052</v>
      </c>
      <c r="AC40" s="780">
        <f>'[15]Lead E'!D39</f>
        <v>2885052</v>
      </c>
      <c r="AD40" s="780">
        <f t="shared" ref="AD40:AD52" si="32">+AC40-AB40</f>
        <v>0</v>
      </c>
      <c r="AE40" s="198"/>
      <c r="AF40" s="299"/>
      <c r="AG40" s="299"/>
      <c r="AH40" s="299"/>
      <c r="AI40" s="299"/>
      <c r="AO40" s="583"/>
      <c r="AP40" s="605"/>
      <c r="AQ40" s="340"/>
      <c r="AR40" s="402"/>
      <c r="AS40" s="340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/>
      <c r="BE40"/>
      <c r="BF40"/>
      <c r="BG40"/>
      <c r="BH40"/>
      <c r="BI40" s="482">
        <f t="shared" si="15"/>
        <v>28</v>
      </c>
      <c r="BJ40" s="631" t="s">
        <v>713</v>
      </c>
      <c r="BK40" s="534">
        <f>AC40</f>
        <v>2885052</v>
      </c>
      <c r="BL40" s="285">
        <f t="shared" si="30"/>
        <v>-73127.413044000001</v>
      </c>
      <c r="BM40" s="307">
        <f t="shared" si="31"/>
        <v>25594.594565399999</v>
      </c>
      <c r="BN40" s="375"/>
      <c r="BO40" s="319"/>
      <c r="BP40" s="319"/>
      <c r="BQ40" s="319"/>
      <c r="BR40" s="319"/>
      <c r="CC40" s="375"/>
      <c r="CD40" s="234"/>
      <c r="CE40" s="234"/>
      <c r="CF40" s="234"/>
      <c r="CG40" s="234"/>
    </row>
    <row r="41" spans="1:85">
      <c r="A41" s="375"/>
      <c r="B41" s="319"/>
      <c r="C41" s="319"/>
      <c r="D41" s="319"/>
      <c r="E41" s="319"/>
      <c r="L41" s="313"/>
      <c r="M41" s="313"/>
      <c r="N41" s="313"/>
      <c r="O41" s="313"/>
      <c r="P41" s="263"/>
      <c r="Q41" s="266"/>
      <c r="R41" s="267"/>
      <c r="S41" s="265" t="s">
        <v>281</v>
      </c>
      <c r="T41" s="289"/>
      <c r="U41" s="375">
        <f t="shared" si="4"/>
        <v>29</v>
      </c>
      <c r="V41" s="69" t="s">
        <v>1138</v>
      </c>
      <c r="W41" s="474"/>
      <c r="X41" s="922">
        <f>W39/48*12</f>
        <v>9525648.3574999999</v>
      </c>
      <c r="Y41" s="474"/>
      <c r="Z41" s="375">
        <f t="shared" si="11"/>
        <v>29</v>
      </c>
      <c r="AA41" s="377" t="str">
        <f>'[15]Lead E'!B40</f>
        <v>CHELAN PUD</v>
      </c>
      <c r="AB41" s="646" t="s">
        <v>1160</v>
      </c>
      <c r="AC41" s="646"/>
      <c r="AD41" s="646"/>
      <c r="AE41" s="198"/>
      <c r="AF41" s="299"/>
      <c r="AG41" s="294"/>
      <c r="AH41" s="294"/>
      <c r="AI41" s="294"/>
      <c r="AO41" s="176"/>
      <c r="AP41" s="340"/>
      <c r="AQ41" s="340"/>
      <c r="AR41" s="402"/>
      <c r="AS41" s="340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/>
      <c r="BE41"/>
      <c r="BF41"/>
      <c r="BG41"/>
      <c r="BH41"/>
      <c r="BI41" s="482">
        <f t="shared" si="15"/>
        <v>29</v>
      </c>
      <c r="BJ41" s="631" t="s">
        <v>714</v>
      </c>
      <c r="BK41" s="534">
        <f>AC46</f>
        <v>0</v>
      </c>
      <c r="BL41" s="285">
        <f t="shared" si="30"/>
        <v>0</v>
      </c>
      <c r="BM41" s="307">
        <f t="shared" si="31"/>
        <v>0</v>
      </c>
      <c r="BN41" s="375"/>
      <c r="BO41" s="319"/>
      <c r="BP41" s="319"/>
      <c r="BQ41" s="319"/>
      <c r="BR41" s="319"/>
      <c r="CC41" s="375"/>
    </row>
    <row r="42" spans="1:85">
      <c r="A42" s="375"/>
      <c r="B42" s="319"/>
      <c r="C42" s="319"/>
      <c r="D42" s="319"/>
      <c r="E42" s="319"/>
      <c r="L42" s="313"/>
      <c r="M42" s="313"/>
      <c r="N42" s="313"/>
      <c r="O42" s="313"/>
      <c r="P42" s="263"/>
      <c r="Q42" s="263"/>
      <c r="R42" s="263"/>
      <c r="S42" s="265" t="s">
        <v>281</v>
      </c>
      <c r="T42" s="289"/>
      <c r="U42" s="375">
        <f t="shared" si="4"/>
        <v>30</v>
      </c>
      <c r="V42" s="69"/>
      <c r="W42" s="474"/>
      <c r="X42" s="474"/>
      <c r="Y42" s="474"/>
      <c r="Z42" s="375">
        <f t="shared" si="11"/>
        <v>30</v>
      </c>
      <c r="AA42" s="377" t="str">
        <f>'[15]Lead E'!B41</f>
        <v>COLSTRIP 1&amp;2 (WECo) PREPAYMENT</v>
      </c>
      <c r="AB42" s="646" t="s">
        <v>1160</v>
      </c>
      <c r="AC42" s="646"/>
      <c r="AD42" s="646"/>
      <c r="AE42" s="198"/>
      <c r="AF42" s="300"/>
      <c r="AG42" s="299"/>
      <c r="AH42" s="299"/>
      <c r="AI42" s="299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/>
      <c r="BE42"/>
      <c r="BF42"/>
      <c r="BG42"/>
      <c r="BH42"/>
      <c r="BI42" s="482">
        <f t="shared" si="15"/>
        <v>30</v>
      </c>
      <c r="BJ42" s="631" t="s">
        <v>715</v>
      </c>
      <c r="BK42" s="534">
        <f>AC49</f>
        <v>4520422.508572978</v>
      </c>
      <c r="BL42" s="285">
        <f t="shared" si="30"/>
        <v>-114579.14932479928</v>
      </c>
      <c r="BM42" s="307">
        <f t="shared" si="31"/>
        <v>40102.702263679741</v>
      </c>
      <c r="BN42" s="375"/>
      <c r="BO42" s="319"/>
      <c r="BP42" s="319"/>
      <c r="BQ42" s="319"/>
      <c r="BR42" s="319"/>
    </row>
    <row r="43" spans="1:85">
      <c r="A43" s="375"/>
      <c r="B43" s="319"/>
      <c r="C43" s="319"/>
      <c r="D43" s="319"/>
      <c r="E43" s="319"/>
      <c r="L43" s="313"/>
      <c r="M43" s="313"/>
      <c r="N43" s="313"/>
      <c r="O43" s="313"/>
      <c r="P43" s="263"/>
      <c r="Q43" s="266"/>
      <c r="R43" s="267"/>
      <c r="S43" s="265" t="s">
        <v>281</v>
      </c>
      <c r="T43" s="307"/>
      <c r="U43" s="375">
        <f t="shared" si="4"/>
        <v>31</v>
      </c>
      <c r="V43" s="308"/>
      <c r="W43" s="474"/>
      <c r="X43" s="474"/>
      <c r="Y43" s="474"/>
      <c r="Z43" s="375">
        <f>+Z42+1</f>
        <v>31</v>
      </c>
      <c r="AA43" s="377" t="str">
        <f>'[15]Lead E'!B42</f>
        <v>FERC PART 12 STUDY NON-CONSTRUCTION COSTS UE-070074 (FERC 407)</v>
      </c>
      <c r="AB43" s="285">
        <f>'[15]Lead E'!C42</f>
        <v>241268.10200000007</v>
      </c>
      <c r="AC43" s="285">
        <f>'[15]Lead E'!D42</f>
        <v>0</v>
      </c>
      <c r="AD43" s="285">
        <f t="shared" si="32"/>
        <v>-241268.10200000007</v>
      </c>
      <c r="AE43" s="198"/>
      <c r="BD43"/>
      <c r="BE43"/>
      <c r="BF43"/>
      <c r="BG43"/>
      <c r="BH43"/>
      <c r="BI43" s="482">
        <f t="shared" si="15"/>
        <v>31</v>
      </c>
      <c r="BJ43" s="631" t="s">
        <v>717</v>
      </c>
      <c r="BK43" s="534">
        <f>AC47</f>
        <v>561126.34087998548</v>
      </c>
      <c r="BL43" s="285">
        <f t="shared" si="30"/>
        <v>-14222.869362284993</v>
      </c>
      <c r="BM43" s="307">
        <f t="shared" si="31"/>
        <v>4978.0042767997475</v>
      </c>
      <c r="BN43" s="375"/>
      <c r="BO43" s="319"/>
      <c r="BP43" s="319"/>
      <c r="BQ43" s="319"/>
      <c r="BR43" s="319"/>
    </row>
    <row r="44" spans="1:85">
      <c r="A44" s="375"/>
      <c r="B44" s="319"/>
      <c r="C44" s="319"/>
      <c r="D44" s="319"/>
      <c r="E44" s="319"/>
      <c r="L44" s="313"/>
      <c r="M44" s="313"/>
      <c r="N44" s="313"/>
      <c r="O44" s="313"/>
      <c r="P44" s="268"/>
      <c r="Q44" s="266"/>
      <c r="R44" s="267"/>
      <c r="S44" s="269"/>
      <c r="T44" s="307"/>
      <c r="U44" s="375">
        <f>U43+1</f>
        <v>32</v>
      </c>
      <c r="V44" s="69" t="s">
        <v>45</v>
      </c>
      <c r="W44" s="474"/>
      <c r="X44" s="474"/>
      <c r="Y44" s="474"/>
      <c r="Z44" s="375">
        <f>+Z43+1</f>
        <v>32</v>
      </c>
      <c r="AA44" s="377" t="str">
        <f>'[15]Lead E'!B43</f>
        <v>LOWER SNAKE RIVER PP TRANSM PRINCIPAL $99.8M</v>
      </c>
      <c r="AB44" s="646" t="s">
        <v>1160</v>
      </c>
      <c r="AC44" s="646"/>
      <c r="AD44" s="646"/>
      <c r="AE44" s="375"/>
      <c r="AF44" s="301"/>
      <c r="AG44" s="302"/>
      <c r="AH44" s="302"/>
      <c r="AI44" s="299"/>
      <c r="BD44"/>
      <c r="BE44"/>
      <c r="BF44"/>
      <c r="BG44"/>
      <c r="BH44"/>
      <c r="BI44" s="482">
        <f t="shared" si="15"/>
        <v>32</v>
      </c>
      <c r="BJ44" s="631" t="s">
        <v>716</v>
      </c>
      <c r="BK44" s="534">
        <f>AC48</f>
        <v>2203436.1529896799</v>
      </c>
      <c r="BL44" s="285">
        <f t="shared" si="30"/>
        <v>-55850.496169829421</v>
      </c>
      <c r="BM44" s="307">
        <f t="shared" si="31"/>
        <v>19547.673659440297</v>
      </c>
      <c r="BN44" s="375"/>
      <c r="BO44" s="319"/>
      <c r="BP44" s="319"/>
      <c r="BQ44" s="319"/>
      <c r="BR44" s="319"/>
    </row>
    <row r="45" spans="1:85">
      <c r="A45" s="375"/>
      <c r="B45" s="319"/>
      <c r="C45" s="319"/>
      <c r="D45" s="319"/>
      <c r="E45" s="319"/>
      <c r="L45" s="313"/>
      <c r="M45" s="313"/>
      <c r="N45" s="313"/>
      <c r="O45" s="313"/>
      <c r="P45" s="263"/>
      <c r="Q45" s="263"/>
      <c r="R45" s="268"/>
      <c r="S45" s="265" t="s">
        <v>281</v>
      </c>
      <c r="T45" s="307"/>
      <c r="U45" s="375">
        <f t="shared" si="4"/>
        <v>33</v>
      </c>
      <c r="V45" s="69" t="s">
        <v>1143</v>
      </c>
      <c r="W45" s="474"/>
      <c r="X45" s="474"/>
      <c r="Z45" s="375">
        <f t="shared" si="11"/>
        <v>33</v>
      </c>
      <c r="AA45" s="377" t="str">
        <f>'[15]Lead E'!B44</f>
        <v>CARRYING CHARGES ON LSR PP TRANSM $99.8M (FERC 407.3)</v>
      </c>
      <c r="AB45" s="285">
        <f>'[15]Lead E'!C44</f>
        <v>687420</v>
      </c>
      <c r="AC45" s="285">
        <f>'[15]Lead E'!D44</f>
        <v>687420</v>
      </c>
      <c r="AD45" s="285">
        <f t="shared" si="32"/>
        <v>0</v>
      </c>
      <c r="AE45" s="36"/>
      <c r="BI45" s="482">
        <f t="shared" si="15"/>
        <v>33</v>
      </c>
      <c r="BJ45" s="631" t="s">
        <v>718</v>
      </c>
      <c r="BK45" s="534">
        <f>AC43</f>
        <v>0</v>
      </c>
      <c r="BL45" s="285">
        <f t="shared" si="30"/>
        <v>0</v>
      </c>
      <c r="BM45" s="307">
        <f t="shared" si="31"/>
        <v>0</v>
      </c>
      <c r="BN45" s="375"/>
      <c r="BO45" s="319"/>
      <c r="BP45" s="319"/>
      <c r="BQ45" s="319"/>
      <c r="BR45" s="319"/>
      <c r="CC45" s="36"/>
    </row>
    <row r="46" spans="1:85">
      <c r="A46" s="375"/>
      <c r="B46" s="319"/>
      <c r="C46" s="319"/>
      <c r="D46" s="319"/>
      <c r="E46" s="319"/>
      <c r="L46" s="313"/>
      <c r="M46" s="313"/>
      <c r="N46" s="313"/>
      <c r="O46" s="313"/>
      <c r="P46" s="263"/>
      <c r="Q46" s="263"/>
      <c r="R46" s="268"/>
      <c r="S46" s="265"/>
      <c r="T46" s="307"/>
      <c r="U46" s="375">
        <f t="shared" si="4"/>
        <v>34</v>
      </c>
      <c r="V46" s="480" t="s">
        <v>58</v>
      </c>
      <c r="W46" s="147">
        <f>'[45]Lead E'!$C$46</f>
        <v>6632821</v>
      </c>
      <c r="X46" s="474"/>
      <c r="Z46" s="375">
        <f t="shared" si="11"/>
        <v>34</v>
      </c>
      <c r="AA46" s="377" t="str">
        <f>'[15]Lead E'!B45</f>
        <v>LOWER SNAKE RIVER PLANT DEFERRAL $18.3M  (FERC 407.3)</v>
      </c>
      <c r="AB46" s="285">
        <f>'[15]Lead E'!C45</f>
        <v>2624776.7668181919</v>
      </c>
      <c r="AC46" s="285">
        <f>'[15]Lead E'!D45</f>
        <v>0</v>
      </c>
      <c r="AD46" s="285">
        <f t="shared" si="32"/>
        <v>-2624776.7668181919</v>
      </c>
      <c r="BI46" s="482">
        <f t="shared" si="15"/>
        <v>34</v>
      </c>
      <c r="BJ46" s="631" t="s">
        <v>719</v>
      </c>
      <c r="BK46" s="348">
        <f>AC45</f>
        <v>687420</v>
      </c>
      <c r="BL46" s="285">
        <f t="shared" si="30"/>
        <v>-17424.034740000003</v>
      </c>
      <c r="BM46" s="307">
        <f t="shared" si="31"/>
        <v>6098.4121590000004</v>
      </c>
      <c r="BN46" s="375"/>
      <c r="BO46" s="319"/>
      <c r="BP46" s="319"/>
      <c r="BQ46" s="319"/>
      <c r="BR46" s="319"/>
      <c r="CC46" s="36"/>
    </row>
    <row r="47" spans="1:85" ht="13.5" customHeight="1">
      <c r="A47" s="375"/>
      <c r="B47" s="319"/>
      <c r="C47" s="319"/>
      <c r="D47" s="319"/>
      <c r="E47" s="319"/>
      <c r="L47" s="313"/>
      <c r="M47" s="313"/>
      <c r="N47" s="313"/>
      <c r="O47" s="313"/>
      <c r="P47" s="269"/>
      <c r="Q47" s="265" t="s">
        <v>281</v>
      </c>
      <c r="R47" s="269"/>
      <c r="S47" s="265"/>
      <c r="T47" s="307"/>
      <c r="U47" s="375">
        <f t="shared" si="4"/>
        <v>35</v>
      </c>
      <c r="V47" s="480" t="s">
        <v>610</v>
      </c>
      <c r="W47" s="308"/>
      <c r="X47" s="308"/>
      <c r="Z47" s="375">
        <f t="shared" si="11"/>
        <v>35</v>
      </c>
      <c r="AA47" s="377" t="str">
        <f>'[15]Lead E'!B46</f>
        <v>BAKER LICENSE UPGRADE DEFERRAL (2013 PCORC) (FERC 407.3)</v>
      </c>
      <c r="AB47" s="285">
        <f>'[15]Lead E'!C46</f>
        <v>673351.60905598255</v>
      </c>
      <c r="AC47" s="285">
        <f>'[15]Lead E'!D46</f>
        <v>561126.34087998548</v>
      </c>
      <c r="AD47" s="285">
        <f>+AC47-AB47</f>
        <v>-112225.26817599707</v>
      </c>
      <c r="AV47" s="631"/>
      <c r="BA47" s="631"/>
      <c r="BI47" s="482">
        <f t="shared" si="15"/>
        <v>35</v>
      </c>
      <c r="BJ47" s="631" t="s">
        <v>675</v>
      </c>
      <c r="BK47" s="517">
        <f>SUM(BK35:BK46)</f>
        <v>19551068.153878618</v>
      </c>
      <c r="BL47" s="517">
        <f>SUM(BL35:BL46)</f>
        <v>-495560.92449636129</v>
      </c>
      <c r="BM47" s="517">
        <f>SUM(BM35:BM46)</f>
        <v>173446.32357372643</v>
      </c>
      <c r="BN47" s="375"/>
      <c r="BO47" s="319"/>
      <c r="BP47" s="319"/>
      <c r="BQ47" s="319"/>
      <c r="BR47" s="319"/>
      <c r="CC47" s="36"/>
    </row>
    <row r="48" spans="1:85">
      <c r="A48" s="375"/>
      <c r="B48" s="319"/>
      <c r="C48" s="319"/>
      <c r="D48" s="319"/>
      <c r="E48" s="319"/>
      <c r="L48" s="313"/>
      <c r="M48" s="313"/>
      <c r="N48" s="313"/>
      <c r="O48" s="313"/>
      <c r="P48" s="269"/>
      <c r="Q48" s="265" t="s">
        <v>281</v>
      </c>
      <c r="R48" s="269"/>
      <c r="S48" s="265"/>
      <c r="T48" s="307"/>
      <c r="U48" s="375">
        <f t="shared" si="4"/>
        <v>36</v>
      </c>
      <c r="V48" s="925" t="s">
        <v>1148</v>
      </c>
      <c r="W48" s="474"/>
      <c r="X48" s="147">
        <f>W46/10*10</f>
        <v>6632821</v>
      </c>
      <c r="Z48" s="375">
        <f t="shared" si="11"/>
        <v>36</v>
      </c>
      <c r="AA48" s="377" t="str">
        <f>'[15]Lead E'!B47</f>
        <v>SNOQUALMIE LICENSE UPGRADE DEFERRAL (2013 PCORC) (FERC 407.3)</v>
      </c>
      <c r="AB48" s="285">
        <f>'[15]Lead E'!C47</f>
        <v>2644123.3835876156</v>
      </c>
      <c r="AC48" s="285">
        <f>'[15]Lead E'!D47</f>
        <v>2203436.1529896799</v>
      </c>
      <c r="AD48" s="285">
        <f>+AC48-AB48</f>
        <v>-440687.23059793562</v>
      </c>
      <c r="BI48" s="482">
        <f t="shared" si="15"/>
        <v>36</v>
      </c>
      <c r="BJ48" s="820" t="s">
        <v>976</v>
      </c>
      <c r="BK48" s="821">
        <f>AC53-BK47</f>
        <v>0</v>
      </c>
      <c r="BL48" s="329"/>
      <c r="BM48" s="329"/>
      <c r="BN48" s="375"/>
      <c r="BO48" s="319"/>
      <c r="BP48" s="319"/>
      <c r="BQ48" s="319"/>
      <c r="BR48" s="319"/>
      <c r="CC48" s="36"/>
    </row>
    <row r="49" spans="1:85">
      <c r="A49" s="375"/>
      <c r="B49" s="319"/>
      <c r="C49" s="319"/>
      <c r="D49" s="319"/>
      <c r="E49" s="319"/>
      <c r="L49" s="313"/>
      <c r="M49" s="313"/>
      <c r="N49" s="313"/>
      <c r="O49" s="313"/>
      <c r="P49" s="265" t="s">
        <v>281</v>
      </c>
      <c r="Q49" s="265" t="s">
        <v>281</v>
      </c>
      <c r="R49" s="265" t="s">
        <v>281</v>
      </c>
      <c r="S49" s="265" t="s">
        <v>281</v>
      </c>
      <c r="T49" s="307"/>
      <c r="U49" s="375">
        <f t="shared" si="4"/>
        <v>37</v>
      </c>
      <c r="V49" s="308"/>
      <c r="W49" s="474"/>
      <c r="X49" s="474"/>
      <c r="Z49" s="375">
        <f t="shared" si="11"/>
        <v>37</v>
      </c>
      <c r="AA49" s="377" t="str">
        <f>'[15]Lead E'!B48</f>
        <v>FERNDALE DEFERRAL (2013 PCORC) (FERC 407.3)</v>
      </c>
      <c r="AB49" s="285">
        <f>'[15]Lead E'!C48</f>
        <v>4520422.508572978</v>
      </c>
      <c r="AC49" s="285">
        <f>'[15]Lead E'!D48</f>
        <v>4520422.508572978</v>
      </c>
      <c r="AD49" s="285">
        <f t="shared" si="32"/>
        <v>0</v>
      </c>
      <c r="AE49" s="82"/>
      <c r="BI49" s="482">
        <f t="shared" si="15"/>
        <v>37</v>
      </c>
      <c r="BJ49" s="631" t="s">
        <v>22</v>
      </c>
      <c r="BK49" s="329"/>
      <c r="BL49" s="285">
        <f>+BL22+BL28+BL33+BL47</f>
        <v>-4891531.1590478448</v>
      </c>
      <c r="BM49" s="307">
        <f>+BM22+BM28+BM33+BM47</f>
        <v>1827981.1710973671</v>
      </c>
      <c r="BN49" s="375"/>
      <c r="BO49" s="319"/>
      <c r="BP49" s="319"/>
      <c r="BQ49" s="319"/>
      <c r="BR49" s="319"/>
    </row>
    <row r="50" spans="1:85" ht="13.5" thickBot="1">
      <c r="A50" s="375"/>
      <c r="B50" s="319"/>
      <c r="C50" s="319"/>
      <c r="D50" s="319"/>
      <c r="E50" s="319"/>
      <c r="L50" s="313"/>
      <c r="M50" s="313"/>
      <c r="N50" s="313"/>
      <c r="O50" s="313"/>
      <c r="P50" s="265" t="s">
        <v>281</v>
      </c>
      <c r="Q50" s="265" t="s">
        <v>281</v>
      </c>
      <c r="R50" s="265" t="s">
        <v>281</v>
      </c>
      <c r="S50" s="265" t="s">
        <v>281</v>
      </c>
      <c r="T50" s="307"/>
      <c r="U50" s="375">
        <f t="shared" si="4"/>
        <v>38</v>
      </c>
      <c r="V50" s="505" t="s">
        <v>614</v>
      </c>
      <c r="Z50" s="375">
        <f t="shared" si="11"/>
        <v>38</v>
      </c>
      <c r="AA50" s="377" t="str">
        <f>'[15]Lead E'!B49</f>
        <v>BAKER TREASURY GRANT DEFERRAL (2014 PCORC) (FERC 407.4)</v>
      </c>
      <c r="AB50" s="285">
        <f>'[15]Lead E'!C49</f>
        <v>-480025.82555530063</v>
      </c>
      <c r="AC50" s="285">
        <f>'[15]Lead E'!D49</f>
        <v>-400021.52129608387</v>
      </c>
      <c r="AD50" s="285">
        <f t="shared" si="32"/>
        <v>80004.304259216762</v>
      </c>
      <c r="AE50" s="82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482">
        <f t="shared" si="15"/>
        <v>38</v>
      </c>
      <c r="BJ50" s="377" t="s">
        <v>15</v>
      </c>
      <c r="BK50" s="329"/>
      <c r="BL50" s="285"/>
      <c r="BM50" s="789">
        <f>-SUM(BL49:BM49)</f>
        <v>3063549.9879504777</v>
      </c>
      <c r="BN50" s="375"/>
      <c r="BO50" s="319"/>
      <c r="BP50" s="319"/>
      <c r="BQ50" s="319"/>
      <c r="BR50" s="319"/>
    </row>
    <row r="51" spans="1:85" ht="13.5" thickTop="1">
      <c r="A51" s="375"/>
      <c r="B51" s="319"/>
      <c r="C51" s="319"/>
      <c r="D51" s="319"/>
      <c r="E51" s="319"/>
      <c r="L51" s="313"/>
      <c r="M51" s="313"/>
      <c r="N51" s="313"/>
      <c r="O51" s="313"/>
      <c r="P51" s="265" t="s">
        <v>281</v>
      </c>
      <c r="Q51" s="265" t="s">
        <v>281</v>
      </c>
      <c r="R51" s="265" t="s">
        <v>281</v>
      </c>
      <c r="S51" s="265" t="s">
        <v>281</v>
      </c>
      <c r="T51" s="307"/>
      <c r="U51" s="375">
        <f t="shared" si="4"/>
        <v>39</v>
      </c>
      <c r="V51" s="480" t="s">
        <v>607</v>
      </c>
      <c r="W51" s="147">
        <f>'[45]Lead E'!$C$51</f>
        <v>60295490.299999997</v>
      </c>
      <c r="X51" s="474"/>
      <c r="Y51" s="474"/>
      <c r="Z51" s="375">
        <f t="shared" si="11"/>
        <v>39</v>
      </c>
      <c r="AA51" s="377" t="str">
        <f>'[15]Lead E'!B50</f>
        <v>SNOQUALMIE TREASURY GRANT DEFERRAL (2014 PCORC) (FERC 407.4)</v>
      </c>
      <c r="AB51" s="285">
        <f>'[15]Lead E'!C50</f>
        <v>-1658222.0604590874</v>
      </c>
      <c r="AC51" s="285">
        <f>'[15]Lead E'!D50</f>
        <v>-1381851.7170492394</v>
      </c>
      <c r="AD51" s="285">
        <f t="shared" si="32"/>
        <v>276370.34340984793</v>
      </c>
      <c r="AE51" s="82"/>
      <c r="AO51" s="373"/>
      <c r="AP51" s="373"/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373"/>
      <c r="BD51" s="373"/>
      <c r="BE51" s="373"/>
      <c r="BF51" s="373"/>
      <c r="BG51" s="373"/>
      <c r="BH51" s="373"/>
      <c r="BI51" s="482">
        <f t="shared" si="15"/>
        <v>39</v>
      </c>
      <c r="BN51" s="375"/>
      <c r="BO51" s="319"/>
      <c r="BP51" s="319"/>
      <c r="BQ51" s="319"/>
      <c r="BR51" s="319"/>
    </row>
    <row r="52" spans="1:85">
      <c r="A52" s="375"/>
      <c r="B52" s="319"/>
      <c r="C52" s="319"/>
      <c r="D52" s="319"/>
      <c r="E52" s="319"/>
      <c r="L52" s="313"/>
      <c r="M52" s="313"/>
      <c r="N52" s="313"/>
      <c r="O52" s="313"/>
      <c r="P52" s="265" t="s">
        <v>281</v>
      </c>
      <c r="Q52" s="270"/>
      <c r="R52" s="265"/>
      <c r="S52" s="265" t="s">
        <v>281</v>
      </c>
      <c r="T52" s="307"/>
      <c r="U52" s="375">
        <f t="shared" si="4"/>
        <v>40</v>
      </c>
      <c r="V52" s="480" t="s">
        <v>1140</v>
      </c>
      <c r="W52" s="474"/>
      <c r="X52" s="923">
        <f>W51/72*12</f>
        <v>10049248.383333333</v>
      </c>
      <c r="Y52" s="474"/>
      <c r="Z52" s="375">
        <f t="shared" si="11"/>
        <v>40</v>
      </c>
      <c r="AA52" s="377" t="str">
        <f>'[15]Lead E'!B51</f>
        <v>ELECTRON UNRECOVERED COST (2014 PCORC) (FERC 407.3)</v>
      </c>
      <c r="AB52" s="285">
        <f>'[15]Lead E'!C51</f>
        <v>3394820.4299999997</v>
      </c>
      <c r="AC52" s="285">
        <f>'[15]Lead E'!D51</f>
        <v>3786307.8400000003</v>
      </c>
      <c r="AD52" s="285">
        <f t="shared" si="32"/>
        <v>391487.41000000061</v>
      </c>
      <c r="AF52" s="373"/>
      <c r="AG52" s="373"/>
      <c r="AH52" s="373"/>
      <c r="AI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3"/>
      <c r="BH52" s="373"/>
      <c r="BI52" s="482">
        <f t="shared" si="15"/>
        <v>40</v>
      </c>
      <c r="BN52" s="375"/>
      <c r="BO52" s="319"/>
      <c r="BP52" s="319"/>
      <c r="BQ52" s="319"/>
      <c r="BR52" s="319"/>
      <c r="CC52" s="82"/>
    </row>
    <row r="53" spans="1:85">
      <c r="A53" s="375"/>
      <c r="B53" s="319"/>
      <c r="C53" s="319"/>
      <c r="D53" s="319"/>
      <c r="E53" s="319"/>
      <c r="L53" s="313"/>
      <c r="M53" s="313"/>
      <c r="N53" s="313"/>
      <c r="O53" s="313"/>
      <c r="P53" s="265" t="s">
        <v>281</v>
      </c>
      <c r="Q53" s="270"/>
      <c r="R53" s="265"/>
      <c r="S53" s="265" t="s">
        <v>281</v>
      </c>
      <c r="T53" s="307"/>
      <c r="U53" s="375">
        <f t="shared" si="4"/>
        <v>41</v>
      </c>
      <c r="V53" s="308"/>
      <c r="W53" s="474"/>
      <c r="X53" s="481"/>
      <c r="Y53" s="474"/>
      <c r="Z53" s="375">
        <f t="shared" si="11"/>
        <v>41</v>
      </c>
      <c r="AA53" s="377" t="s">
        <v>839</v>
      </c>
      <c r="AB53" s="919">
        <f>SUM(AB37:AB52)</f>
        <v>15532986.914020382</v>
      </c>
      <c r="AC53" s="919">
        <f>SUM(AC37:AC52)+BB23</f>
        <v>19551068.153878614</v>
      </c>
      <c r="AD53" s="919">
        <f>SUM(AD37:AD52)</f>
        <v>-2671095.3099230588</v>
      </c>
      <c r="AF53" s="373"/>
      <c r="AG53" s="373"/>
      <c r="AH53" s="373"/>
      <c r="AI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73"/>
      <c r="BF53" s="373"/>
      <c r="BG53" s="373"/>
      <c r="BH53" s="373"/>
      <c r="BI53" s="482">
        <f t="shared" si="15"/>
        <v>41</v>
      </c>
      <c r="BJ53" s="374" t="s">
        <v>1155</v>
      </c>
      <c r="BL53" s="319"/>
      <c r="BM53" s="22"/>
      <c r="BN53" s="375"/>
      <c r="BO53" s="319"/>
      <c r="BP53" s="319"/>
      <c r="BQ53" s="319"/>
      <c r="BR53" s="319"/>
      <c r="CC53" s="82"/>
      <c r="CG53" s="38"/>
    </row>
    <row r="54" spans="1:85">
      <c r="A54" s="375"/>
      <c r="B54" s="319"/>
      <c r="C54" s="319"/>
      <c r="D54" s="319"/>
      <c r="E54" s="319"/>
      <c r="L54" s="313"/>
      <c r="M54" s="313"/>
      <c r="N54" s="313"/>
      <c r="O54" s="313"/>
      <c r="R54" s="307"/>
      <c r="S54" s="307"/>
      <c r="T54" s="307"/>
      <c r="U54" s="375">
        <f t="shared" si="4"/>
        <v>42</v>
      </c>
      <c r="V54" s="69" t="s">
        <v>1139</v>
      </c>
      <c r="W54" s="474"/>
      <c r="X54" s="147">
        <f>SUM(X41:X52)</f>
        <v>26207717.740833335</v>
      </c>
      <c r="Y54" s="474"/>
      <c r="Z54" s="375">
        <f t="shared" si="11"/>
        <v>42</v>
      </c>
      <c r="AA54" s="308"/>
      <c r="AF54" s="373"/>
      <c r="AG54" s="373"/>
      <c r="AH54" s="373"/>
      <c r="AI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3"/>
      <c r="BG54" s="373"/>
      <c r="BH54" s="373"/>
      <c r="BI54" s="482">
        <f t="shared" si="15"/>
        <v>42</v>
      </c>
      <c r="BJ54" s="483" t="s">
        <v>439</v>
      </c>
      <c r="BK54" s="534"/>
      <c r="BL54" s="319"/>
      <c r="BM54" s="319"/>
      <c r="BN54" s="375"/>
      <c r="BO54" s="319"/>
      <c r="BP54" s="319"/>
      <c r="BQ54" s="319"/>
      <c r="BR54" s="319"/>
      <c r="CC54" s="82"/>
    </row>
    <row r="55" spans="1:85">
      <c r="A55" s="375"/>
      <c r="B55" s="319"/>
      <c r="C55" s="319"/>
      <c r="D55" s="319"/>
      <c r="E55" s="319"/>
      <c r="L55" s="313"/>
      <c r="M55" s="313"/>
      <c r="N55" s="313"/>
      <c r="O55" s="313"/>
      <c r="R55" s="307"/>
      <c r="S55" s="307"/>
      <c r="T55" s="307"/>
      <c r="U55" s="375">
        <f t="shared" si="4"/>
        <v>43</v>
      </c>
      <c r="V55" s="69"/>
      <c r="W55" s="474"/>
      <c r="X55" s="474"/>
      <c r="Y55" s="474"/>
      <c r="Z55" s="375">
        <f t="shared" si="11"/>
        <v>43</v>
      </c>
      <c r="AF55" s="373"/>
      <c r="AG55" s="373"/>
      <c r="AH55" s="373"/>
      <c r="AI55" s="373"/>
      <c r="AO55" s="373"/>
      <c r="AP55" s="373"/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73"/>
      <c r="BG55" s="373"/>
      <c r="BH55" s="373"/>
      <c r="BI55" s="482">
        <f t="shared" si="15"/>
        <v>43</v>
      </c>
      <c r="BJ55" s="507" t="s">
        <v>723</v>
      </c>
      <c r="BK55" s="287">
        <f>'For Prod Adj Ratebase'!B13</f>
        <v>3793178351.5276504</v>
      </c>
      <c r="BL55" s="287">
        <f t="shared" ref="BL55:BL62" si="33">-ROUND(BK55*$BL$13,0)</f>
        <v>-96145692</v>
      </c>
      <c r="BM55" s="287">
        <f t="shared" ref="BM55:BM62" si="34">SUM(BK55:BL55)</f>
        <v>3697032659.5276504</v>
      </c>
      <c r="BN55" s="375"/>
      <c r="BO55" s="319"/>
      <c r="BP55" s="319"/>
      <c r="BQ55" s="319"/>
      <c r="BR55" s="319"/>
    </row>
    <row r="56" spans="1:85">
      <c r="A56" s="375"/>
      <c r="B56" s="319"/>
      <c r="C56" s="319"/>
      <c r="D56" s="319"/>
      <c r="E56" s="319"/>
      <c r="L56" s="313"/>
      <c r="M56" s="313"/>
      <c r="N56" s="313"/>
      <c r="O56" s="313"/>
      <c r="R56" s="307"/>
      <c r="S56" s="307"/>
      <c r="T56" s="307"/>
      <c r="U56" s="375">
        <f t="shared" si="4"/>
        <v>44</v>
      </c>
      <c r="V56" s="69" t="s">
        <v>608</v>
      </c>
      <c r="W56" s="474"/>
      <c r="X56" s="147">
        <f>'[45]Lead E'!$D$55</f>
        <v>15477396</v>
      </c>
      <c r="Y56" s="474"/>
      <c r="Z56" s="375">
        <f t="shared" si="11"/>
        <v>44</v>
      </c>
      <c r="AA56" s="308"/>
      <c r="AF56" s="373"/>
      <c r="AG56" s="373"/>
      <c r="AH56" s="373"/>
      <c r="AI56" s="373"/>
      <c r="AO56" s="373"/>
      <c r="AP56" s="373"/>
      <c r="AQ56" s="373"/>
      <c r="AR56" s="373"/>
      <c r="AS56" s="373"/>
      <c r="AT56" s="373"/>
      <c r="AU56" s="373"/>
      <c r="AV56" s="373"/>
      <c r="AW56" s="373"/>
      <c r="AX56" s="373"/>
      <c r="AY56" s="373"/>
      <c r="AZ56" s="373"/>
      <c r="BA56" s="373"/>
      <c r="BB56" s="373"/>
      <c r="BC56" s="373"/>
      <c r="BD56" s="373"/>
      <c r="BE56" s="373"/>
      <c r="BF56" s="373"/>
      <c r="BG56" s="373"/>
      <c r="BH56" s="373"/>
      <c r="BI56" s="482">
        <f t="shared" si="15"/>
        <v>44</v>
      </c>
      <c r="BJ56" s="377" t="s">
        <v>440</v>
      </c>
      <c r="BK56" s="234">
        <f>'For Prod Adj Ratebase'!C13</f>
        <v>-1615202751.772563</v>
      </c>
      <c r="BL56" s="234">
        <f t="shared" si="33"/>
        <v>40940544</v>
      </c>
      <c r="BM56" s="234">
        <f t="shared" si="34"/>
        <v>-1574262207.772563</v>
      </c>
      <c r="BN56" s="375"/>
      <c r="BO56" s="319"/>
      <c r="BP56" s="319"/>
      <c r="BQ56" s="319"/>
      <c r="BR56" s="319"/>
    </row>
    <row r="57" spans="1:85">
      <c r="A57" s="375"/>
      <c r="B57" s="319"/>
      <c r="C57" s="319"/>
      <c r="D57" s="319"/>
      <c r="E57" s="319"/>
      <c r="L57" s="313"/>
      <c r="M57" s="313"/>
      <c r="N57" s="313"/>
      <c r="O57" s="313"/>
      <c r="R57" s="307"/>
      <c r="S57" s="307"/>
      <c r="T57" s="307"/>
      <c r="U57" s="375">
        <f t="shared" si="4"/>
        <v>45</v>
      </c>
      <c r="V57" s="69"/>
      <c r="W57" s="474"/>
      <c r="X57" s="557"/>
      <c r="Y57" s="474"/>
      <c r="Z57" s="375">
        <f t="shared" si="11"/>
        <v>45</v>
      </c>
      <c r="AA57" s="326" t="s">
        <v>22</v>
      </c>
      <c r="AC57" s="223"/>
      <c r="AD57" s="198">
        <f>+AD53</f>
        <v>-2671095.3099230588</v>
      </c>
      <c r="AF57" s="373"/>
      <c r="AG57" s="373"/>
      <c r="AH57" s="373"/>
      <c r="AI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482">
        <f t="shared" si="15"/>
        <v>45</v>
      </c>
      <c r="BJ57" s="377" t="s">
        <v>441</v>
      </c>
      <c r="BK57" s="234">
        <f>'For Prod Adj Ratebase'!D13</f>
        <v>80139253</v>
      </c>
      <c r="BL57" s="234">
        <f t="shared" si="33"/>
        <v>-2031290</v>
      </c>
      <c r="BM57" s="234">
        <f t="shared" si="34"/>
        <v>78107963</v>
      </c>
      <c r="BN57" s="375"/>
      <c r="BO57" s="319"/>
      <c r="BP57" s="319"/>
      <c r="BQ57" s="319"/>
      <c r="BR57" s="319"/>
    </row>
    <row r="58" spans="1:85">
      <c r="A58" s="375"/>
      <c r="B58" s="319"/>
      <c r="C58" s="319"/>
      <c r="D58" s="319"/>
      <c r="E58" s="319"/>
      <c r="R58" s="307"/>
      <c r="S58" s="307"/>
      <c r="T58" s="307"/>
      <c r="U58" s="375">
        <f t="shared" si="4"/>
        <v>46</v>
      </c>
      <c r="V58" s="69" t="s">
        <v>228</v>
      </c>
      <c r="W58" s="474"/>
      <c r="X58" s="474"/>
      <c r="Y58" s="147">
        <f>X54-X56</f>
        <v>10730321.740833335</v>
      </c>
      <c r="Z58" s="375">
        <f t="shared" si="11"/>
        <v>46</v>
      </c>
      <c r="AA58" s="308"/>
      <c r="AC58" s="223"/>
      <c r="AD58" s="138"/>
      <c r="AF58" s="373"/>
      <c r="AG58" s="373"/>
      <c r="AH58" s="373"/>
      <c r="AI58" s="373"/>
      <c r="AO58" s="373"/>
      <c r="AP58" s="29"/>
      <c r="AQ58" s="373"/>
      <c r="AR58" s="373"/>
      <c r="AS58" s="373"/>
      <c r="AT58" s="373"/>
      <c r="AU58" s="29"/>
      <c r="AV58" s="373"/>
      <c r="AW58" s="373"/>
      <c r="AX58" s="373"/>
      <c r="AY58" s="373"/>
      <c r="AZ58" s="29"/>
      <c r="BA58" s="373"/>
      <c r="BB58" s="373"/>
      <c r="BC58" s="373"/>
      <c r="BD58" s="373"/>
      <c r="BE58" s="373"/>
      <c r="BF58" s="373"/>
      <c r="BG58" s="373"/>
      <c r="BH58" s="373"/>
      <c r="BI58" s="482">
        <f t="shared" si="15"/>
        <v>46</v>
      </c>
      <c r="BJ58" s="377" t="s">
        <v>442</v>
      </c>
      <c r="BK58" s="234">
        <f>'For Prod Adj Ratebase'!E13</f>
        <v>-9933315</v>
      </c>
      <c r="BL58" s="234">
        <f t="shared" si="33"/>
        <v>251780</v>
      </c>
      <c r="BM58" s="234">
        <f t="shared" si="34"/>
        <v>-9681535</v>
      </c>
      <c r="BN58" s="375"/>
      <c r="BO58" s="319"/>
      <c r="BP58" s="319"/>
      <c r="BQ58" s="319"/>
      <c r="BR58" s="319"/>
    </row>
    <row r="59" spans="1:85">
      <c r="A59" s="375"/>
      <c r="B59" s="319"/>
      <c r="C59" s="319"/>
      <c r="D59" s="319"/>
      <c r="E59" s="319"/>
      <c r="R59" s="307"/>
      <c r="S59" s="307"/>
      <c r="T59" s="307"/>
      <c r="U59" s="375">
        <f t="shared" si="4"/>
        <v>47</v>
      </c>
      <c r="V59" s="69"/>
      <c r="W59" s="474"/>
      <c r="X59" s="474"/>
      <c r="Y59" s="474"/>
      <c r="Z59" s="375">
        <f t="shared" si="11"/>
        <v>47</v>
      </c>
      <c r="AA59" s="308" t="s">
        <v>18</v>
      </c>
      <c r="AC59" s="223">
        <v>0.35</v>
      </c>
      <c r="AD59" s="645">
        <f>-AD53*AC59</f>
        <v>934883.35847307055</v>
      </c>
      <c r="AF59" s="373"/>
      <c r="AG59" s="373"/>
      <c r="AH59" s="373"/>
      <c r="AI59" s="373"/>
      <c r="AO59" s="373"/>
      <c r="AP59" s="487"/>
      <c r="AQ59" s="373"/>
      <c r="AR59" s="373"/>
      <c r="AS59" s="373"/>
      <c r="AT59" s="373"/>
      <c r="AU59" s="487"/>
      <c r="AV59" s="373"/>
      <c r="AW59" s="373"/>
      <c r="AX59" s="373"/>
      <c r="AY59" s="373"/>
      <c r="AZ59" s="487"/>
      <c r="BA59" s="373"/>
      <c r="BB59" s="373"/>
      <c r="BC59" s="373"/>
      <c r="BD59" s="373"/>
      <c r="BE59" s="373"/>
      <c r="BF59" s="373"/>
      <c r="BG59" s="373"/>
      <c r="BH59" s="373"/>
      <c r="BI59" s="482">
        <f t="shared" si="15"/>
        <v>47</v>
      </c>
      <c r="BJ59" s="507" t="s">
        <v>370</v>
      </c>
      <c r="BK59" s="234">
        <f>+'For Prod Adj Ratebase'!I16</f>
        <v>2908282.4799999148</v>
      </c>
      <c r="BL59" s="234">
        <f t="shared" si="33"/>
        <v>-73716</v>
      </c>
      <c r="BM59" s="234">
        <f t="shared" si="34"/>
        <v>2834566.4799999148</v>
      </c>
      <c r="BN59" s="375"/>
      <c r="BO59" s="319"/>
      <c r="BP59" s="319"/>
      <c r="BQ59" s="319"/>
      <c r="BR59" s="319"/>
    </row>
    <row r="60" spans="1:85">
      <c r="A60" s="375"/>
      <c r="B60" s="319"/>
      <c r="C60" s="319"/>
      <c r="D60" s="319"/>
      <c r="E60" s="319"/>
      <c r="R60" s="307"/>
      <c r="S60" s="307"/>
      <c r="T60" s="307"/>
      <c r="U60" s="375">
        <f t="shared" si="4"/>
        <v>48</v>
      </c>
      <c r="V60" s="69" t="s">
        <v>1141</v>
      </c>
      <c r="W60" s="474"/>
      <c r="X60" s="474"/>
      <c r="Y60" s="147">
        <f>Y28+Y58</f>
        <v>10327010.259166664</v>
      </c>
      <c r="Z60" s="375">
        <f t="shared" si="11"/>
        <v>48</v>
      </c>
      <c r="AA60" s="308"/>
      <c r="AF60" s="373"/>
      <c r="AG60" s="373"/>
      <c r="AH60" s="373"/>
      <c r="AI60" s="373"/>
      <c r="AO60" s="373"/>
      <c r="AP60" s="487"/>
      <c r="AQ60" s="373"/>
      <c r="AR60" s="373"/>
      <c r="AS60" s="373"/>
      <c r="AT60" s="373"/>
      <c r="AU60" s="487"/>
      <c r="AV60" s="373"/>
      <c r="AW60" s="373"/>
      <c r="AX60" s="373"/>
      <c r="AY60" s="373"/>
      <c r="AZ60" s="487"/>
      <c r="BA60" s="373"/>
      <c r="BB60" s="373"/>
      <c r="BC60" s="373"/>
      <c r="BD60" s="373"/>
      <c r="BE60" s="373"/>
      <c r="BF60" s="373"/>
      <c r="BG60" s="373"/>
      <c r="BH60" s="373"/>
      <c r="BI60" s="482">
        <f t="shared" si="15"/>
        <v>48</v>
      </c>
      <c r="BJ60" s="507" t="s">
        <v>371</v>
      </c>
      <c r="BK60" s="234">
        <f>+'For Prod Adj Ratebase'!I17</f>
        <v>858922.41599999997</v>
      </c>
      <c r="BL60" s="234">
        <f t="shared" si="33"/>
        <v>-21771</v>
      </c>
      <c r="BM60" s="234">
        <f t="shared" si="34"/>
        <v>837151.41599999997</v>
      </c>
      <c r="BN60" s="375"/>
      <c r="BO60" s="319"/>
      <c r="BP60" s="319"/>
      <c r="BQ60" s="319"/>
      <c r="BR60" s="319"/>
    </row>
    <row r="61" spans="1:85" ht="13.5" thickBot="1">
      <c r="A61" s="375"/>
      <c r="B61" s="319"/>
      <c r="C61" s="319"/>
      <c r="D61" s="319"/>
      <c r="E61" s="319"/>
      <c r="R61" s="307"/>
      <c r="S61" s="307"/>
      <c r="T61" s="307"/>
      <c r="U61" s="375">
        <f t="shared" si="4"/>
        <v>49</v>
      </c>
      <c r="V61" s="69"/>
      <c r="W61" s="474"/>
      <c r="X61" s="474"/>
      <c r="Y61" s="474"/>
      <c r="Z61" s="375">
        <f t="shared" si="11"/>
        <v>49</v>
      </c>
      <c r="AA61" s="308" t="s">
        <v>120</v>
      </c>
      <c r="AD61" s="298">
        <f>-AD57-AD59</f>
        <v>1736211.9514499884</v>
      </c>
      <c r="AF61" s="373"/>
      <c r="AG61" s="373"/>
      <c r="AH61" s="373"/>
      <c r="AI61" s="373"/>
      <c r="AO61" s="373"/>
      <c r="AP61" s="487"/>
      <c r="AQ61" s="373"/>
      <c r="AR61" s="373"/>
      <c r="AS61" s="373"/>
      <c r="AT61" s="373"/>
      <c r="AU61" s="487"/>
      <c r="AV61" s="373"/>
      <c r="AW61" s="373"/>
      <c r="AX61" s="373"/>
      <c r="AY61" s="373"/>
      <c r="AZ61" s="487"/>
      <c r="BA61" s="373"/>
      <c r="BB61" s="373"/>
      <c r="BC61" s="373"/>
      <c r="BD61" s="373"/>
      <c r="BE61" s="373"/>
      <c r="BF61" s="373"/>
      <c r="BG61" s="373"/>
      <c r="BH61" s="373"/>
      <c r="BI61" s="482">
        <f t="shared" si="15"/>
        <v>49</v>
      </c>
      <c r="BJ61" s="507" t="s">
        <v>443</v>
      </c>
      <c r="BK61" s="234">
        <f>'For Prod Adj Ratebase'!F13</f>
        <v>281543145</v>
      </c>
      <c r="BL61" s="234">
        <f t="shared" si="33"/>
        <v>-7136274</v>
      </c>
      <c r="BM61" s="234">
        <f t="shared" si="34"/>
        <v>274406871</v>
      </c>
      <c r="BN61" s="375"/>
      <c r="BO61" s="319"/>
      <c r="BP61" s="319"/>
      <c r="BQ61" s="319"/>
      <c r="BR61" s="319"/>
    </row>
    <row r="62" spans="1:85" ht="13.5" thickTop="1">
      <c r="A62" s="375"/>
      <c r="B62" s="319"/>
      <c r="C62" s="319"/>
      <c r="D62" s="319"/>
      <c r="E62" s="319"/>
      <c r="R62" s="307"/>
      <c r="S62" s="307"/>
      <c r="T62" s="307"/>
      <c r="U62" s="375">
        <f t="shared" si="4"/>
        <v>50</v>
      </c>
      <c r="V62" s="69" t="s">
        <v>1142</v>
      </c>
      <c r="W62" s="474"/>
      <c r="X62" s="478">
        <f>k_FITrate</f>
        <v>0.35</v>
      </c>
      <c r="Y62" s="419">
        <f>-Y60*X62</f>
        <v>-3614453.5907083321</v>
      </c>
      <c r="Z62" s="375">
        <f t="shared" si="11"/>
        <v>50</v>
      </c>
      <c r="AA62" s="313"/>
      <c r="AB62" s="319"/>
      <c r="AC62" s="319"/>
      <c r="AD62" s="319"/>
      <c r="AF62" s="373"/>
      <c r="AG62" s="373"/>
      <c r="AH62" s="373"/>
      <c r="AI62" s="373"/>
      <c r="AO62" s="373"/>
      <c r="AP62" s="487"/>
      <c r="AQ62" s="373"/>
      <c r="AR62" s="373"/>
      <c r="AS62" s="373"/>
      <c r="AT62" s="373"/>
      <c r="AU62" s="487"/>
      <c r="AV62" s="373"/>
      <c r="AW62" s="373"/>
      <c r="AX62" s="373"/>
      <c r="AY62" s="373"/>
      <c r="AZ62" s="487"/>
      <c r="BA62" s="373"/>
      <c r="BB62" s="373"/>
      <c r="BC62" s="373"/>
      <c r="BD62" s="373"/>
      <c r="BE62" s="373"/>
      <c r="BF62" s="373"/>
      <c r="BG62" s="373"/>
      <c r="BH62" s="373"/>
      <c r="BI62" s="482">
        <f t="shared" si="15"/>
        <v>50</v>
      </c>
      <c r="BJ62" s="377" t="s">
        <v>444</v>
      </c>
      <c r="BK62" s="234">
        <f>'For Prod Adj Ratebase'!G13</f>
        <v>-113037112</v>
      </c>
      <c r="BL62" s="234">
        <f t="shared" si="33"/>
        <v>2865152</v>
      </c>
      <c r="BM62" s="234">
        <f t="shared" si="34"/>
        <v>-110171960</v>
      </c>
      <c r="BN62" s="375"/>
      <c r="BO62" s="319"/>
      <c r="BP62" s="319"/>
      <c r="BQ62" s="319"/>
      <c r="BR62" s="319"/>
    </row>
    <row r="63" spans="1:85">
      <c r="A63" s="375"/>
      <c r="B63" s="319"/>
      <c r="C63" s="319"/>
      <c r="D63" s="319"/>
      <c r="E63" s="319"/>
      <c r="R63" s="307"/>
      <c r="S63" s="307"/>
      <c r="T63" s="307"/>
      <c r="U63" s="375">
        <f t="shared" si="4"/>
        <v>51</v>
      </c>
      <c r="V63" s="69"/>
      <c r="W63" s="474"/>
      <c r="X63" s="474"/>
      <c r="Y63" s="474"/>
      <c r="Z63" s="375">
        <f t="shared" si="11"/>
        <v>51</v>
      </c>
      <c r="AA63" s="313"/>
      <c r="AB63" s="319"/>
      <c r="AC63" s="319"/>
      <c r="AD63" s="319"/>
      <c r="AF63" s="373"/>
      <c r="AG63" s="373"/>
      <c r="AH63" s="373"/>
      <c r="AI63" s="373"/>
      <c r="AO63" s="373"/>
      <c r="AP63" s="487"/>
      <c r="AQ63" s="373"/>
      <c r="AR63" s="373"/>
      <c r="AS63" s="373"/>
      <c r="AT63" s="373"/>
      <c r="AU63" s="487"/>
      <c r="AV63" s="373"/>
      <c r="AW63" s="373"/>
      <c r="AX63" s="373"/>
      <c r="AY63" s="373"/>
      <c r="AZ63" s="487"/>
      <c r="BA63" s="373"/>
      <c r="BB63" s="373"/>
      <c r="BC63" s="373"/>
      <c r="BD63" s="373"/>
      <c r="BE63" s="373"/>
      <c r="BF63" s="373"/>
      <c r="BG63" s="373"/>
      <c r="BH63" s="373"/>
      <c r="BI63" s="482">
        <f t="shared" si="15"/>
        <v>51</v>
      </c>
      <c r="BJ63" s="631" t="s">
        <v>30</v>
      </c>
      <c r="BK63" s="322">
        <f>SUM(BK55:BK62)</f>
        <v>2420454775.6510873</v>
      </c>
      <c r="BL63" s="322">
        <f>SUM(BL55:BL62)</f>
        <v>-61351267</v>
      </c>
      <c r="BM63" s="322">
        <f>SUM(BM55:BM62)</f>
        <v>2359103508.6510873</v>
      </c>
      <c r="BN63" s="375"/>
      <c r="BO63" s="319"/>
      <c r="BP63" s="319"/>
      <c r="BQ63" s="319"/>
      <c r="BR63" s="319"/>
    </row>
    <row r="64" spans="1:85" ht="13.5" thickBot="1">
      <c r="A64" s="375"/>
      <c r="B64" s="319"/>
      <c r="C64" s="319"/>
      <c r="D64" s="319"/>
      <c r="E64" s="319"/>
      <c r="R64" s="307"/>
      <c r="S64" s="307"/>
      <c r="T64" s="307"/>
      <c r="U64" s="375">
        <f t="shared" si="4"/>
        <v>52</v>
      </c>
      <c r="V64" s="69" t="s">
        <v>120</v>
      </c>
      <c r="W64" s="474"/>
      <c r="X64" s="474"/>
      <c r="Y64" s="292">
        <f>-Y60-Y62</f>
        <v>-6712556.6684583314</v>
      </c>
      <c r="Z64" s="375">
        <f t="shared" si="11"/>
        <v>52</v>
      </c>
      <c r="AA64" s="250" t="s">
        <v>1144</v>
      </c>
      <c r="AB64" s="319"/>
      <c r="AC64" s="319"/>
      <c r="AD64" s="319"/>
      <c r="AF64" s="373"/>
      <c r="AG64" s="373"/>
      <c r="AH64" s="373"/>
      <c r="AI64" s="373"/>
      <c r="AO64" s="373"/>
      <c r="AP64" s="487"/>
      <c r="AQ64" s="373"/>
      <c r="AR64" s="373"/>
      <c r="AS64" s="373"/>
      <c r="AT64" s="373"/>
      <c r="AU64" s="487"/>
      <c r="AV64" s="373"/>
      <c r="AW64" s="373"/>
      <c r="AX64" s="373"/>
      <c r="AY64" s="373"/>
      <c r="AZ64" s="487"/>
      <c r="BA64" s="373"/>
      <c r="BB64" s="373"/>
      <c r="BC64" s="373"/>
      <c r="BD64" s="373"/>
      <c r="BE64" s="373"/>
      <c r="BF64" s="373"/>
      <c r="BG64" s="373"/>
      <c r="BH64" s="373"/>
      <c r="BI64" s="482">
        <f t="shared" si="15"/>
        <v>52</v>
      </c>
      <c r="BN64" s="375"/>
      <c r="BO64" s="319"/>
      <c r="BP64" s="319"/>
      <c r="BQ64" s="319"/>
      <c r="BR64" s="319"/>
    </row>
    <row r="65" spans="1:70" ht="13.5" thickTop="1">
      <c r="A65" s="375"/>
      <c r="B65" s="319"/>
      <c r="C65" s="413"/>
      <c r="D65" s="413"/>
      <c r="E65" s="413"/>
      <c r="R65" s="307"/>
      <c r="S65" s="307"/>
      <c r="T65" s="307"/>
      <c r="U65" s="375"/>
      <c r="V65" s="69"/>
      <c r="W65" s="69"/>
      <c r="X65" s="69"/>
      <c r="Y65" s="69"/>
      <c r="Z65" s="375">
        <f t="shared" si="11"/>
        <v>53</v>
      </c>
      <c r="AA65" s="250" t="s">
        <v>1145</v>
      </c>
      <c r="AB65" s="319"/>
      <c r="AC65" s="319"/>
      <c r="AD65" s="319"/>
      <c r="AF65" s="373"/>
      <c r="AG65" s="373"/>
      <c r="AH65" s="373"/>
      <c r="AI65" s="373"/>
      <c r="AO65" s="373"/>
      <c r="AP65" s="487"/>
      <c r="AQ65" s="373"/>
      <c r="AR65" s="373"/>
      <c r="AS65" s="373"/>
      <c r="AT65" s="373"/>
      <c r="AU65" s="487"/>
      <c r="AV65" s="373"/>
      <c r="AW65" s="373"/>
      <c r="AX65" s="373"/>
      <c r="AY65" s="373"/>
      <c r="AZ65" s="487"/>
      <c r="BA65" s="373"/>
      <c r="BB65" s="373"/>
      <c r="BC65" s="373"/>
      <c r="BD65" s="373"/>
      <c r="BE65" s="373"/>
      <c r="BF65" s="373"/>
      <c r="BG65" s="373"/>
      <c r="BH65" s="373"/>
      <c r="BI65" s="482">
        <f t="shared" si="15"/>
        <v>53</v>
      </c>
      <c r="BN65" s="375"/>
      <c r="BO65" s="319"/>
      <c r="BP65" s="413"/>
      <c r="BQ65" s="413"/>
      <c r="BR65" s="413"/>
    </row>
    <row r="66" spans="1:70">
      <c r="A66" s="375"/>
      <c r="B66" s="319"/>
      <c r="C66" s="319"/>
      <c r="D66" s="319"/>
      <c r="E66" s="413"/>
      <c r="R66" s="307"/>
      <c r="S66" s="307"/>
      <c r="T66" s="307"/>
      <c r="U66" s="375"/>
      <c r="V66" s="69"/>
      <c r="W66" s="69"/>
      <c r="X66" s="69"/>
      <c r="Y66" s="474"/>
      <c r="Z66" s="375">
        <f t="shared" si="11"/>
        <v>54</v>
      </c>
      <c r="AA66" s="250" t="s">
        <v>1146</v>
      </c>
      <c r="AB66"/>
      <c r="AC66"/>
      <c r="AD66"/>
      <c r="AF66" s="373"/>
      <c r="AG66" s="373"/>
      <c r="AH66" s="373"/>
      <c r="AI66" s="373"/>
      <c r="AO66" s="373"/>
      <c r="AP66" s="288"/>
      <c r="AQ66" s="373"/>
      <c r="AR66" s="373"/>
      <c r="AS66" s="373"/>
      <c r="AT66" s="373"/>
      <c r="AU66" s="288"/>
      <c r="AV66" s="373"/>
      <c r="AW66" s="373"/>
      <c r="AX66" s="373"/>
      <c r="AY66" s="373"/>
      <c r="AZ66" s="288"/>
      <c r="BA66" s="373"/>
      <c r="BB66" s="373"/>
      <c r="BC66" s="373"/>
      <c r="BD66" s="373"/>
      <c r="BE66" s="373"/>
      <c r="BF66" s="373"/>
      <c r="BG66" s="373"/>
      <c r="BH66" s="373"/>
      <c r="BI66" s="482">
        <f t="shared" si="15"/>
        <v>54</v>
      </c>
      <c r="BJ66" s="483" t="s">
        <v>445</v>
      </c>
      <c r="BK66" s="534"/>
      <c r="BL66" s="534"/>
      <c r="BM66" s="631"/>
      <c r="BN66" s="375"/>
      <c r="BO66" s="319"/>
      <c r="BP66" s="319"/>
      <c r="BQ66" s="319"/>
      <c r="BR66" s="413"/>
    </row>
    <row r="67" spans="1:70">
      <c r="A67" s="375"/>
      <c r="B67" s="319"/>
      <c r="C67" s="413"/>
      <c r="D67" s="413"/>
      <c r="E67" s="413"/>
      <c r="R67" s="307"/>
      <c r="S67" s="307"/>
      <c r="T67" s="307"/>
      <c r="U67" s="375"/>
      <c r="V67" s="69"/>
      <c r="W67" s="69"/>
      <c r="X67" s="69"/>
      <c r="Y67" s="69"/>
      <c r="Z67" s="375"/>
      <c r="AA67"/>
      <c r="AB67"/>
      <c r="AC67"/>
      <c r="AD67"/>
      <c r="AF67" s="373"/>
      <c r="AG67" s="373"/>
      <c r="AH67" s="373"/>
      <c r="AI67" s="373"/>
      <c r="AO67" s="373"/>
      <c r="AP67" s="373"/>
      <c r="AQ67" s="373"/>
      <c r="AR67" s="373"/>
      <c r="AS67" s="373"/>
      <c r="AT67" s="373"/>
      <c r="AU67" s="373"/>
      <c r="AV67" s="373"/>
      <c r="AW67" s="313"/>
      <c r="AX67" s="313"/>
      <c r="AY67" s="373"/>
      <c r="AZ67" s="373"/>
      <c r="BA67" s="373"/>
      <c r="BB67" s="313"/>
      <c r="BC67" s="313"/>
      <c r="BD67" s="313"/>
      <c r="BE67" s="313"/>
      <c r="BF67" s="313"/>
      <c r="BG67" s="313"/>
      <c r="BH67" s="313"/>
      <c r="BI67" s="482">
        <f t="shared" si="15"/>
        <v>55</v>
      </c>
      <c r="BJ67" s="507" t="s">
        <v>174</v>
      </c>
      <c r="BK67" s="534">
        <f>'For Prod Adj Ratebase'!H13</f>
        <v>-513042623.97680533</v>
      </c>
      <c r="BL67" s="234">
        <f>-ROUND(BK67*$BL$13,0)</f>
        <v>13004091</v>
      </c>
      <c r="BM67" s="534">
        <f>SUM(BK67:BL67)</f>
        <v>-500038532.97680533</v>
      </c>
      <c r="BN67" s="375"/>
      <c r="BO67" s="319"/>
      <c r="BP67" s="413"/>
      <c r="BQ67" s="413"/>
      <c r="BR67" s="413"/>
    </row>
    <row r="68" spans="1:70">
      <c r="A68"/>
      <c r="B68" s="319"/>
      <c r="C68" s="413"/>
      <c r="D68" s="413"/>
      <c r="E68" s="413"/>
      <c r="U68" s="375"/>
      <c r="V68" s="69"/>
      <c r="W68" s="69"/>
      <c r="X68" s="69"/>
      <c r="Y68" s="551"/>
      <c r="Z68" s="375"/>
      <c r="AA68"/>
      <c r="AB68"/>
      <c r="AC68"/>
      <c r="AD68"/>
      <c r="AF68" s="373"/>
      <c r="AG68" s="373"/>
      <c r="AH68" s="373"/>
      <c r="AI68" s="373"/>
      <c r="AO68" s="373"/>
      <c r="AP68" s="373"/>
      <c r="AQ68" s="373"/>
      <c r="AR68" s="373"/>
      <c r="AS68" s="373"/>
      <c r="AT68" s="373"/>
      <c r="AU68" s="373"/>
      <c r="AV68" s="373"/>
      <c r="AW68" s="313"/>
      <c r="AX68" s="313"/>
      <c r="AY68" s="373"/>
      <c r="AZ68" s="373"/>
      <c r="BA68" s="373"/>
      <c r="BB68" s="313"/>
      <c r="BC68" s="313"/>
      <c r="BD68" s="313"/>
      <c r="BE68" s="313"/>
      <c r="BF68" s="313"/>
      <c r="BG68" s="313"/>
      <c r="BH68" s="313"/>
      <c r="BI68" s="482">
        <f t="shared" si="15"/>
        <v>56</v>
      </c>
      <c r="BJ68" s="377" t="s">
        <v>446</v>
      </c>
      <c r="BK68" s="534">
        <f>+'For Prod Adj Ratebase'!I18</f>
        <v>48295905.063545831</v>
      </c>
      <c r="BL68" s="234">
        <f>-ROUND(BK68*$BL$13,0)</f>
        <v>-1224156</v>
      </c>
      <c r="BM68" s="534">
        <f>SUM(BK68:BL68)</f>
        <v>47071749.063545831</v>
      </c>
      <c r="BN68" s="286"/>
      <c r="BO68" s="319"/>
      <c r="BP68" s="413"/>
      <c r="BQ68" s="413"/>
      <c r="BR68" s="413"/>
    </row>
    <row r="69" spans="1:70">
      <c r="A69"/>
      <c r="B69" s="319"/>
      <c r="C69" s="413"/>
      <c r="D69" s="413"/>
      <c r="E69" s="413"/>
      <c r="U69" s="375"/>
      <c r="V69" s="69"/>
      <c r="W69" s="69"/>
      <c r="X69" s="69"/>
      <c r="Y69" s="69"/>
      <c r="Z69" s="375"/>
      <c r="AA69"/>
      <c r="AB69"/>
      <c r="AC69"/>
      <c r="AD69"/>
      <c r="AE69" s="288"/>
      <c r="AF69" s="288"/>
      <c r="AG69" s="373"/>
      <c r="AH69" s="373"/>
      <c r="AI69" s="373"/>
      <c r="AO69" s="373"/>
      <c r="AP69" s="373"/>
      <c r="AQ69" s="373"/>
      <c r="AR69" s="373"/>
      <c r="AS69" s="373"/>
      <c r="AT69" s="373"/>
      <c r="AU69" s="373"/>
      <c r="AV69" s="373"/>
      <c r="AW69" s="313"/>
      <c r="AX69" s="313"/>
      <c r="AY69" s="373"/>
      <c r="AZ69" s="373"/>
      <c r="BA69" s="373"/>
      <c r="BB69" s="313"/>
      <c r="BC69" s="313"/>
      <c r="BD69" s="313"/>
      <c r="BE69" s="313"/>
      <c r="BF69" s="313"/>
      <c r="BG69" s="313"/>
      <c r="BH69" s="313"/>
      <c r="BI69" s="482">
        <f t="shared" si="15"/>
        <v>57</v>
      </c>
      <c r="BJ69" s="377" t="s">
        <v>447</v>
      </c>
      <c r="BK69" s="534"/>
      <c r="BL69" s="234">
        <f>-ROUND(BK69*$BL$13,0)</f>
        <v>0</v>
      </c>
      <c r="BM69" s="534">
        <f>SUM(BK69:BL69)</f>
        <v>0</v>
      </c>
      <c r="BN69" s="286"/>
      <c r="BO69" s="319"/>
      <c r="BP69" s="413"/>
      <c r="BQ69" s="413"/>
      <c r="BR69" s="413"/>
    </row>
    <row r="70" spans="1:70">
      <c r="A70"/>
      <c r="B70" s="319"/>
      <c r="C70" s="413"/>
      <c r="D70" s="413"/>
      <c r="E70" s="413"/>
      <c r="V70" s="69"/>
      <c r="W70" s="69"/>
      <c r="X70" s="69"/>
      <c r="Y70" s="69"/>
      <c r="Z70" s="375"/>
      <c r="AA70"/>
      <c r="AB70"/>
      <c r="AC70"/>
      <c r="AD70"/>
      <c r="AF70" s="373"/>
      <c r="AG70" s="373"/>
      <c r="AH70" s="373"/>
      <c r="AI70" s="373"/>
      <c r="AO70" s="373"/>
      <c r="AP70" s="373"/>
      <c r="AQ70" s="373"/>
      <c r="AR70" s="373"/>
      <c r="AS70" s="373"/>
      <c r="AT70" s="373"/>
      <c r="AU70" s="373"/>
      <c r="AV70" s="373"/>
      <c r="AW70" s="313"/>
      <c r="AX70" s="313"/>
      <c r="AY70" s="373"/>
      <c r="AZ70" s="373"/>
      <c r="BA70" s="373"/>
      <c r="BB70" s="313"/>
      <c r="BC70" s="313"/>
      <c r="BD70" s="313"/>
      <c r="BE70" s="313"/>
      <c r="BF70" s="313"/>
      <c r="BG70" s="313"/>
      <c r="BH70" s="313"/>
      <c r="BI70" s="482">
        <f t="shared" si="15"/>
        <v>58</v>
      </c>
      <c r="BJ70" s="377" t="s">
        <v>448</v>
      </c>
      <c r="BK70" s="534"/>
      <c r="BL70" s="234">
        <f>-ROUND(BK70*$BL$13,0)</f>
        <v>0</v>
      </c>
      <c r="BM70" s="534">
        <f>SUM(BK70:BL70)</f>
        <v>0</v>
      </c>
      <c r="BN70" s="286"/>
      <c r="BO70" s="319"/>
      <c r="BP70" s="413"/>
      <c r="BQ70" s="413"/>
      <c r="BR70" s="413"/>
    </row>
    <row r="71" spans="1:70">
      <c r="A71"/>
      <c r="B71" s="319"/>
      <c r="C71" s="413"/>
      <c r="D71" s="413"/>
      <c r="E71" s="413"/>
      <c r="Z71" s="375"/>
      <c r="AA71"/>
      <c r="AB71"/>
      <c r="AC71"/>
      <c r="AD71"/>
      <c r="AF71" s="373"/>
      <c r="AG71" s="373"/>
      <c r="AH71" s="373"/>
      <c r="AI71" s="373"/>
      <c r="AO71" s="373"/>
      <c r="AP71" s="373"/>
      <c r="AQ71" s="373"/>
      <c r="AR71" s="373"/>
      <c r="AS71" s="373"/>
      <c r="AT71" s="373"/>
      <c r="AU71" s="373"/>
      <c r="AV71" s="373"/>
      <c r="AW71" s="313"/>
      <c r="AX71" s="313"/>
      <c r="AY71" s="373"/>
      <c r="AZ71" s="373"/>
      <c r="BA71" s="373"/>
      <c r="BB71" s="313"/>
      <c r="BC71" s="313"/>
      <c r="BD71" s="313"/>
      <c r="BE71" s="313"/>
      <c r="BF71" s="313"/>
      <c r="BG71" s="313"/>
      <c r="BH71" s="313"/>
      <c r="BI71" s="482">
        <f t="shared" si="15"/>
        <v>59</v>
      </c>
      <c r="BJ71" s="357" t="s">
        <v>155</v>
      </c>
      <c r="BK71" s="322">
        <f>SUM(BK67:BK70)</f>
        <v>-464746718.91325951</v>
      </c>
      <c r="BL71" s="322">
        <f>SUM(BL67:BL70)</f>
        <v>11779935</v>
      </c>
      <c r="BM71" s="322">
        <f>SUM(BM67:BM70)</f>
        <v>-452966783.91325951</v>
      </c>
      <c r="BN71" s="286"/>
      <c r="BO71" s="319"/>
      <c r="BP71" s="413"/>
      <c r="BQ71" s="413"/>
      <c r="BR71" s="413"/>
    </row>
    <row r="72" spans="1:70">
      <c r="A72"/>
      <c r="B72" s="319"/>
      <c r="C72" s="413"/>
      <c r="D72" s="413"/>
      <c r="E72" s="413"/>
      <c r="G72" s="373"/>
      <c r="H72" s="373"/>
      <c r="I72" s="373"/>
      <c r="J72" s="373"/>
      <c r="Z72" s="313"/>
      <c r="AA72"/>
      <c r="AB72"/>
      <c r="AC72"/>
      <c r="AD72"/>
      <c r="AF72" s="373"/>
      <c r="AG72" s="373"/>
      <c r="AH72" s="373"/>
      <c r="AI72" s="373"/>
      <c r="AO72" s="373"/>
      <c r="AP72" s="373"/>
      <c r="AQ72" s="373"/>
      <c r="AR72" s="373"/>
      <c r="AS72" s="373"/>
      <c r="AT72" s="373"/>
      <c r="AU72" s="373"/>
      <c r="AV72" s="373"/>
      <c r="AW72" s="313"/>
      <c r="AX72" s="313"/>
      <c r="AY72" s="373"/>
      <c r="AZ72" s="373"/>
      <c r="BA72" s="373"/>
      <c r="BB72" s="313"/>
      <c r="BC72" s="313"/>
      <c r="BD72" s="313"/>
      <c r="BE72" s="313"/>
      <c r="BF72" s="313"/>
      <c r="BG72" s="313"/>
      <c r="BH72" s="313"/>
      <c r="BI72" s="482">
        <f t="shared" si="15"/>
        <v>60</v>
      </c>
      <c r="BJ72" s="507"/>
      <c r="BK72" s="322"/>
      <c r="BL72" s="322"/>
      <c r="BM72" s="322"/>
      <c r="BN72" s="286"/>
      <c r="BO72" s="319"/>
      <c r="BP72" s="413"/>
      <c r="BQ72" s="413"/>
      <c r="BR72" s="413"/>
    </row>
    <row r="73" spans="1:70">
      <c r="A73"/>
      <c r="B73" s="319"/>
      <c r="C73" s="413"/>
      <c r="D73" s="413"/>
      <c r="E73" s="413"/>
      <c r="G73" s="373"/>
      <c r="H73" s="373"/>
      <c r="I73" s="373"/>
      <c r="J73" s="373"/>
      <c r="Z73" s="313"/>
      <c r="AA73"/>
      <c r="AB73"/>
      <c r="AC73"/>
      <c r="AD73"/>
      <c r="AF73" s="373"/>
      <c r="AG73" s="373"/>
      <c r="AH73" s="373"/>
      <c r="AI73" s="373"/>
      <c r="AO73" s="373"/>
      <c r="AP73" s="373"/>
      <c r="AQ73" s="373"/>
      <c r="AR73" s="373"/>
      <c r="AS73" s="373"/>
      <c r="AT73" s="373"/>
      <c r="AU73" s="373"/>
      <c r="AV73" s="373"/>
      <c r="AW73" s="313"/>
      <c r="AX73" s="313"/>
      <c r="AY73" s="373"/>
      <c r="AZ73" s="373"/>
      <c r="BA73" s="373"/>
      <c r="BB73" s="313"/>
      <c r="BC73" s="313"/>
      <c r="BD73" s="313"/>
      <c r="BE73" s="313"/>
      <c r="BF73" s="313"/>
      <c r="BG73" s="313"/>
      <c r="BH73" s="313"/>
      <c r="BI73" s="482">
        <f t="shared" si="15"/>
        <v>61</v>
      </c>
      <c r="BJ73" s="357" t="s">
        <v>449</v>
      </c>
      <c r="BK73" s="234">
        <f>BK63+BK71</f>
        <v>1955708056.7378278</v>
      </c>
      <c r="BL73" s="234">
        <f>BL63+BL71</f>
        <v>-49571332</v>
      </c>
      <c r="BM73" s="234">
        <f>BM63+BM71</f>
        <v>1906136724.7378278</v>
      </c>
      <c r="BN73" s="286"/>
      <c r="BO73" s="319"/>
      <c r="BP73" s="413"/>
      <c r="BQ73" s="413"/>
      <c r="BR73" s="413"/>
    </row>
    <row r="74" spans="1:70">
      <c r="A74"/>
      <c r="B74" s="319"/>
      <c r="C74" s="413"/>
      <c r="D74" s="413"/>
      <c r="E74" s="413"/>
      <c r="G74" s="373"/>
      <c r="H74" s="373"/>
      <c r="I74" s="373"/>
      <c r="J74" s="373"/>
      <c r="Z74" s="313"/>
      <c r="AA74"/>
      <c r="AB74"/>
      <c r="AC74"/>
      <c r="AD74"/>
      <c r="AF74" s="373"/>
      <c r="AG74" s="373"/>
      <c r="AH74" s="373"/>
      <c r="AI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373"/>
      <c r="BD74" s="373"/>
      <c r="BE74" s="373"/>
      <c r="BF74" s="373"/>
      <c r="BG74" s="373"/>
      <c r="BH74" s="373"/>
      <c r="BI74" s="482">
        <f t="shared" si="15"/>
        <v>62</v>
      </c>
      <c r="BJ74" s="631"/>
      <c r="BK74" s="631"/>
      <c r="BL74" s="631"/>
      <c r="BM74" s="631"/>
      <c r="BN74" s="286"/>
      <c r="BO74" s="319"/>
      <c r="BP74" s="413"/>
      <c r="BQ74" s="413"/>
      <c r="BR74" s="413"/>
    </row>
    <row r="75" spans="1:70">
      <c r="A75"/>
      <c r="B75" s="319"/>
      <c r="C75" s="413"/>
      <c r="D75" s="413"/>
      <c r="E75" s="413"/>
      <c r="G75" s="373"/>
      <c r="H75" s="373"/>
      <c r="I75" s="373"/>
      <c r="J75" s="373"/>
      <c r="Z75" s="313"/>
      <c r="AA75"/>
      <c r="AB75"/>
      <c r="AC75"/>
      <c r="AD75"/>
      <c r="AF75" s="373"/>
      <c r="AG75" s="373"/>
      <c r="AH75" s="373"/>
      <c r="AI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73"/>
      <c r="BG75" s="373"/>
      <c r="BH75" s="373"/>
      <c r="BI75" s="482">
        <f t="shared" si="15"/>
        <v>63</v>
      </c>
      <c r="BJ75" s="483" t="s">
        <v>720</v>
      </c>
      <c r="BK75" s="631"/>
      <c r="BL75" s="631"/>
      <c r="BM75" s="631"/>
      <c r="BN75" s="286"/>
      <c r="BO75" s="319"/>
      <c r="BP75" s="413"/>
      <c r="BQ75" s="413"/>
      <c r="BR75" s="413"/>
    </row>
    <row r="76" spans="1:70">
      <c r="A76"/>
      <c r="B76" s="319"/>
      <c r="C76" s="413"/>
      <c r="D76" s="413"/>
      <c r="E76" s="413"/>
      <c r="G76" s="373"/>
      <c r="H76" s="373"/>
      <c r="I76" s="373"/>
      <c r="J76" s="373"/>
      <c r="Z76" s="313"/>
      <c r="AA76"/>
      <c r="AB76"/>
      <c r="AC76"/>
      <c r="AD76"/>
      <c r="AF76" s="373"/>
      <c r="AG76" s="373"/>
      <c r="AH76" s="373"/>
      <c r="AI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  <c r="BI76" s="482">
        <f t="shared" si="15"/>
        <v>64</v>
      </c>
      <c r="BJ76" s="631" t="s">
        <v>450</v>
      </c>
      <c r="BK76" s="234">
        <f>AC29</f>
        <v>-374251.50670083519</v>
      </c>
      <c r="BL76" s="234">
        <f>-BK76*$BL$13</f>
        <v>9486.15294034607</v>
      </c>
      <c r="BM76" s="234">
        <f t="shared" ref="BM76:BM78" si="35">SUM(BK76:BL76)</f>
        <v>-364765.35376048915</v>
      </c>
      <c r="BN76" s="286"/>
      <c r="BO76" s="319"/>
      <c r="BP76" s="413"/>
      <c r="BQ76" s="413"/>
      <c r="BR76" s="413"/>
    </row>
    <row r="77" spans="1:70">
      <c r="A77"/>
      <c r="B77" s="319"/>
      <c r="C77" s="413"/>
      <c r="D77" s="413"/>
      <c r="E77" s="413"/>
      <c r="G77" s="373"/>
      <c r="H77" s="373"/>
      <c r="I77" s="373"/>
      <c r="J77" s="373"/>
      <c r="Z77" s="313"/>
      <c r="AA77"/>
      <c r="AB77"/>
      <c r="AC77"/>
      <c r="AD77"/>
      <c r="AF77" s="373"/>
      <c r="AG77" s="373"/>
      <c r="AH77" s="373"/>
      <c r="AI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373"/>
      <c r="BD77" s="373"/>
      <c r="BE77" s="373"/>
      <c r="BF77" s="373"/>
      <c r="BG77" s="373"/>
      <c r="BH77" s="373"/>
      <c r="BI77" s="482">
        <f t="shared" si="15"/>
        <v>65</v>
      </c>
      <c r="BJ77" s="631" t="s">
        <v>451</v>
      </c>
      <c r="BK77" s="307">
        <f>AC28</f>
        <v>-108339.16201768839</v>
      </c>
      <c r="BL77" s="285">
        <f t="shared" ref="BL77:BL93" si="36">-BK77*$BL$13</f>
        <v>2746.0727396623479</v>
      </c>
      <c r="BM77" s="234">
        <f t="shared" si="35"/>
        <v>-105593.08927802605</v>
      </c>
      <c r="BN77" s="286"/>
      <c r="BO77" s="319"/>
      <c r="BP77" s="413"/>
      <c r="BQ77" s="413"/>
      <c r="BR77" s="413"/>
    </row>
    <row r="78" spans="1:70">
      <c r="A78"/>
      <c r="B78" s="319"/>
      <c r="C78" s="319"/>
      <c r="D78" s="319"/>
      <c r="E78" s="413"/>
      <c r="G78" s="373"/>
      <c r="H78" s="373"/>
      <c r="I78" s="373"/>
      <c r="J78" s="373"/>
      <c r="Z78" s="313"/>
      <c r="AA78"/>
      <c r="AB78"/>
      <c r="AC78"/>
      <c r="AD78"/>
      <c r="AF78" s="373"/>
      <c r="AG78" s="373"/>
      <c r="AH78" s="373"/>
      <c r="AI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3"/>
      <c r="BG78" s="373"/>
      <c r="BH78" s="373"/>
      <c r="BI78" s="482">
        <f t="shared" si="15"/>
        <v>66</v>
      </c>
      <c r="BJ78" s="325" t="s">
        <v>230</v>
      </c>
      <c r="BK78" s="234">
        <f>AC14</f>
        <v>0</v>
      </c>
      <c r="BL78" s="285">
        <f t="shared" si="36"/>
        <v>0</v>
      </c>
      <c r="BM78" s="234">
        <f t="shared" si="35"/>
        <v>0</v>
      </c>
      <c r="BN78" s="286"/>
      <c r="BO78" s="319"/>
      <c r="BP78" s="319"/>
      <c r="BQ78" s="319"/>
      <c r="BR78" s="413"/>
    </row>
    <row r="79" spans="1:70">
      <c r="A79"/>
      <c r="B79" s="319"/>
      <c r="C79" s="319"/>
      <c r="D79" s="319"/>
      <c r="E79" s="319"/>
      <c r="G79" s="373"/>
      <c r="H79" s="373"/>
      <c r="I79" s="373"/>
      <c r="J79" s="373"/>
      <c r="Z79" s="313"/>
      <c r="AA79"/>
      <c r="AB79"/>
      <c r="AC79"/>
      <c r="AD79"/>
      <c r="AF79" s="373"/>
      <c r="AG79" s="373"/>
      <c r="AH79" s="373"/>
      <c r="AI79" s="373"/>
      <c r="AO79" s="373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3"/>
      <c r="BF79" s="373"/>
      <c r="BG79" s="373"/>
      <c r="BH79" s="373"/>
      <c r="BI79" s="482">
        <f t="shared" si="15"/>
        <v>67</v>
      </c>
      <c r="BJ79" s="325" t="s">
        <v>985</v>
      </c>
      <c r="BK79" s="234">
        <f>BB20-BB15-BB16</f>
        <v>10869911.657177325</v>
      </c>
      <c r="BL79" s="285">
        <f t="shared" ref="BL79" si="37">-BK79*$BL$13</f>
        <v>-275519.65077447367</v>
      </c>
      <c r="BM79" s="234">
        <f t="shared" ref="BM79" si="38">SUM(BK79:BL79)</f>
        <v>10594392.006402852</v>
      </c>
      <c r="BN79" s="286"/>
      <c r="BO79" s="319"/>
      <c r="BP79" s="319"/>
      <c r="BQ79" s="319"/>
      <c r="BR79" s="319"/>
    </row>
    <row r="80" spans="1:70">
      <c r="A80" s="313"/>
      <c r="B80" s="319"/>
      <c r="C80" s="319"/>
      <c r="D80" s="319"/>
      <c r="E80" s="985"/>
      <c r="G80" s="503"/>
      <c r="H80" s="373"/>
      <c r="I80" s="373"/>
      <c r="J80" s="373"/>
      <c r="Z80" s="313"/>
      <c r="AA80"/>
      <c r="AB80"/>
      <c r="AC80"/>
      <c r="AD80"/>
      <c r="AF80" s="373"/>
      <c r="AG80" s="373"/>
      <c r="AH80" s="373"/>
      <c r="AI80" s="373"/>
      <c r="AO80" s="373"/>
      <c r="AP80" s="373"/>
      <c r="AQ80" s="373"/>
      <c r="AR80" s="373"/>
      <c r="AS80" s="373"/>
      <c r="AT80" s="373"/>
      <c r="AU80" s="373"/>
      <c r="AV80" s="373"/>
      <c r="AW80" s="373"/>
      <c r="AX80" s="373"/>
      <c r="AY80" s="373"/>
      <c r="AZ80" s="373"/>
      <c r="BA80" s="373"/>
      <c r="BB80" s="373"/>
      <c r="BC80" s="373"/>
      <c r="BD80" s="373"/>
      <c r="BE80" s="373"/>
      <c r="BF80" s="373"/>
      <c r="BG80" s="373"/>
      <c r="BH80" s="373"/>
      <c r="BI80" s="482">
        <f t="shared" si="15"/>
        <v>68</v>
      </c>
      <c r="BJ80" s="325" t="s">
        <v>140</v>
      </c>
      <c r="BK80" s="234">
        <f>AC15</f>
        <v>-88510.49771296572</v>
      </c>
      <c r="BL80" s="285">
        <f t="shared" si="36"/>
        <v>2243.475585530542</v>
      </c>
      <c r="BM80" s="234">
        <f t="shared" ref="BM80:BM93" si="39">SUM(BK80:BL80)</f>
        <v>-86267.022127435179</v>
      </c>
      <c r="BN80" s="313"/>
      <c r="BO80" s="319"/>
      <c r="BP80" s="319"/>
      <c r="BQ80" s="319"/>
      <c r="BR80" s="985"/>
    </row>
    <row r="81" spans="1:70">
      <c r="A81" s="313"/>
      <c r="B81" s="319"/>
      <c r="C81" s="319"/>
      <c r="D81" s="319"/>
      <c r="E81" s="319"/>
      <c r="G81" s="373"/>
      <c r="H81" s="373"/>
      <c r="I81" s="373"/>
      <c r="J81" s="373"/>
      <c r="Z81" s="313"/>
      <c r="AA81"/>
      <c r="AB81"/>
      <c r="AC81"/>
      <c r="AD81"/>
      <c r="AF81" s="373"/>
      <c r="AG81" s="373"/>
      <c r="AH81" s="373"/>
      <c r="AI81" s="373"/>
      <c r="AO81" s="373"/>
      <c r="AP81" s="373"/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  <c r="BC81" s="373"/>
      <c r="BD81" s="373"/>
      <c r="BE81" s="373"/>
      <c r="BF81" s="373"/>
      <c r="BG81" s="373"/>
      <c r="BH81" s="373"/>
      <c r="BI81" s="482">
        <f t="shared" si="15"/>
        <v>69</v>
      </c>
      <c r="BJ81" s="325" t="s">
        <v>139</v>
      </c>
      <c r="BK81" s="234">
        <f>AC16</f>
        <v>-121339.24959547223</v>
      </c>
      <c r="BL81" s="285">
        <f t="shared" si="36"/>
        <v>3075.5859594964345</v>
      </c>
      <c r="BM81" s="234">
        <f t="shared" si="39"/>
        <v>-118263.6636359758</v>
      </c>
      <c r="BN81" s="313"/>
      <c r="BO81" s="319"/>
      <c r="BP81" s="319"/>
      <c r="BQ81" s="319"/>
      <c r="BR81" s="319"/>
    </row>
    <row r="82" spans="1:70">
      <c r="A82" s="313"/>
      <c r="B82" s="319"/>
      <c r="C82" s="319"/>
      <c r="D82" s="319"/>
      <c r="E82" s="319"/>
      <c r="G82" s="373"/>
      <c r="H82" s="373"/>
      <c r="I82" s="373"/>
      <c r="J82" s="373"/>
      <c r="Z82" s="313"/>
      <c r="AA82"/>
      <c r="AB82"/>
      <c r="AC82"/>
      <c r="AD82"/>
      <c r="AF82" s="373"/>
      <c r="AG82" s="373"/>
      <c r="AH82" s="373"/>
      <c r="AI82" s="373"/>
      <c r="AO82" s="373"/>
      <c r="AP82" s="373"/>
      <c r="AQ82" s="373"/>
      <c r="AR82" s="373"/>
      <c r="AS82" s="373"/>
      <c r="AT82" s="373"/>
      <c r="AU82" s="373"/>
      <c r="AV82" s="373"/>
      <c r="AW82" s="373"/>
      <c r="AX82" s="373"/>
      <c r="AY82" s="373"/>
      <c r="AZ82" s="373"/>
      <c r="BA82" s="373"/>
      <c r="BB82" s="373"/>
      <c r="BC82" s="373"/>
      <c r="BD82" s="373"/>
      <c r="BE82" s="373"/>
      <c r="BF82" s="373"/>
      <c r="BG82" s="373"/>
      <c r="BH82" s="373"/>
      <c r="BI82" s="482">
        <f t="shared" ref="BI82:BI84" si="40">+BI81+1</f>
        <v>70</v>
      </c>
      <c r="BJ82" s="325" t="s">
        <v>452</v>
      </c>
      <c r="BK82" s="234">
        <f t="shared" ref="BK82:BK87" si="41">AC18</f>
        <v>82196760.579333305</v>
      </c>
      <c r="BL82" s="285">
        <f t="shared" si="36"/>
        <v>-2083441.2904043614</v>
      </c>
      <c r="BM82" s="234">
        <f t="shared" si="39"/>
        <v>80113319.288928941</v>
      </c>
      <c r="BN82" s="313"/>
      <c r="BO82" s="319"/>
      <c r="BP82" s="319"/>
      <c r="BQ82" s="319"/>
      <c r="BR82" s="319"/>
    </row>
    <row r="83" spans="1:70">
      <c r="A83" s="313"/>
      <c r="B83" s="319"/>
      <c r="C83" s="319"/>
      <c r="D83" s="319"/>
      <c r="E83" s="319"/>
      <c r="G83" s="373"/>
      <c r="H83" s="373"/>
      <c r="I83" s="373"/>
      <c r="J83" s="373"/>
      <c r="Z83" s="313"/>
      <c r="AA83"/>
      <c r="AB83"/>
      <c r="AC83"/>
      <c r="AD83"/>
      <c r="AF83" s="373"/>
      <c r="AG83" s="373"/>
      <c r="AH83" s="373"/>
      <c r="AI83" s="373"/>
      <c r="AO83" s="373"/>
      <c r="AQ83" s="373"/>
      <c r="AR83" s="373"/>
      <c r="AS83" s="373"/>
      <c r="AT83" s="373"/>
      <c r="AV83" s="373"/>
      <c r="AW83" s="373"/>
      <c r="AX83" s="373"/>
      <c r="AY83" s="373"/>
      <c r="BA83" s="373"/>
      <c r="BB83" s="373"/>
      <c r="BC83" s="373"/>
      <c r="BD83" s="373"/>
      <c r="BE83" s="373"/>
      <c r="BF83" s="373"/>
      <c r="BG83" s="373"/>
      <c r="BH83" s="373"/>
      <c r="BI83" s="482">
        <f t="shared" si="40"/>
        <v>71</v>
      </c>
      <c r="BJ83" s="325" t="s">
        <v>453</v>
      </c>
      <c r="BK83" s="234">
        <f t="shared" si="41"/>
        <v>18500000</v>
      </c>
      <c r="BL83" s="285">
        <f>-BK83*$BL$13</f>
        <v>-468919.5</v>
      </c>
      <c r="BM83" s="234">
        <f t="shared" si="39"/>
        <v>18031080.5</v>
      </c>
      <c r="BN83" s="313"/>
      <c r="BO83" s="319"/>
      <c r="BP83" s="319"/>
      <c r="BQ83" s="319"/>
      <c r="BR83" s="319"/>
    </row>
    <row r="84" spans="1:70">
      <c r="A84" s="313"/>
      <c r="B84" s="319"/>
      <c r="C84" s="319"/>
      <c r="D84" s="319"/>
      <c r="E84" s="319"/>
      <c r="G84" s="373"/>
      <c r="H84" s="373"/>
      <c r="I84" s="373"/>
      <c r="J84" s="373"/>
      <c r="Z84" s="313"/>
      <c r="AA84"/>
      <c r="AB84"/>
      <c r="AC84"/>
      <c r="AD84"/>
      <c r="AF84" s="373"/>
      <c r="AG84" s="373"/>
      <c r="AH84" s="373"/>
      <c r="AI84" s="373"/>
      <c r="AO84" s="373"/>
      <c r="AQ84" s="373"/>
      <c r="AR84" s="373"/>
      <c r="AS84" s="373"/>
      <c r="AT84" s="373"/>
      <c r="AV84" s="373"/>
      <c r="AW84" s="373"/>
      <c r="AX84" s="373"/>
      <c r="AY84" s="373"/>
      <c r="BA84" s="373"/>
      <c r="BB84" s="373"/>
      <c r="BC84" s="373"/>
      <c r="BD84" s="373"/>
      <c r="BE84" s="373"/>
      <c r="BF84" s="373"/>
      <c r="BG84" s="373"/>
      <c r="BH84" s="373"/>
      <c r="BI84" s="482">
        <f t="shared" si="40"/>
        <v>72</v>
      </c>
      <c r="BJ84" s="325" t="s">
        <v>425</v>
      </c>
      <c r="BK84" s="234">
        <f t="shared" si="41"/>
        <v>750000.00000000524</v>
      </c>
      <c r="BL84" s="285">
        <f t="shared" si="36"/>
        <v>-19010.250000000135</v>
      </c>
      <c r="BM84" s="234">
        <f t="shared" si="39"/>
        <v>730989.75000000512</v>
      </c>
      <c r="BN84" s="313"/>
      <c r="BO84" s="319"/>
      <c r="BP84" s="319"/>
      <c r="BQ84" s="319"/>
      <c r="BR84" s="319"/>
    </row>
    <row r="85" spans="1:70">
      <c r="A85" s="313"/>
      <c r="B85" s="319"/>
      <c r="C85" s="319"/>
      <c r="D85" s="319"/>
      <c r="E85" s="319"/>
      <c r="G85" s="373"/>
      <c r="H85" s="373"/>
      <c r="I85" s="373"/>
      <c r="J85" s="373"/>
      <c r="Z85" s="313"/>
      <c r="AA85"/>
      <c r="AB85"/>
      <c r="AC85"/>
      <c r="AD85"/>
      <c r="AF85" s="373"/>
      <c r="AG85" s="373"/>
      <c r="AH85" s="373"/>
      <c r="AI85" s="373"/>
      <c r="AO85" s="373"/>
      <c r="AQ85" s="373"/>
      <c r="AR85" s="373"/>
      <c r="AS85" s="373"/>
      <c r="AT85" s="373"/>
      <c r="AV85" s="373"/>
      <c r="AW85" s="373"/>
      <c r="AX85" s="373"/>
      <c r="AY85" s="373"/>
      <c r="BA85" s="373"/>
      <c r="BB85" s="373"/>
      <c r="BC85" s="373"/>
      <c r="BD85" s="373"/>
      <c r="BE85" s="373"/>
      <c r="BF85" s="373"/>
      <c r="BG85" s="373"/>
      <c r="BH85" s="373"/>
      <c r="BI85" s="482">
        <f t="shared" ref="BI85:BI96" si="42">+BI84+1</f>
        <v>73</v>
      </c>
      <c r="BJ85" s="325" t="s">
        <v>221</v>
      </c>
      <c r="BK85" s="234">
        <f t="shared" si="41"/>
        <v>0</v>
      </c>
      <c r="BL85" s="285">
        <f t="shared" si="36"/>
        <v>0</v>
      </c>
      <c r="BM85" s="234">
        <f t="shared" si="39"/>
        <v>0</v>
      </c>
      <c r="BN85" s="313"/>
      <c r="BO85" s="319"/>
      <c r="BP85" s="319"/>
      <c r="BQ85" s="319"/>
      <c r="BR85" s="319"/>
    </row>
    <row r="86" spans="1:70">
      <c r="A86" s="313"/>
      <c r="B86" s="319"/>
      <c r="C86" s="319"/>
      <c r="D86" s="319"/>
      <c r="E86" s="319"/>
      <c r="G86" s="373"/>
      <c r="H86" s="373"/>
      <c r="I86" s="373"/>
      <c r="J86" s="373"/>
      <c r="Z86" s="313"/>
      <c r="AA86"/>
      <c r="AB86"/>
      <c r="AC86"/>
      <c r="AD86"/>
      <c r="AF86" s="373"/>
      <c r="AG86" s="373"/>
      <c r="AH86" s="373"/>
      <c r="AI86" s="373"/>
      <c r="AO86" s="373"/>
      <c r="AP86" s="373"/>
      <c r="AQ86" s="373"/>
      <c r="AR86" s="373"/>
      <c r="AS86" s="373"/>
      <c r="AT86" s="373"/>
      <c r="AU86" s="373"/>
      <c r="AV86" s="373"/>
      <c r="AW86" s="373"/>
      <c r="AX86" s="373"/>
      <c r="AY86" s="373"/>
      <c r="AZ86" s="373"/>
      <c r="BA86" s="373"/>
      <c r="BB86" s="373"/>
      <c r="BC86" s="373"/>
      <c r="BD86" s="373"/>
      <c r="BE86" s="373"/>
      <c r="BF86" s="373"/>
      <c r="BG86" s="373"/>
      <c r="BH86" s="373"/>
      <c r="BI86" s="482">
        <f t="shared" si="42"/>
        <v>74</v>
      </c>
      <c r="BJ86" s="325" t="s">
        <v>454</v>
      </c>
      <c r="BK86" s="234">
        <f t="shared" si="41"/>
        <v>60863794.047865629</v>
      </c>
      <c r="BL86" s="285">
        <f t="shared" si="36"/>
        <v>-1542714.5877312501</v>
      </c>
      <c r="BM86" s="234">
        <f t="shared" si="39"/>
        <v>59321079.46013438</v>
      </c>
      <c r="BN86" s="313"/>
      <c r="BO86" s="319"/>
      <c r="BP86" s="319"/>
      <c r="BQ86" s="319"/>
      <c r="BR86" s="319"/>
    </row>
    <row r="87" spans="1:70">
      <c r="A87" s="313"/>
      <c r="B87" s="319"/>
      <c r="C87" s="319"/>
      <c r="D87" s="319"/>
      <c r="E87" s="319"/>
      <c r="G87" s="373"/>
      <c r="H87" s="373"/>
      <c r="I87" s="373"/>
      <c r="J87" s="373"/>
      <c r="Z87" s="313"/>
      <c r="AA87"/>
      <c r="AB87"/>
      <c r="AC87"/>
      <c r="AD87"/>
      <c r="AF87" s="373"/>
      <c r="AG87" s="373"/>
      <c r="AH87" s="373"/>
      <c r="AI87" s="373"/>
      <c r="AO87" s="373"/>
      <c r="AP87" s="373"/>
      <c r="AQ87" s="373"/>
      <c r="AR87" s="373"/>
      <c r="AS87" s="373"/>
      <c r="AT87" s="373"/>
      <c r="AU87" s="373"/>
      <c r="AV87" s="373"/>
      <c r="AW87" s="373"/>
      <c r="AX87" s="373"/>
      <c r="AY87" s="373"/>
      <c r="AZ87" s="373"/>
      <c r="BA87" s="373"/>
      <c r="BB87" s="373"/>
      <c r="BC87" s="373"/>
      <c r="BD87" s="373"/>
      <c r="BE87" s="373"/>
      <c r="BF87" s="373"/>
      <c r="BG87" s="373"/>
      <c r="BH87" s="373"/>
      <c r="BI87" s="482">
        <f t="shared" si="42"/>
        <v>75</v>
      </c>
      <c r="BJ87" s="325" t="s">
        <v>455</v>
      </c>
      <c r="BK87" s="234">
        <f t="shared" si="41"/>
        <v>8466701.2744743638</v>
      </c>
      <c r="BL87" s="285">
        <f t="shared" si="36"/>
        <v>-214605.47720410171</v>
      </c>
      <c r="BM87" s="234">
        <f t="shared" si="39"/>
        <v>8252095.7972702617</v>
      </c>
      <c r="BN87" s="313"/>
      <c r="BO87" s="319"/>
      <c r="BP87" s="319"/>
      <c r="BQ87" s="319"/>
      <c r="BR87" s="319"/>
    </row>
    <row r="88" spans="1:70">
      <c r="A88" s="313"/>
      <c r="B88" s="319"/>
      <c r="C88" s="319"/>
      <c r="D88" s="319"/>
      <c r="E88" s="319"/>
      <c r="G88" s="373"/>
      <c r="H88" s="373"/>
      <c r="I88" s="373"/>
      <c r="J88" s="373"/>
      <c r="Z88" s="313"/>
      <c r="AA88"/>
      <c r="AB88"/>
      <c r="AC88"/>
      <c r="AD88"/>
      <c r="AF88" s="373"/>
      <c r="AG88" s="373"/>
      <c r="AH88" s="373"/>
      <c r="AI88" s="373"/>
      <c r="AO88" s="373"/>
      <c r="AP88" s="373"/>
      <c r="AQ88" s="373"/>
      <c r="AR88" s="373"/>
      <c r="AS88" s="373"/>
      <c r="AT88" s="373"/>
      <c r="AU88" s="373"/>
      <c r="AV88" s="373"/>
      <c r="AW88" s="373"/>
      <c r="AX88" s="373"/>
      <c r="AY88" s="373"/>
      <c r="AZ88" s="373"/>
      <c r="BA88" s="373"/>
      <c r="BB88" s="373"/>
      <c r="BC88" s="373"/>
      <c r="BD88" s="373"/>
      <c r="BE88" s="373"/>
      <c r="BF88" s="373"/>
      <c r="BG88" s="373"/>
      <c r="BH88" s="373"/>
      <c r="BI88" s="482">
        <f t="shared" si="42"/>
        <v>76</v>
      </c>
      <c r="BJ88" s="325" t="s">
        <v>724</v>
      </c>
      <c r="BK88" s="234">
        <f>AC17</f>
        <v>12550110.290861849</v>
      </c>
      <c r="BL88" s="285">
        <f t="shared" si="36"/>
        <v>-318107.64554247528</v>
      </c>
      <c r="BM88" s="234">
        <f t="shared" si="39"/>
        <v>12232002.645319374</v>
      </c>
      <c r="BN88" s="313"/>
      <c r="BO88" s="319"/>
      <c r="BP88" s="319"/>
      <c r="BQ88" s="319"/>
      <c r="BR88" s="319"/>
    </row>
    <row r="89" spans="1:70">
      <c r="A89" s="313"/>
      <c r="B89" s="319"/>
      <c r="C89" s="319"/>
      <c r="D89" s="319"/>
      <c r="E89" s="319"/>
      <c r="G89" s="373"/>
      <c r="H89" s="373"/>
      <c r="I89" s="373"/>
      <c r="J89" s="373"/>
      <c r="Z89" s="313"/>
      <c r="AA89"/>
      <c r="AB89"/>
      <c r="AC89"/>
      <c r="AD89"/>
      <c r="AF89" s="373"/>
      <c r="AG89" s="373"/>
      <c r="AH89" s="373"/>
      <c r="AI89" s="373"/>
      <c r="AO89" s="373"/>
      <c r="AP89" s="373"/>
      <c r="AQ89" s="373"/>
      <c r="AR89" s="373"/>
      <c r="AS89" s="373"/>
      <c r="AT89" s="373"/>
      <c r="AU89" s="373"/>
      <c r="AV89" s="373"/>
      <c r="AW89" s="373"/>
      <c r="AX89" s="373"/>
      <c r="AY89" s="373"/>
      <c r="AZ89" s="373"/>
      <c r="BA89" s="373"/>
      <c r="BB89" s="373"/>
      <c r="BC89" s="373"/>
      <c r="BD89" s="373"/>
      <c r="BE89" s="373"/>
      <c r="BF89" s="373"/>
      <c r="BG89" s="373"/>
      <c r="BH89" s="373"/>
      <c r="BI89" s="482">
        <f t="shared" si="42"/>
        <v>77</v>
      </c>
      <c r="BJ89" s="325" t="s">
        <v>725</v>
      </c>
      <c r="BK89" s="307">
        <f>AC24</f>
        <v>0.16838636322063394</v>
      </c>
      <c r="BL89" s="285">
        <f t="shared" si="36"/>
        <v>-4.2680891485534084E-3</v>
      </c>
      <c r="BM89" s="307">
        <f t="shared" si="39"/>
        <v>0.16411827407208052</v>
      </c>
      <c r="BN89" s="313"/>
      <c r="BO89" s="319"/>
      <c r="BP89" s="319"/>
      <c r="BQ89" s="319"/>
      <c r="BR89" s="319"/>
    </row>
    <row r="90" spans="1:70">
      <c r="A90" s="313"/>
      <c r="B90" s="319"/>
      <c r="C90" s="319"/>
      <c r="D90" s="319"/>
      <c r="E90" s="319"/>
      <c r="G90" s="373"/>
      <c r="H90" s="373"/>
      <c r="I90" s="373"/>
      <c r="J90" s="373"/>
      <c r="Z90" s="313"/>
      <c r="AA90"/>
      <c r="AB90"/>
      <c r="AC90"/>
      <c r="AD90"/>
      <c r="AF90" s="373"/>
      <c r="AG90" s="373"/>
      <c r="AH90" s="373"/>
      <c r="AI90" s="373"/>
      <c r="AO90" s="373"/>
      <c r="AP90" s="373"/>
      <c r="AQ90" s="373"/>
      <c r="AR90" s="373"/>
      <c r="AS90" s="373"/>
      <c r="AT90" s="373"/>
      <c r="AU90" s="373"/>
      <c r="AV90" s="373"/>
      <c r="AW90" s="373"/>
      <c r="AX90" s="373"/>
      <c r="AY90" s="373"/>
      <c r="AZ90" s="373"/>
      <c r="BA90" s="373"/>
      <c r="BB90" s="373"/>
      <c r="BC90" s="373"/>
      <c r="BD90" s="373"/>
      <c r="BE90" s="373"/>
      <c r="BF90" s="373"/>
      <c r="BG90" s="373"/>
      <c r="BH90" s="373"/>
      <c r="BI90" s="482">
        <f t="shared" si="42"/>
        <v>78</v>
      </c>
      <c r="BJ90" s="325" t="s">
        <v>726</v>
      </c>
      <c r="BK90" s="234">
        <f>AC27</f>
        <v>3917699.507429909</v>
      </c>
      <c r="BL90" s="285">
        <f t="shared" si="36"/>
        <v>-99301.929414825907</v>
      </c>
      <c r="BM90" s="234">
        <f t="shared" si="39"/>
        <v>3818397.578015083</v>
      </c>
      <c r="BN90" s="313"/>
      <c r="BO90" s="319"/>
      <c r="BP90" s="319"/>
      <c r="BQ90" s="319"/>
      <c r="BR90" s="319"/>
    </row>
    <row r="91" spans="1:70">
      <c r="A91" s="313"/>
      <c r="B91" s="319"/>
      <c r="C91" s="319"/>
      <c r="D91" s="319"/>
      <c r="E91" s="319"/>
      <c r="G91" s="373"/>
      <c r="H91" s="373"/>
      <c r="I91" s="373"/>
      <c r="J91" s="373"/>
      <c r="Z91" s="313"/>
      <c r="AA91"/>
      <c r="AB91"/>
      <c r="AC91"/>
      <c r="AD91"/>
      <c r="AF91" s="373"/>
      <c r="AG91" s="373"/>
      <c r="AH91" s="373"/>
      <c r="AI91" s="373"/>
      <c r="AO91" s="373"/>
      <c r="AP91" s="373"/>
      <c r="AQ91" s="373"/>
      <c r="AR91" s="373"/>
      <c r="AS91" s="373"/>
      <c r="AT91" s="373"/>
      <c r="AU91" s="373"/>
      <c r="AV91" s="373"/>
      <c r="AW91" s="373"/>
      <c r="AX91" s="373"/>
      <c r="AY91" s="373"/>
      <c r="AZ91" s="373"/>
      <c r="BA91" s="373"/>
      <c r="BB91" s="373"/>
      <c r="BC91" s="373"/>
      <c r="BD91" s="373"/>
      <c r="BE91" s="373"/>
      <c r="BF91" s="373"/>
      <c r="BG91" s="373"/>
      <c r="BH91" s="373"/>
      <c r="BI91" s="482">
        <f t="shared" si="42"/>
        <v>79</v>
      </c>
      <c r="BJ91" s="325" t="s">
        <v>727</v>
      </c>
      <c r="BK91" s="234">
        <f>AC26</f>
        <v>596763.95810137875</v>
      </c>
      <c r="BL91" s="285">
        <f t="shared" si="36"/>
        <v>-15126.176045995648</v>
      </c>
      <c r="BM91" s="234">
        <f t="shared" si="39"/>
        <v>581637.78205538308</v>
      </c>
      <c r="BN91" s="313"/>
      <c r="BO91" s="319"/>
      <c r="BP91" s="319"/>
      <c r="BQ91" s="319"/>
      <c r="BR91" s="319"/>
    </row>
    <row r="92" spans="1:70">
      <c r="A92" s="313"/>
      <c r="B92" s="319"/>
      <c r="C92" s="319"/>
      <c r="D92" s="319"/>
      <c r="E92" s="319"/>
      <c r="G92" s="373"/>
      <c r="H92" s="373"/>
      <c r="I92" s="373"/>
      <c r="J92" s="373"/>
      <c r="Z92" s="313"/>
      <c r="AA92"/>
      <c r="AB92"/>
      <c r="AC92"/>
      <c r="AD92"/>
      <c r="AF92" s="373"/>
      <c r="AG92" s="373"/>
      <c r="AH92" s="373"/>
      <c r="AI92" s="373"/>
      <c r="AO92" s="373"/>
      <c r="AP92" s="373"/>
      <c r="AQ92" s="373"/>
      <c r="AR92" s="373"/>
      <c r="AS92" s="373"/>
      <c r="AT92" s="373"/>
      <c r="AU92" s="373"/>
      <c r="AV92" s="373"/>
      <c r="AW92" s="373"/>
      <c r="AX92" s="373"/>
      <c r="AY92" s="373"/>
      <c r="AZ92" s="373"/>
      <c r="BA92" s="373"/>
      <c r="BB92" s="373"/>
      <c r="BC92" s="373"/>
      <c r="BD92" s="373"/>
      <c r="BE92" s="373"/>
      <c r="BF92" s="373"/>
      <c r="BG92" s="373"/>
      <c r="BH92" s="373"/>
      <c r="BI92" s="482">
        <f t="shared" si="42"/>
        <v>80</v>
      </c>
      <c r="BJ92" s="325" t="s">
        <v>728</v>
      </c>
      <c r="BK92" s="234">
        <f>AC25</f>
        <v>151971.71732166281</v>
      </c>
      <c r="BL92" s="285">
        <f t="shared" si="36"/>
        <v>-3852.0271189521877</v>
      </c>
      <c r="BM92" s="198">
        <f t="shared" si="39"/>
        <v>148119.69020271063</v>
      </c>
      <c r="BN92" s="313"/>
      <c r="BO92" s="319"/>
      <c r="BP92" s="319"/>
      <c r="BQ92" s="319"/>
      <c r="BR92" s="319"/>
    </row>
    <row r="93" spans="1:70">
      <c r="A93" s="313"/>
      <c r="B93" s="319"/>
      <c r="C93" s="319"/>
      <c r="D93" s="319"/>
      <c r="E93" s="319"/>
      <c r="G93" s="373"/>
      <c r="H93" s="373"/>
      <c r="I93" s="373"/>
      <c r="J93" s="373"/>
      <c r="Z93" s="313"/>
      <c r="AA93"/>
      <c r="AB93"/>
      <c r="AC93"/>
      <c r="AD93"/>
      <c r="AF93" s="373"/>
      <c r="AG93" s="373"/>
      <c r="AH93" s="373"/>
      <c r="AI93" s="373"/>
      <c r="AO93" s="373"/>
      <c r="AP93" s="373"/>
      <c r="AQ93" s="373"/>
      <c r="AR93" s="373"/>
      <c r="AS93" s="373"/>
      <c r="AT93" s="373"/>
      <c r="AU93" s="373"/>
      <c r="AV93" s="373"/>
      <c r="AW93" s="373"/>
      <c r="AX93" s="373"/>
      <c r="AY93" s="373"/>
      <c r="AZ93" s="373"/>
      <c r="BA93" s="373"/>
      <c r="BB93" s="373"/>
      <c r="BC93" s="373"/>
      <c r="BD93" s="373"/>
      <c r="BE93" s="373"/>
      <c r="BF93" s="373"/>
      <c r="BG93" s="373"/>
      <c r="BH93" s="373"/>
      <c r="BI93" s="482">
        <f t="shared" si="42"/>
        <v>81</v>
      </c>
      <c r="BJ93" s="325" t="s">
        <v>458</v>
      </c>
      <c r="BK93" s="198">
        <f>AC30</f>
        <v>1128003.9151666719</v>
      </c>
      <c r="BL93" s="285">
        <f t="shared" si="36"/>
        <v>-28591.515237729633</v>
      </c>
      <c r="BM93" s="198">
        <f t="shared" si="39"/>
        <v>1099412.3999289423</v>
      </c>
      <c r="BN93" s="313"/>
      <c r="BO93" s="319"/>
      <c r="BP93" s="319"/>
      <c r="BQ93" s="319"/>
      <c r="BR93" s="319"/>
    </row>
    <row r="94" spans="1:70" ht="13.5" thickBot="1">
      <c r="A94" s="313"/>
      <c r="B94" s="319"/>
      <c r="C94" s="319"/>
      <c r="D94" s="319"/>
      <c r="E94" s="319"/>
      <c r="G94" s="373"/>
      <c r="H94" s="373"/>
      <c r="I94" s="373"/>
      <c r="J94" s="373"/>
      <c r="Z94" s="313"/>
      <c r="AA94"/>
      <c r="AB94"/>
      <c r="AC94"/>
      <c r="AD94"/>
      <c r="AF94" s="373"/>
      <c r="AG94" s="373"/>
      <c r="AH94" s="373"/>
      <c r="AI94" s="373"/>
      <c r="AO94" s="373"/>
      <c r="AP94" s="373"/>
      <c r="AQ94" s="373"/>
      <c r="AR94" s="373"/>
      <c r="AS94" s="373"/>
      <c r="AT94" s="373"/>
      <c r="AU94" s="373"/>
      <c r="AV94" s="373"/>
      <c r="AW94" s="373"/>
      <c r="AX94" s="373"/>
      <c r="AY94" s="373"/>
      <c r="AZ94" s="373"/>
      <c r="BA94" s="373"/>
      <c r="BB94" s="373"/>
      <c r="BC94" s="373"/>
      <c r="BD94" s="373"/>
      <c r="BE94" s="373"/>
      <c r="BF94" s="373"/>
      <c r="BG94" s="373"/>
      <c r="BH94" s="373"/>
      <c r="BI94" s="482">
        <f t="shared" si="42"/>
        <v>82</v>
      </c>
      <c r="BJ94" s="631" t="s">
        <v>459</v>
      </c>
      <c r="BK94" s="789">
        <f>SUM(BK76:BK93)</f>
        <v>199299276.70009151</v>
      </c>
      <c r="BL94" s="789">
        <f>SUM(BL76:BL93)</f>
        <v>-5051638.7665172191</v>
      </c>
      <c r="BM94" s="789">
        <f>SUM(BM76:BM93)</f>
        <v>194247637.93357426</v>
      </c>
      <c r="BN94" s="313"/>
      <c r="BO94" s="319"/>
      <c r="BP94" s="319"/>
      <c r="BQ94" s="319"/>
      <c r="BR94" s="319"/>
    </row>
    <row r="95" spans="1:70" ht="13.5" thickTop="1">
      <c r="A95" s="313"/>
      <c r="B95" s="319"/>
      <c r="C95" s="319"/>
      <c r="D95" s="319"/>
      <c r="E95" s="319"/>
      <c r="G95" s="373"/>
      <c r="H95" s="373"/>
      <c r="I95" s="373"/>
      <c r="J95" s="373"/>
      <c r="Z95" s="313"/>
      <c r="AA95"/>
      <c r="AB95"/>
      <c r="AC95"/>
      <c r="AD95"/>
      <c r="AF95" s="373"/>
      <c r="AG95" s="373"/>
      <c r="AH95" s="373"/>
      <c r="AI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373"/>
      <c r="BD95" s="373"/>
      <c r="BE95" s="373"/>
      <c r="BF95" s="373"/>
      <c r="BG95" s="373"/>
      <c r="BH95" s="373"/>
      <c r="BI95" s="482">
        <f t="shared" si="42"/>
        <v>83</v>
      </c>
      <c r="BJ95" s="820" t="s">
        <v>569</v>
      </c>
      <c r="BK95" s="822">
        <f>AC33+BB20-BB15-BB16-BK94</f>
        <v>0</v>
      </c>
      <c r="BL95" s="631"/>
      <c r="BM95" s="631"/>
      <c r="BN95" s="313"/>
      <c r="BO95" s="319"/>
      <c r="BP95" s="319"/>
      <c r="BQ95" s="319"/>
      <c r="BR95" s="319"/>
    </row>
    <row r="96" spans="1:70" ht="13.5" thickBot="1">
      <c r="A96" s="313"/>
      <c r="B96" s="319"/>
      <c r="C96" s="319"/>
      <c r="D96" s="319"/>
      <c r="E96" s="319"/>
      <c r="G96" s="373"/>
      <c r="H96" s="373"/>
      <c r="I96" s="373"/>
      <c r="J96" s="373"/>
      <c r="Z96" s="313"/>
      <c r="AA96"/>
      <c r="AB96"/>
      <c r="AC96"/>
      <c r="AD96"/>
      <c r="AF96" s="373"/>
      <c r="AG96" s="373"/>
      <c r="AH96" s="373"/>
      <c r="AI96" s="373"/>
      <c r="AO96" s="373"/>
      <c r="AP96" s="373"/>
      <c r="AQ96" s="373"/>
      <c r="AR96" s="373"/>
      <c r="AS96" s="373"/>
      <c r="AT96" s="373"/>
      <c r="AU96" s="373"/>
      <c r="AV96" s="373"/>
      <c r="AW96" s="373"/>
      <c r="AX96" s="373"/>
      <c r="AY96" s="373"/>
      <c r="AZ96" s="373"/>
      <c r="BA96" s="373"/>
      <c r="BB96" s="373"/>
      <c r="BC96" s="373"/>
      <c r="BD96" s="373"/>
      <c r="BE96" s="373"/>
      <c r="BF96" s="373"/>
      <c r="BG96" s="373"/>
      <c r="BH96" s="373"/>
      <c r="BI96" s="482">
        <f t="shared" si="42"/>
        <v>84</v>
      </c>
      <c r="BJ96" s="631" t="s">
        <v>347</v>
      </c>
      <c r="BK96" s="631"/>
      <c r="BL96" s="298">
        <f>BL73+BL94</f>
        <v>-54622970.766517222</v>
      </c>
      <c r="BM96" s="631"/>
      <c r="BN96" s="313"/>
      <c r="BO96" s="319"/>
      <c r="BP96" s="319"/>
      <c r="BQ96" s="319"/>
      <c r="BR96" s="319"/>
    </row>
    <row r="97" spans="1:85" s="374" customFormat="1" ht="13.5" thickTop="1">
      <c r="A97" s="313"/>
      <c r="B97" s="319"/>
      <c r="C97" s="319"/>
      <c r="D97" s="319"/>
      <c r="E97" s="319"/>
      <c r="G97" s="373"/>
      <c r="H97" s="373"/>
      <c r="I97" s="373"/>
      <c r="J97" s="373"/>
      <c r="Z97" s="313"/>
      <c r="AA97"/>
      <c r="AB97"/>
      <c r="AC97"/>
      <c r="AD97"/>
      <c r="AF97" s="373"/>
      <c r="AG97" s="373"/>
      <c r="AH97" s="373"/>
      <c r="AI97" s="373"/>
      <c r="AO97" s="373"/>
      <c r="AP97" s="373"/>
      <c r="AQ97" s="373"/>
      <c r="AR97" s="373"/>
      <c r="AS97" s="373"/>
      <c r="AT97" s="373"/>
      <c r="AU97" s="373"/>
      <c r="AV97" s="373"/>
      <c r="AW97" s="373"/>
      <c r="AX97" s="373"/>
      <c r="AY97" s="373"/>
      <c r="AZ97" s="373"/>
      <c r="BA97" s="373"/>
      <c r="BB97" s="373"/>
      <c r="BC97" s="373"/>
      <c r="BD97" s="373"/>
      <c r="BE97" s="373"/>
      <c r="BF97" s="373"/>
      <c r="BG97" s="373"/>
      <c r="BH97" s="373"/>
      <c r="BI97" s="482"/>
      <c r="BN97" s="313"/>
      <c r="BO97" s="319"/>
      <c r="BP97" s="319"/>
      <c r="BQ97" s="319"/>
      <c r="BR97" s="319"/>
      <c r="BS97" s="308"/>
      <c r="BT97" s="308"/>
      <c r="BU97" s="308"/>
      <c r="BV97" s="308"/>
      <c r="BW97" s="308"/>
      <c r="BX97" s="308"/>
      <c r="BY97" s="308"/>
      <c r="BZ97" s="308"/>
      <c r="CA97" s="308"/>
      <c r="CB97" s="308"/>
      <c r="CD97" s="95"/>
      <c r="CE97" s="95"/>
      <c r="CF97" s="95"/>
      <c r="CG97" s="95"/>
    </row>
    <row r="98" spans="1:85" s="374" customFormat="1">
      <c r="A98" s="313"/>
      <c r="B98" s="319"/>
      <c r="C98" s="319"/>
      <c r="D98" s="319"/>
      <c r="E98" s="319"/>
      <c r="G98" s="373"/>
      <c r="H98" s="373"/>
      <c r="I98" s="373"/>
      <c r="J98" s="373"/>
      <c r="Z98" s="313"/>
      <c r="AA98"/>
      <c r="AB98"/>
      <c r="AC98"/>
      <c r="AD98"/>
      <c r="AF98" s="373"/>
      <c r="AG98" s="373"/>
      <c r="AH98" s="373"/>
      <c r="AI98" s="373"/>
      <c r="AO98" s="373"/>
      <c r="AP98" s="373"/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482"/>
      <c r="BJ98" s="631"/>
      <c r="BK98" s="631"/>
      <c r="BL98" s="631"/>
      <c r="BM98" s="631"/>
      <c r="BN98" s="313"/>
      <c r="BO98" s="319"/>
      <c r="BP98" s="319"/>
      <c r="BQ98" s="319"/>
      <c r="BR98" s="319"/>
      <c r="BS98" s="308"/>
      <c r="BT98" s="308"/>
      <c r="BU98" s="308"/>
      <c r="BV98" s="308"/>
      <c r="BW98" s="308"/>
      <c r="BX98" s="308"/>
      <c r="BY98" s="308"/>
      <c r="BZ98" s="308"/>
      <c r="CA98" s="308"/>
      <c r="CB98" s="308"/>
      <c r="CD98" s="95"/>
      <c r="CE98" s="95"/>
      <c r="CF98" s="95"/>
      <c r="CG98" s="95"/>
    </row>
    <row r="99" spans="1:85" s="374" customFormat="1">
      <c r="A99" s="313"/>
      <c r="B99" s="319"/>
      <c r="C99" s="319"/>
      <c r="D99" s="319"/>
      <c r="E99" s="319"/>
      <c r="G99" s="373"/>
      <c r="H99" s="373"/>
      <c r="I99" s="373"/>
      <c r="J99" s="373"/>
      <c r="Z99" s="313"/>
      <c r="AA99"/>
      <c r="AB99"/>
      <c r="AC99"/>
      <c r="AD99"/>
      <c r="AF99" s="373"/>
      <c r="AG99" s="373"/>
      <c r="AH99" s="373"/>
      <c r="AI99" s="373"/>
      <c r="AO99" s="373"/>
      <c r="AP99" s="373"/>
      <c r="AQ99" s="373"/>
      <c r="AR99" s="373"/>
      <c r="AS99" s="373"/>
      <c r="AT99" s="373"/>
      <c r="AU99" s="373"/>
      <c r="AV99" s="373"/>
      <c r="AW99" s="373"/>
      <c r="AX99" s="373"/>
      <c r="AY99" s="373"/>
      <c r="AZ99" s="373"/>
      <c r="BA99" s="373"/>
      <c r="BB99" s="373"/>
      <c r="BC99" s="373"/>
      <c r="BD99" s="373"/>
      <c r="BE99" s="373"/>
      <c r="BF99" s="373"/>
      <c r="BG99" s="373"/>
      <c r="BH99" s="373"/>
      <c r="BI99"/>
      <c r="BJ99"/>
      <c r="BK99"/>
      <c r="BL99"/>
      <c r="BM99"/>
      <c r="BN99" s="313"/>
      <c r="BO99" s="319"/>
      <c r="BP99" s="319"/>
      <c r="BQ99" s="319"/>
      <c r="BR99" s="319"/>
      <c r="BS99" s="308"/>
      <c r="BT99" s="308"/>
      <c r="BU99" s="308"/>
      <c r="BV99" s="308"/>
      <c r="BW99" s="308"/>
      <c r="BX99" s="308"/>
      <c r="BY99" s="308"/>
      <c r="BZ99" s="308"/>
      <c r="CA99" s="308"/>
      <c r="CB99" s="308"/>
      <c r="CD99" s="95"/>
      <c r="CE99" s="95"/>
      <c r="CF99" s="95"/>
      <c r="CG99" s="95"/>
    </row>
    <row r="100" spans="1:85" s="374" customFormat="1">
      <c r="A100" s="313"/>
      <c r="B100" s="319"/>
      <c r="C100" s="319"/>
      <c r="D100" s="319"/>
      <c r="E100" s="319"/>
      <c r="G100" s="373"/>
      <c r="H100" s="373"/>
      <c r="I100" s="373"/>
      <c r="J100" s="373"/>
      <c r="Z100" s="313"/>
      <c r="AA100"/>
      <c r="AB100"/>
      <c r="AC100"/>
      <c r="AD100"/>
      <c r="AF100" s="373"/>
      <c r="AG100" s="373"/>
      <c r="AH100" s="373"/>
      <c r="AI100" s="373"/>
      <c r="AO100" s="373"/>
      <c r="AP100" s="373"/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373"/>
      <c r="BH100" s="373"/>
      <c r="BI100"/>
      <c r="BJ100"/>
      <c r="BK100"/>
      <c r="BL100"/>
      <c r="BM100"/>
      <c r="BN100" s="313"/>
      <c r="BO100" s="319"/>
      <c r="BP100" s="319"/>
      <c r="BQ100" s="319"/>
      <c r="BR100" s="319"/>
      <c r="BS100" s="308"/>
      <c r="BT100" s="308"/>
      <c r="BU100" s="308"/>
      <c r="BV100" s="308"/>
      <c r="BW100" s="308"/>
      <c r="BX100" s="308"/>
      <c r="BY100" s="308"/>
      <c r="BZ100" s="308"/>
      <c r="CA100" s="308"/>
      <c r="CB100" s="308"/>
      <c r="CD100" s="95"/>
      <c r="CE100" s="95"/>
      <c r="CF100" s="95"/>
      <c r="CG100" s="95"/>
    </row>
    <row r="101" spans="1:85" s="374" customFormat="1">
      <c r="A101" s="313"/>
      <c r="B101" s="319"/>
      <c r="C101" s="319"/>
      <c r="D101" s="319"/>
      <c r="E101" s="319"/>
      <c r="G101" s="373"/>
      <c r="H101" s="373"/>
      <c r="I101" s="373"/>
      <c r="J101" s="373"/>
      <c r="Z101" s="313"/>
      <c r="AA101"/>
      <c r="AB101"/>
      <c r="AC101"/>
      <c r="AD101"/>
      <c r="AF101" s="373"/>
      <c r="AG101" s="373"/>
      <c r="AH101" s="373"/>
      <c r="AI101" s="373"/>
      <c r="AO101" s="373"/>
      <c r="AP101" s="373"/>
      <c r="AQ101" s="373"/>
      <c r="AR101" s="373"/>
      <c r="AS101" s="373"/>
      <c r="AT101" s="373"/>
      <c r="AU101" s="373"/>
      <c r="AV101" s="373"/>
      <c r="AW101" s="373"/>
      <c r="AX101" s="373"/>
      <c r="AY101" s="373"/>
      <c r="AZ101" s="373"/>
      <c r="BA101" s="373"/>
      <c r="BB101" s="373"/>
      <c r="BC101" s="373"/>
      <c r="BD101" s="373"/>
      <c r="BE101" s="373"/>
      <c r="BF101" s="373"/>
      <c r="BG101" s="373"/>
      <c r="BH101" s="373"/>
      <c r="BI101"/>
      <c r="BJ101"/>
      <c r="BK101"/>
      <c r="BL101"/>
      <c r="BM101"/>
      <c r="BN101" s="313"/>
      <c r="BO101" s="319"/>
      <c r="BP101" s="319"/>
      <c r="BQ101" s="319"/>
      <c r="BR101" s="319"/>
      <c r="BS101" s="308"/>
      <c r="BT101" s="308"/>
      <c r="BU101" s="308"/>
      <c r="BV101" s="308"/>
      <c r="BW101" s="308"/>
      <c r="BX101" s="308"/>
      <c r="BY101" s="308"/>
      <c r="BZ101" s="308"/>
      <c r="CA101" s="308"/>
      <c r="CB101" s="308"/>
      <c r="CD101" s="95"/>
      <c r="CE101" s="95"/>
      <c r="CF101" s="95"/>
      <c r="CG101" s="95"/>
    </row>
    <row r="102" spans="1:85" s="374" customFormat="1">
      <c r="A102" s="313"/>
      <c r="B102" s="319"/>
      <c r="C102" s="319"/>
      <c r="D102" s="319"/>
      <c r="E102" s="319"/>
      <c r="G102" s="373"/>
      <c r="H102" s="373"/>
      <c r="I102" s="373"/>
      <c r="J102" s="373"/>
      <c r="Z102" s="313"/>
      <c r="AA102"/>
      <c r="AB102"/>
      <c r="AC102"/>
      <c r="AD102"/>
      <c r="AF102" s="373"/>
      <c r="AG102" s="373"/>
      <c r="AH102" s="373"/>
      <c r="AI102" s="373"/>
      <c r="AO102" s="373"/>
      <c r="AP102" s="373"/>
      <c r="AQ102" s="373"/>
      <c r="AR102" s="373"/>
      <c r="AS102" s="373"/>
      <c r="AT102" s="373"/>
      <c r="AU102" s="373"/>
      <c r="AV102" s="373"/>
      <c r="AW102" s="373"/>
      <c r="AX102" s="373"/>
      <c r="AY102" s="373"/>
      <c r="AZ102" s="373"/>
      <c r="BA102" s="373"/>
      <c r="BB102" s="373"/>
      <c r="BC102" s="373"/>
      <c r="BD102" s="373"/>
      <c r="BE102" s="373"/>
      <c r="BF102" s="373"/>
      <c r="BG102" s="373"/>
      <c r="BH102" s="373"/>
      <c r="BI102"/>
      <c r="BJ102"/>
      <c r="BK102"/>
      <c r="BL102"/>
      <c r="BM102"/>
      <c r="BN102" s="313"/>
      <c r="BO102" s="319"/>
      <c r="BP102" s="319"/>
      <c r="BQ102" s="319"/>
      <c r="BR102" s="319"/>
      <c r="BS102" s="308"/>
      <c r="BT102" s="308"/>
      <c r="BU102" s="308"/>
      <c r="BV102" s="308"/>
      <c r="BW102" s="308"/>
      <c r="BX102" s="308"/>
      <c r="BY102" s="308"/>
      <c r="BZ102" s="308"/>
      <c r="CA102" s="308"/>
      <c r="CB102" s="308"/>
      <c r="CD102" s="95"/>
      <c r="CE102" s="95"/>
      <c r="CF102" s="95"/>
      <c r="CG102" s="95"/>
    </row>
    <row r="103" spans="1:85" s="374" customFormat="1">
      <c r="A103" s="313"/>
      <c r="B103" s="319"/>
      <c r="C103" s="319"/>
      <c r="D103" s="319"/>
      <c r="E103" s="319"/>
      <c r="G103" s="373"/>
      <c r="H103" s="373"/>
      <c r="I103" s="373"/>
      <c r="J103" s="373"/>
      <c r="Z103" s="313"/>
      <c r="AA103"/>
      <c r="AB103"/>
      <c r="AC103"/>
      <c r="AD103"/>
      <c r="AF103" s="373"/>
      <c r="AG103" s="373"/>
      <c r="AH103" s="373"/>
      <c r="AI103" s="373"/>
      <c r="AO103" s="37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482"/>
      <c r="BJ103"/>
      <c r="BK103"/>
      <c r="BL103"/>
      <c r="BN103" s="313"/>
      <c r="BO103" s="319"/>
      <c r="BP103" s="319"/>
      <c r="BQ103" s="319"/>
      <c r="BR103" s="319"/>
      <c r="BS103" s="308"/>
      <c r="BT103" s="308"/>
      <c r="BU103" s="308"/>
      <c r="BV103" s="308"/>
      <c r="BW103" s="308"/>
      <c r="BX103" s="308"/>
      <c r="BY103" s="308"/>
      <c r="BZ103" s="308"/>
      <c r="CA103" s="308"/>
      <c r="CB103" s="308"/>
      <c r="CD103" s="95"/>
      <c r="CE103" s="95"/>
      <c r="CF103" s="95"/>
      <c r="CG103" s="95"/>
    </row>
    <row r="104" spans="1:85" s="374" customFormat="1">
      <c r="A104" s="313"/>
      <c r="B104" s="319"/>
      <c r="C104" s="319"/>
      <c r="D104" s="319"/>
      <c r="E104" s="319"/>
      <c r="G104" s="373"/>
      <c r="H104" s="373"/>
      <c r="I104" s="373"/>
      <c r="J104" s="373"/>
      <c r="Z104" s="313"/>
      <c r="AA104"/>
      <c r="AB104"/>
      <c r="AC104"/>
      <c r="AD104"/>
      <c r="AF104" s="373"/>
      <c r="AG104" s="373"/>
      <c r="AH104" s="373"/>
      <c r="AI104" s="373"/>
      <c r="AO104" s="373"/>
      <c r="AP104" s="373"/>
      <c r="AQ104" s="373"/>
      <c r="AR104" s="373"/>
      <c r="AS104" s="373"/>
      <c r="AT104" s="373"/>
      <c r="AU104" s="373"/>
      <c r="AV104" s="373"/>
      <c r="AW104" s="373"/>
      <c r="AX104" s="373"/>
      <c r="AY104" s="373"/>
      <c r="AZ104" s="373"/>
      <c r="BA104" s="373"/>
      <c r="BB104" s="373"/>
      <c r="BC104" s="373"/>
      <c r="BD104" s="373"/>
      <c r="BE104" s="373"/>
      <c r="BF104" s="373"/>
      <c r="BG104" s="373"/>
      <c r="BH104" s="373"/>
      <c r="BN104" s="313"/>
      <c r="BO104" s="319"/>
      <c r="BP104" s="319"/>
      <c r="BQ104" s="319"/>
      <c r="BR104" s="319"/>
      <c r="BS104" s="308"/>
      <c r="BT104" s="308"/>
      <c r="BU104" s="308"/>
      <c r="BV104" s="308"/>
      <c r="BW104" s="308"/>
      <c r="BX104" s="308"/>
      <c r="BY104" s="308"/>
      <c r="BZ104" s="308"/>
      <c r="CA104" s="308"/>
      <c r="CB104" s="308"/>
      <c r="CD104" s="95"/>
      <c r="CE104" s="95"/>
      <c r="CF104" s="95"/>
      <c r="CG104" s="95"/>
    </row>
    <row r="105" spans="1:85" s="374" customFormat="1">
      <c r="A105" s="313"/>
      <c r="B105" s="319"/>
      <c r="C105" s="319"/>
      <c r="D105" s="319"/>
      <c r="E105" s="319"/>
      <c r="G105" s="373"/>
      <c r="H105" s="373"/>
      <c r="I105" s="373"/>
      <c r="J105" s="373"/>
      <c r="Z105" s="313"/>
      <c r="AA105"/>
      <c r="AB105"/>
      <c r="AC105"/>
      <c r="AD105"/>
      <c r="AF105" s="373"/>
      <c r="AG105" s="373"/>
      <c r="AH105" s="373"/>
      <c r="AI105" s="373"/>
      <c r="AO105" s="373"/>
      <c r="AP105" s="373"/>
      <c r="AQ105" s="373"/>
      <c r="AR105" s="373"/>
      <c r="AS105" s="373"/>
      <c r="AT105" s="373"/>
      <c r="AU105" s="373"/>
      <c r="AV105" s="373"/>
      <c r="AW105" s="373"/>
      <c r="AX105" s="373"/>
      <c r="AY105" s="373"/>
      <c r="AZ105" s="373"/>
      <c r="BA105" s="373"/>
      <c r="BB105" s="373"/>
      <c r="BC105" s="373"/>
      <c r="BD105" s="373"/>
      <c r="BE105" s="373"/>
      <c r="BF105" s="373"/>
      <c r="BG105" s="373"/>
      <c r="BH105" s="373"/>
      <c r="BN105" s="313"/>
      <c r="BO105" s="319"/>
      <c r="BP105" s="319"/>
      <c r="BQ105" s="319"/>
      <c r="BR105" s="319"/>
      <c r="BS105" s="308"/>
      <c r="BT105" s="308"/>
      <c r="BU105" s="308"/>
      <c r="BV105" s="308"/>
      <c r="BW105" s="308"/>
      <c r="BX105" s="308"/>
      <c r="BY105" s="308"/>
      <c r="BZ105" s="308"/>
      <c r="CA105" s="308"/>
      <c r="CB105" s="308"/>
      <c r="CD105" s="95"/>
      <c r="CE105" s="95"/>
      <c r="CF105" s="95"/>
      <c r="CG105" s="95"/>
    </row>
    <row r="106" spans="1:85" s="374" customFormat="1">
      <c r="A106" s="313"/>
      <c r="B106" s="319"/>
      <c r="C106" s="319"/>
      <c r="D106" s="319"/>
      <c r="E106" s="319"/>
      <c r="G106" s="373"/>
      <c r="H106" s="373"/>
      <c r="I106" s="373"/>
      <c r="J106" s="373"/>
      <c r="Z106" s="313"/>
      <c r="AA106"/>
      <c r="AB106"/>
      <c r="AC106"/>
      <c r="AD106"/>
      <c r="AF106" s="373"/>
      <c r="AG106" s="373"/>
      <c r="AH106" s="373"/>
      <c r="AI106" s="373"/>
      <c r="AO106" s="373"/>
      <c r="AP106" s="373"/>
      <c r="AQ106" s="373"/>
      <c r="AR106" s="373"/>
      <c r="AS106" s="373"/>
      <c r="AT106" s="373"/>
      <c r="AU106" s="373"/>
      <c r="AV106" s="373"/>
      <c r="AW106" s="373"/>
      <c r="AX106" s="373"/>
      <c r="AY106" s="373"/>
      <c r="AZ106" s="373"/>
      <c r="BA106" s="373"/>
      <c r="BB106" s="373"/>
      <c r="BC106" s="373"/>
      <c r="BD106" s="373"/>
      <c r="BE106" s="373"/>
      <c r="BF106" s="373"/>
      <c r="BG106" s="373"/>
      <c r="BH106" s="373"/>
      <c r="BN106" s="313"/>
      <c r="BO106" s="319"/>
      <c r="BP106" s="319"/>
      <c r="BQ106" s="319"/>
      <c r="BR106" s="319"/>
      <c r="BS106" s="308"/>
      <c r="BT106" s="308"/>
      <c r="BU106" s="308"/>
      <c r="BV106" s="308"/>
      <c r="BW106" s="308"/>
      <c r="BX106" s="308"/>
      <c r="BY106" s="308"/>
      <c r="BZ106" s="308"/>
      <c r="CA106" s="308"/>
      <c r="CB106" s="308"/>
      <c r="CD106" s="95"/>
      <c r="CE106" s="95"/>
      <c r="CF106" s="95"/>
      <c r="CG106" s="95"/>
    </row>
    <row r="107" spans="1:85" s="374" customFormat="1">
      <c r="A107" s="313"/>
      <c r="B107" s="319"/>
      <c r="C107" s="319"/>
      <c r="D107" s="319"/>
      <c r="E107" s="319"/>
      <c r="G107" s="373"/>
      <c r="H107" s="373"/>
      <c r="I107" s="373"/>
      <c r="J107" s="373"/>
      <c r="Z107" s="313"/>
      <c r="AA107"/>
      <c r="AB107"/>
      <c r="AC107"/>
      <c r="AD107"/>
      <c r="AF107" s="373"/>
      <c r="AG107" s="373"/>
      <c r="AH107" s="373"/>
      <c r="AI107" s="373"/>
      <c r="AO107" s="373"/>
      <c r="AP107" s="373"/>
      <c r="AQ107" s="373"/>
      <c r="AR107" s="373"/>
      <c r="AS107" s="373"/>
      <c r="AT107" s="373"/>
      <c r="AU107" s="373"/>
      <c r="AV107" s="373"/>
      <c r="AW107" s="373"/>
      <c r="AX107" s="373"/>
      <c r="AY107" s="373"/>
      <c r="AZ107" s="373"/>
      <c r="BA107" s="373"/>
      <c r="BB107" s="373"/>
      <c r="BC107" s="373"/>
      <c r="BD107" s="373"/>
      <c r="BE107" s="373"/>
      <c r="BF107" s="373"/>
      <c r="BG107" s="373"/>
      <c r="BH107" s="373"/>
      <c r="BN107" s="313"/>
      <c r="BO107" s="319"/>
      <c r="BP107" s="319"/>
      <c r="BQ107" s="319"/>
      <c r="BR107" s="319"/>
      <c r="BS107" s="308"/>
      <c r="BT107" s="308"/>
      <c r="BU107" s="308"/>
      <c r="BV107" s="308"/>
      <c r="BW107" s="308"/>
      <c r="BX107" s="308"/>
      <c r="BY107" s="308"/>
      <c r="BZ107" s="308"/>
      <c r="CA107" s="308"/>
      <c r="CB107" s="308"/>
      <c r="CD107" s="95"/>
      <c r="CE107" s="95"/>
      <c r="CF107" s="95"/>
      <c r="CG107" s="95"/>
    </row>
    <row r="108" spans="1:85" s="374" customFormat="1">
      <c r="A108" s="313"/>
      <c r="B108" s="319"/>
      <c r="C108" s="319"/>
      <c r="D108" s="319"/>
      <c r="E108" s="319"/>
      <c r="G108" s="373"/>
      <c r="H108" s="373"/>
      <c r="I108" s="373"/>
      <c r="J108" s="373"/>
      <c r="Z108" s="313"/>
      <c r="AA108"/>
      <c r="AB108"/>
      <c r="AC108"/>
      <c r="AD108"/>
      <c r="AF108" s="373"/>
      <c r="AG108" s="373"/>
      <c r="AH108" s="373"/>
      <c r="AI108" s="373"/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373"/>
      <c r="AY108" s="373"/>
      <c r="AZ108" s="373"/>
      <c r="BA108" s="373"/>
      <c r="BB108" s="373"/>
      <c r="BC108" s="373"/>
      <c r="BD108" s="373"/>
      <c r="BE108" s="373"/>
      <c r="BF108" s="373"/>
      <c r="BG108" s="373"/>
      <c r="BH108" s="373"/>
      <c r="BN108" s="313"/>
      <c r="BO108" s="319"/>
      <c r="BP108" s="319"/>
      <c r="BQ108" s="319"/>
      <c r="BR108" s="319"/>
      <c r="BS108" s="308"/>
      <c r="BT108" s="308"/>
      <c r="BU108" s="308"/>
      <c r="BV108" s="308"/>
      <c r="BW108" s="308"/>
      <c r="BX108" s="308"/>
      <c r="BY108" s="308"/>
      <c r="BZ108" s="308"/>
      <c r="CA108" s="308"/>
      <c r="CB108" s="308"/>
      <c r="CD108" s="95"/>
      <c r="CE108" s="95"/>
      <c r="CF108" s="95"/>
      <c r="CG108" s="95"/>
    </row>
    <row r="109" spans="1:85" s="374" customFormat="1">
      <c r="A109" s="313"/>
      <c r="B109" s="319"/>
      <c r="C109" s="319"/>
      <c r="D109" s="319"/>
      <c r="E109" s="319"/>
      <c r="G109" s="373"/>
      <c r="H109" s="373"/>
      <c r="I109" s="373"/>
      <c r="J109" s="373"/>
      <c r="Z109" s="313"/>
      <c r="AA109"/>
      <c r="AB109"/>
      <c r="AC109"/>
      <c r="AD109"/>
      <c r="AF109" s="373"/>
      <c r="AG109" s="373"/>
      <c r="AH109" s="373"/>
      <c r="AI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373"/>
      <c r="AY109" s="373"/>
      <c r="AZ109" s="373"/>
      <c r="BA109" s="373"/>
      <c r="BB109" s="373"/>
      <c r="BC109" s="373"/>
      <c r="BD109" s="373"/>
      <c r="BE109" s="373"/>
      <c r="BF109" s="373"/>
      <c r="BG109" s="373"/>
      <c r="BH109" s="373"/>
      <c r="BN109" s="313"/>
      <c r="BO109" s="319"/>
      <c r="BP109" s="319"/>
      <c r="BQ109" s="319"/>
      <c r="BR109" s="319"/>
      <c r="BS109" s="308"/>
      <c r="BT109" s="308"/>
      <c r="BU109" s="308"/>
      <c r="BV109" s="308"/>
      <c r="BW109" s="308"/>
      <c r="BX109" s="308"/>
      <c r="BY109" s="308"/>
      <c r="BZ109" s="308"/>
      <c r="CA109" s="308"/>
      <c r="CB109" s="308"/>
      <c r="CD109" s="95"/>
      <c r="CE109" s="95"/>
      <c r="CF109" s="95"/>
      <c r="CG109" s="95"/>
    </row>
    <row r="110" spans="1:85" s="374" customFormat="1">
      <c r="A110" s="313"/>
      <c r="B110" s="319"/>
      <c r="C110" s="319"/>
      <c r="D110" s="319"/>
      <c r="E110" s="319"/>
      <c r="G110" s="373"/>
      <c r="H110" s="373"/>
      <c r="I110" s="373"/>
      <c r="J110" s="373"/>
      <c r="Z110" s="313"/>
      <c r="AA110"/>
      <c r="AB110"/>
      <c r="AC110"/>
      <c r="AD110"/>
      <c r="AF110" s="373"/>
      <c r="AG110" s="373"/>
      <c r="AH110" s="373"/>
      <c r="AI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373"/>
      <c r="AY110" s="373"/>
      <c r="AZ110" s="373"/>
      <c r="BA110" s="373"/>
      <c r="BB110" s="373"/>
      <c r="BC110" s="373"/>
      <c r="BD110" s="373"/>
      <c r="BE110" s="373"/>
      <c r="BF110" s="373"/>
      <c r="BG110" s="373"/>
      <c r="BH110" s="373"/>
      <c r="BN110" s="313"/>
      <c r="BO110" s="319"/>
      <c r="BP110" s="319"/>
      <c r="BQ110" s="319"/>
      <c r="BR110" s="319"/>
      <c r="BS110" s="308"/>
      <c r="BT110" s="308"/>
      <c r="BU110" s="308"/>
      <c r="BV110" s="308"/>
      <c r="BW110" s="308"/>
      <c r="BX110" s="308"/>
      <c r="BY110" s="308"/>
      <c r="BZ110" s="308"/>
      <c r="CA110" s="308"/>
      <c r="CB110" s="308"/>
      <c r="CD110" s="95"/>
      <c r="CE110" s="95"/>
      <c r="CF110" s="95"/>
      <c r="CG110" s="95"/>
    </row>
    <row r="111" spans="1:85">
      <c r="A111" s="313"/>
      <c r="B111" s="319"/>
      <c r="C111" s="319"/>
      <c r="D111" s="319"/>
      <c r="E111" s="319"/>
      <c r="G111" s="373"/>
      <c r="H111" s="373"/>
      <c r="I111" s="373"/>
      <c r="J111" s="373"/>
      <c r="Z111" s="313"/>
      <c r="AA111"/>
      <c r="AB111"/>
      <c r="AC111"/>
      <c r="AD111"/>
      <c r="AF111" s="373"/>
      <c r="AG111" s="373"/>
      <c r="AH111" s="373"/>
      <c r="AI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3"/>
      <c r="BG111" s="373"/>
      <c r="BH111" s="373"/>
      <c r="BN111" s="313"/>
      <c r="BO111" s="319"/>
      <c r="BP111" s="319"/>
      <c r="BQ111" s="319"/>
      <c r="BR111" s="319"/>
    </row>
    <row r="112" spans="1:85">
      <c r="A112" s="313"/>
      <c r="B112" s="319"/>
      <c r="C112" s="319"/>
      <c r="D112" s="319"/>
      <c r="E112" s="319"/>
      <c r="G112" s="373"/>
      <c r="H112" s="373"/>
      <c r="I112" s="373"/>
      <c r="J112" s="373"/>
      <c r="Z112" s="313"/>
      <c r="AA112"/>
      <c r="AB112"/>
      <c r="AC112"/>
      <c r="AD112"/>
      <c r="AF112" s="373"/>
      <c r="AG112" s="373"/>
      <c r="AH112" s="373"/>
      <c r="AI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3"/>
      <c r="BE112" s="373"/>
      <c r="BF112" s="373"/>
      <c r="BG112" s="373"/>
      <c r="BH112" s="373"/>
      <c r="BN112" s="313"/>
      <c r="BO112" s="319"/>
      <c r="BP112" s="319"/>
      <c r="BQ112" s="319"/>
      <c r="BR112" s="319"/>
    </row>
    <row r="113" spans="1:70">
      <c r="A113" s="313"/>
      <c r="B113" s="319"/>
      <c r="C113" s="319"/>
      <c r="D113" s="319"/>
      <c r="E113" s="319"/>
      <c r="G113" s="373"/>
      <c r="H113" s="373"/>
      <c r="I113" s="373"/>
      <c r="J113" s="373"/>
      <c r="Z113" s="313"/>
      <c r="AA113"/>
      <c r="AB113"/>
      <c r="AC113"/>
      <c r="AD113"/>
      <c r="AF113" s="373"/>
      <c r="AG113" s="373"/>
      <c r="AH113" s="373"/>
      <c r="AI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373"/>
      <c r="BD113" s="373"/>
      <c r="BE113" s="373"/>
      <c r="BF113" s="373"/>
      <c r="BG113" s="373"/>
      <c r="BH113" s="373"/>
      <c r="BN113" s="313"/>
      <c r="BO113" s="319"/>
      <c r="BP113" s="319"/>
      <c r="BQ113" s="319"/>
      <c r="BR113" s="319"/>
    </row>
    <row r="114" spans="1:70">
      <c r="A114" s="313"/>
      <c r="B114" s="319"/>
      <c r="C114" s="319"/>
      <c r="D114" s="319"/>
      <c r="E114" s="319"/>
      <c r="G114" s="373"/>
      <c r="H114" s="373"/>
      <c r="I114" s="373"/>
      <c r="J114" s="373"/>
      <c r="Z114" s="313"/>
      <c r="AA114"/>
      <c r="AB114"/>
      <c r="AC114"/>
      <c r="AD114"/>
      <c r="AF114" s="373"/>
      <c r="AG114" s="373"/>
      <c r="AH114" s="373"/>
      <c r="AI114" s="373"/>
      <c r="AO114" s="373"/>
      <c r="AP114" s="373"/>
      <c r="AQ114" s="373"/>
      <c r="AR114" s="373"/>
      <c r="AS114" s="373"/>
      <c r="AT114" s="373"/>
      <c r="AU114" s="373"/>
      <c r="AV114" s="373"/>
      <c r="AW114" s="373"/>
      <c r="AX114" s="373"/>
      <c r="AY114" s="373"/>
      <c r="AZ114" s="373"/>
      <c r="BA114" s="373"/>
      <c r="BB114" s="373"/>
      <c r="BC114" s="373"/>
      <c r="BD114" s="373"/>
      <c r="BE114" s="373"/>
      <c r="BF114" s="373"/>
      <c r="BG114" s="373"/>
      <c r="BH114" s="373"/>
      <c r="BN114" s="313"/>
      <c r="BO114" s="319"/>
      <c r="BP114" s="319"/>
      <c r="BQ114" s="319"/>
      <c r="BR114" s="319"/>
    </row>
    <row r="115" spans="1:70">
      <c r="A115" s="313"/>
      <c r="B115" s="319"/>
      <c r="C115" s="319"/>
      <c r="D115" s="319"/>
      <c r="E115" s="319"/>
      <c r="G115" s="373"/>
      <c r="H115" s="373"/>
      <c r="I115" s="373"/>
      <c r="J115" s="373"/>
      <c r="Z115" s="313"/>
      <c r="AA115"/>
      <c r="AB115"/>
      <c r="AC115"/>
      <c r="AD115"/>
      <c r="AF115" s="373"/>
      <c r="AG115" s="373"/>
      <c r="AH115" s="373"/>
      <c r="AI115" s="373"/>
      <c r="AO115" s="373"/>
      <c r="AP115" s="373"/>
      <c r="AQ115" s="373"/>
      <c r="AR115" s="373"/>
      <c r="AS115" s="373"/>
      <c r="AT115" s="373"/>
      <c r="AU115" s="373"/>
      <c r="AV115" s="373"/>
      <c r="AW115" s="373"/>
      <c r="AX115" s="373"/>
      <c r="AY115" s="373"/>
      <c r="AZ115" s="373"/>
      <c r="BA115" s="373"/>
      <c r="BB115" s="373"/>
      <c r="BC115" s="373"/>
      <c r="BD115" s="373"/>
      <c r="BE115" s="373"/>
      <c r="BF115" s="373"/>
      <c r="BG115" s="373"/>
      <c r="BH115" s="373"/>
      <c r="BN115" s="313"/>
      <c r="BO115" s="319"/>
      <c r="BP115" s="319"/>
      <c r="BQ115" s="319"/>
      <c r="BR115" s="319"/>
    </row>
    <row r="116" spans="1:70">
      <c r="A116" s="313"/>
      <c r="B116" s="319"/>
      <c r="C116" s="319"/>
      <c r="D116" s="319"/>
      <c r="E116" s="319"/>
      <c r="G116" s="373"/>
      <c r="H116" s="373"/>
      <c r="I116" s="373"/>
      <c r="J116" s="373"/>
      <c r="Z116" s="313"/>
      <c r="AA116"/>
      <c r="AB116"/>
      <c r="AC116"/>
      <c r="AD116"/>
      <c r="AF116" s="373"/>
      <c r="AG116" s="373"/>
      <c r="AH116" s="373"/>
      <c r="AI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3"/>
      <c r="BG116" s="373"/>
      <c r="BH116" s="373"/>
      <c r="BN116" s="313"/>
      <c r="BO116" s="319"/>
      <c r="BP116" s="319"/>
      <c r="BQ116" s="319"/>
      <c r="BR116" s="319"/>
    </row>
    <row r="117" spans="1:70">
      <c r="A117" s="313"/>
      <c r="B117" s="319"/>
      <c r="C117" s="319"/>
      <c r="D117" s="319"/>
      <c r="E117" s="319"/>
      <c r="G117" s="373"/>
      <c r="H117" s="373"/>
      <c r="I117" s="373"/>
      <c r="J117" s="373"/>
      <c r="Z117" s="313"/>
      <c r="AA117"/>
      <c r="AB117"/>
      <c r="AC117"/>
      <c r="AD117"/>
      <c r="AF117" s="373"/>
      <c r="AG117" s="373"/>
      <c r="AH117" s="373"/>
      <c r="AI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3"/>
      <c r="BG117" s="373"/>
      <c r="BH117" s="373"/>
      <c r="BN117" s="313"/>
      <c r="BO117" s="319"/>
      <c r="BP117" s="319"/>
      <c r="BQ117" s="319"/>
      <c r="BR117" s="319"/>
    </row>
    <row r="118" spans="1:70">
      <c r="A118" s="313"/>
      <c r="B118" s="319"/>
      <c r="C118" s="319"/>
      <c r="D118" s="319"/>
      <c r="E118" s="319"/>
      <c r="G118" s="373"/>
      <c r="H118" s="373"/>
      <c r="I118" s="373"/>
      <c r="J118" s="373"/>
      <c r="Z118" s="313"/>
      <c r="AA118"/>
      <c r="AB118"/>
      <c r="AC118"/>
      <c r="AD118"/>
      <c r="AF118" s="373"/>
      <c r="AG118" s="373"/>
      <c r="AH118" s="373"/>
      <c r="AI118" s="373"/>
      <c r="AO118" s="373"/>
      <c r="AP118" s="373"/>
      <c r="AQ118" s="373"/>
      <c r="AR118" s="373"/>
      <c r="AS118" s="373"/>
      <c r="AT118" s="373"/>
      <c r="AU118" s="373"/>
      <c r="AV118" s="373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3"/>
      <c r="BG118" s="373"/>
      <c r="BH118" s="373"/>
      <c r="BN118" s="313"/>
      <c r="BO118" s="319"/>
      <c r="BP118" s="319"/>
      <c r="BQ118" s="319"/>
      <c r="BR118" s="319"/>
    </row>
    <row r="119" spans="1:70">
      <c r="A119" s="313"/>
      <c r="B119" s="319"/>
      <c r="C119" s="319"/>
      <c r="D119" s="319"/>
      <c r="E119" s="319"/>
      <c r="G119" s="373"/>
      <c r="H119" s="373"/>
      <c r="I119" s="373"/>
      <c r="J119" s="373"/>
      <c r="Z119" s="313"/>
      <c r="AA119"/>
      <c r="AB119"/>
      <c r="AC119"/>
      <c r="AD119"/>
      <c r="AF119" s="373"/>
      <c r="AG119" s="373"/>
      <c r="AH119" s="373"/>
      <c r="AI119" s="373"/>
      <c r="BJ119" s="95"/>
      <c r="BK119" s="95"/>
      <c r="BL119" s="95"/>
      <c r="BM119" s="95"/>
      <c r="BN119" s="313"/>
      <c r="BO119" s="319"/>
      <c r="BP119" s="319"/>
      <c r="BQ119" s="319"/>
      <c r="BR119" s="319"/>
    </row>
    <row r="120" spans="1:70">
      <c r="G120" s="373"/>
      <c r="H120" s="373"/>
      <c r="I120" s="373"/>
      <c r="J120" s="373"/>
      <c r="Z120" s="313"/>
      <c r="AA120"/>
      <c r="AB120"/>
      <c r="AC120"/>
      <c r="AD120"/>
      <c r="AF120" s="373"/>
      <c r="AG120" s="373"/>
      <c r="AH120" s="373"/>
      <c r="AI120" s="373"/>
      <c r="BJ120" s="95"/>
      <c r="BK120" s="95"/>
      <c r="BL120" s="95"/>
      <c r="BM120" s="95"/>
    </row>
    <row r="121" spans="1:70">
      <c r="G121" s="373"/>
      <c r="H121" s="373"/>
      <c r="I121" s="373"/>
      <c r="J121" s="373"/>
      <c r="Z121" s="313"/>
      <c r="AA121"/>
      <c r="AB121"/>
      <c r="AC121"/>
      <c r="AD121"/>
      <c r="BJ121" s="95"/>
      <c r="BK121" s="95"/>
      <c r="BL121" s="95"/>
      <c r="BM121" s="95"/>
    </row>
    <row r="122" spans="1:70">
      <c r="G122" s="373"/>
      <c r="H122" s="373"/>
      <c r="I122" s="373"/>
      <c r="J122" s="373"/>
      <c r="Z122" s="313"/>
      <c r="AA122"/>
      <c r="AB122"/>
      <c r="AC122"/>
      <c r="AD122"/>
      <c r="BJ122" s="95"/>
      <c r="BK122" s="95"/>
      <c r="BL122" s="95"/>
      <c r="BM122" s="95"/>
    </row>
    <row r="123" spans="1:70">
      <c r="G123" s="373"/>
      <c r="H123" s="373"/>
      <c r="I123" s="373"/>
      <c r="J123" s="373"/>
      <c r="Z123" s="313"/>
      <c r="AA123"/>
      <c r="AB123"/>
      <c r="AC123"/>
      <c r="AD123"/>
      <c r="BJ123" s="95"/>
      <c r="BK123" s="95"/>
      <c r="BL123" s="95"/>
      <c r="BM123" s="95"/>
    </row>
    <row r="124" spans="1:70">
      <c r="G124" s="373"/>
      <c r="H124" s="373"/>
      <c r="I124" s="373"/>
      <c r="J124" s="373"/>
      <c r="Z124" s="313"/>
      <c r="AA124"/>
      <c r="AB124"/>
      <c r="AC124"/>
      <c r="AD124"/>
      <c r="BJ124" s="95"/>
      <c r="BK124" s="95"/>
      <c r="BL124" s="95"/>
      <c r="BM124" s="95"/>
    </row>
    <row r="125" spans="1:70">
      <c r="G125" s="373"/>
      <c r="H125" s="373"/>
      <c r="I125" s="373"/>
      <c r="J125" s="373"/>
      <c r="Z125" s="313"/>
      <c r="AA125"/>
      <c r="AB125"/>
      <c r="AC125"/>
      <c r="AD125"/>
      <c r="BJ125" s="95"/>
      <c r="BK125" s="95"/>
      <c r="BL125" s="95"/>
      <c r="BM125" s="95"/>
    </row>
    <row r="126" spans="1:70">
      <c r="G126" s="373"/>
      <c r="H126" s="373"/>
      <c r="I126" s="373"/>
      <c r="J126" s="373"/>
      <c r="Z126" s="313"/>
      <c r="AA126"/>
      <c r="AB126"/>
      <c r="AC126"/>
      <c r="AD126"/>
      <c r="BJ126" s="95"/>
      <c r="BK126" s="95"/>
      <c r="BL126" s="95"/>
      <c r="BM126" s="95"/>
    </row>
    <row r="127" spans="1:70">
      <c r="G127" s="373"/>
      <c r="H127" s="373"/>
      <c r="I127" s="373"/>
      <c r="J127" s="373"/>
      <c r="Z127" s="313"/>
      <c r="AA127"/>
      <c r="AB127"/>
      <c r="AC127"/>
      <c r="AD127"/>
      <c r="BJ127" s="95"/>
      <c r="BK127" s="95"/>
      <c r="BL127" s="95"/>
      <c r="BM127" s="95"/>
    </row>
    <row r="128" spans="1:70">
      <c r="G128" s="373"/>
      <c r="H128" s="373"/>
      <c r="I128" s="373"/>
      <c r="J128" s="373"/>
      <c r="Z128" s="313"/>
      <c r="AA128"/>
      <c r="AB128"/>
      <c r="AC128"/>
      <c r="AD128"/>
      <c r="BJ128" s="95"/>
      <c r="BK128" s="95"/>
      <c r="BL128" s="95"/>
      <c r="BM128" s="95"/>
    </row>
    <row r="129" spans="26:65">
      <c r="Z129" s="313"/>
      <c r="AA129"/>
      <c r="AB129"/>
      <c r="AC129"/>
      <c r="AD129"/>
      <c r="BJ129" s="95"/>
      <c r="BK129" s="95"/>
      <c r="BL129" s="95"/>
      <c r="BM129" s="95"/>
    </row>
    <row r="130" spans="26:65">
      <c r="Z130" s="313"/>
      <c r="AA130"/>
      <c r="AB130"/>
      <c r="AC130"/>
      <c r="AD130"/>
    </row>
    <row r="131" spans="26:65">
      <c r="Z131" s="313"/>
      <c r="AA131"/>
      <c r="AB131"/>
      <c r="AC131"/>
      <c r="AD131"/>
      <c r="BJ131" s="95"/>
      <c r="BK131" s="95"/>
      <c r="BL131" s="95"/>
      <c r="BM131" s="95"/>
    </row>
    <row r="132" spans="26:65">
      <c r="Z132" s="313"/>
      <c r="AA132"/>
      <c r="AB132"/>
      <c r="AC132"/>
      <c r="AD132"/>
      <c r="BJ132" s="95"/>
      <c r="BK132" s="95"/>
      <c r="BL132" s="95"/>
      <c r="BM132" s="95"/>
    </row>
    <row r="133" spans="26:65">
      <c r="Z133" s="313"/>
      <c r="AA133"/>
      <c r="AB133"/>
      <c r="AC133"/>
      <c r="AD133"/>
      <c r="BJ133" s="95"/>
      <c r="BK133" s="95"/>
      <c r="BL133" s="95"/>
      <c r="BM133" s="95"/>
    </row>
    <row r="134" spans="26:65">
      <c r="Z134" s="313"/>
      <c r="AA134"/>
      <c r="AB134"/>
      <c r="AC134"/>
      <c r="AD134"/>
      <c r="BJ134" s="95"/>
      <c r="BK134" s="95"/>
      <c r="BL134" s="95"/>
      <c r="BM134" s="95"/>
    </row>
    <row r="135" spans="26:65">
      <c r="Z135" s="313"/>
      <c r="AA135"/>
      <c r="AB135"/>
      <c r="AC135"/>
      <c r="AD135"/>
      <c r="BJ135" s="95"/>
      <c r="BK135" s="95"/>
      <c r="BL135" s="95"/>
      <c r="BM135" s="95"/>
    </row>
    <row r="136" spans="26:65">
      <c r="Z136" s="313"/>
      <c r="AA136" s="313"/>
      <c r="AB136" s="313"/>
      <c r="AC136" s="313"/>
      <c r="AD136" s="313"/>
      <c r="BJ136" s="95"/>
      <c r="BK136" s="95"/>
      <c r="BL136" s="95"/>
      <c r="BM136" s="95"/>
    </row>
    <row r="137" spans="26:65">
      <c r="Z137" s="313"/>
      <c r="AA137" s="313"/>
      <c r="AB137" s="313"/>
      <c r="AC137" s="313"/>
      <c r="AD137" s="313"/>
      <c r="BJ137" s="95"/>
      <c r="BK137" s="95"/>
      <c r="BL137" s="95"/>
      <c r="BM137" s="95"/>
    </row>
    <row r="138" spans="26:65">
      <c r="Z138" s="313"/>
      <c r="AA138" s="313"/>
      <c r="AB138" s="313"/>
      <c r="AC138" s="313"/>
      <c r="AD138" s="313"/>
    </row>
    <row r="139" spans="26:65">
      <c r="Z139" s="313"/>
      <c r="AA139" s="313"/>
      <c r="AB139" s="313"/>
      <c r="AC139" s="313"/>
      <c r="AD139" s="313"/>
    </row>
    <row r="140" spans="26:65">
      <c r="Z140" s="313"/>
      <c r="AA140" s="313"/>
      <c r="AB140" s="313"/>
      <c r="AC140" s="313"/>
      <c r="AD140" s="313"/>
    </row>
    <row r="141" spans="26:65">
      <c r="Z141" s="313"/>
      <c r="AA141" s="313"/>
      <c r="AB141" s="313"/>
      <c r="AC141" s="313"/>
      <c r="AD141" s="313"/>
      <c r="BJ141" s="95"/>
      <c r="BK141" s="95"/>
      <c r="BL141" s="95"/>
      <c r="BM141" s="95"/>
    </row>
    <row r="142" spans="26:65">
      <c r="Z142" s="313"/>
      <c r="AA142" s="313"/>
      <c r="AB142" s="313"/>
      <c r="AC142" s="313"/>
      <c r="AD142" s="313"/>
      <c r="BJ142" s="95"/>
      <c r="BK142" s="95"/>
      <c r="BL142" s="95"/>
      <c r="BM142" s="95"/>
    </row>
    <row r="143" spans="26:65">
      <c r="Z143" s="313"/>
      <c r="AA143" s="313"/>
      <c r="AB143" s="313"/>
      <c r="AC143" s="313"/>
      <c r="AD143" s="313"/>
      <c r="BJ143" s="95"/>
      <c r="BK143" s="95"/>
      <c r="BL143" s="95"/>
      <c r="BM143" s="95"/>
    </row>
    <row r="144" spans="26:65">
      <c r="Z144" s="313"/>
      <c r="AA144" s="313"/>
      <c r="AB144" s="313"/>
      <c r="AC144" s="313"/>
      <c r="AD144" s="313"/>
      <c r="BJ144" s="95"/>
      <c r="BK144" s="95"/>
      <c r="BL144" s="95"/>
      <c r="BM144" s="95"/>
    </row>
    <row r="145" spans="26:65">
      <c r="Z145" s="313"/>
      <c r="AA145" s="313"/>
      <c r="AB145" s="313"/>
      <c r="AC145" s="313"/>
      <c r="AD145" s="313"/>
      <c r="BJ145" s="95"/>
      <c r="BK145" s="95"/>
      <c r="BL145" s="95"/>
      <c r="BM145" s="95"/>
    </row>
    <row r="146" spans="26:65">
      <c r="Z146" s="313"/>
      <c r="AA146" s="313"/>
      <c r="AB146" s="313"/>
      <c r="AC146" s="313"/>
      <c r="AD146" s="313"/>
      <c r="BJ146" s="95"/>
      <c r="BK146" s="95"/>
      <c r="BL146" s="95"/>
      <c r="BM146" s="95"/>
    </row>
    <row r="147" spans="26:65">
      <c r="Z147" s="313"/>
      <c r="AA147" s="313"/>
      <c r="AB147" s="313"/>
      <c r="AC147" s="313"/>
      <c r="AD147" s="313"/>
      <c r="BJ147" s="95"/>
      <c r="BK147" s="95"/>
      <c r="BL147" s="95"/>
      <c r="BM147" s="95"/>
    </row>
    <row r="148" spans="26:65">
      <c r="Z148" s="313"/>
      <c r="AA148" s="313"/>
      <c r="AB148" s="313"/>
      <c r="AC148" s="313"/>
      <c r="AD148" s="313"/>
      <c r="BJ148" s="95"/>
      <c r="BK148" s="95"/>
      <c r="BL148" s="95"/>
      <c r="BM148" s="95"/>
    </row>
    <row r="149" spans="26:65">
      <c r="Z149" s="313"/>
      <c r="AA149" s="313"/>
      <c r="AB149" s="313"/>
      <c r="AC149" s="313"/>
      <c r="AD149" s="313"/>
      <c r="BJ149" s="95"/>
      <c r="BK149" s="95"/>
      <c r="BL149" s="95"/>
      <c r="BM149" s="95"/>
    </row>
    <row r="150" spans="26:65">
      <c r="Z150" s="313"/>
      <c r="AA150" s="313"/>
      <c r="AB150" s="313"/>
      <c r="AC150" s="313"/>
      <c r="AD150" s="313"/>
      <c r="BJ150" s="95"/>
      <c r="BK150" s="95"/>
      <c r="BL150" s="95"/>
      <c r="BM150" s="95"/>
    </row>
    <row r="151" spans="26:65">
      <c r="Z151" s="313"/>
      <c r="AA151" s="313"/>
      <c r="AB151" s="313"/>
      <c r="AC151" s="313"/>
      <c r="AD151" s="313"/>
      <c r="BJ151" s="95"/>
      <c r="BK151" s="95"/>
      <c r="BL151" s="95"/>
      <c r="BM151" s="95"/>
    </row>
    <row r="152" spans="26:65">
      <c r="Z152" s="313"/>
      <c r="AA152" s="313"/>
      <c r="AB152" s="313"/>
      <c r="AC152" s="313"/>
      <c r="AD152" s="313"/>
      <c r="BJ152" s="95"/>
      <c r="BK152" s="95"/>
      <c r="BL152" s="95"/>
      <c r="BM152" s="95"/>
    </row>
    <row r="153" spans="26:65">
      <c r="Z153" s="313"/>
      <c r="AA153" s="313"/>
      <c r="AB153" s="313"/>
      <c r="AC153" s="313"/>
      <c r="AD153" s="313"/>
      <c r="BJ153" s="95"/>
      <c r="BK153" s="95"/>
      <c r="BL153" s="95"/>
      <c r="BM153" s="95"/>
    </row>
    <row r="154" spans="26:65">
      <c r="Z154" s="313"/>
      <c r="AA154" s="313"/>
      <c r="AB154" s="313"/>
      <c r="AC154" s="313"/>
      <c r="AD154" s="313"/>
      <c r="BJ154" s="95"/>
      <c r="BK154" s="95"/>
      <c r="BL154" s="95"/>
      <c r="BM154" s="95"/>
    </row>
    <row r="155" spans="26:65">
      <c r="Z155" s="313"/>
      <c r="AA155" s="313"/>
      <c r="AB155" s="313"/>
      <c r="AC155" s="313"/>
      <c r="AD155" s="313"/>
      <c r="BJ155" s="95"/>
      <c r="BK155" s="95"/>
      <c r="BL155" s="95"/>
      <c r="BM155" s="95"/>
    </row>
    <row r="156" spans="26:65">
      <c r="Z156" s="313"/>
      <c r="AA156" s="313"/>
      <c r="AB156" s="313"/>
      <c r="AC156" s="313"/>
      <c r="AD156" s="313"/>
      <c r="BJ156" s="95"/>
      <c r="BK156" s="95"/>
      <c r="BL156" s="95"/>
      <c r="BM156" s="95"/>
    </row>
    <row r="157" spans="26:65">
      <c r="Z157" s="313"/>
      <c r="AA157" s="313"/>
      <c r="AB157" s="313"/>
      <c r="AC157" s="313"/>
      <c r="AD157" s="313"/>
      <c r="BJ157" s="95"/>
      <c r="BK157" s="95"/>
      <c r="BL157" s="95"/>
      <c r="BM157" s="95"/>
    </row>
    <row r="158" spans="26:65">
      <c r="Z158" s="313"/>
      <c r="AA158" s="313"/>
      <c r="AB158" s="313"/>
      <c r="AC158" s="313"/>
      <c r="AD158" s="313"/>
      <c r="BJ158" s="95"/>
      <c r="BK158" s="95"/>
      <c r="BL158" s="95"/>
      <c r="BM158" s="95"/>
    </row>
    <row r="159" spans="26:65">
      <c r="Z159" s="313"/>
      <c r="AA159" s="313"/>
      <c r="AB159" s="313"/>
      <c r="AC159" s="313"/>
      <c r="AD159" s="313"/>
      <c r="BJ159" s="95"/>
      <c r="BK159" s="95"/>
      <c r="BL159" s="95"/>
      <c r="BM159" s="95"/>
    </row>
    <row r="160" spans="26:65">
      <c r="Z160" s="313"/>
      <c r="AA160" s="313"/>
      <c r="AB160" s="313"/>
      <c r="AC160" s="313"/>
      <c r="AD160" s="313"/>
      <c r="BJ160" s="95"/>
      <c r="BK160" s="95"/>
      <c r="BL160" s="95"/>
      <c r="BM160" s="95"/>
    </row>
    <row r="161" spans="26:65">
      <c r="Z161" s="313"/>
      <c r="AA161" s="313"/>
      <c r="AB161" s="313"/>
      <c r="AC161" s="313"/>
      <c r="AD161" s="313"/>
      <c r="BJ161" s="95"/>
      <c r="BK161" s="95"/>
      <c r="BL161" s="95"/>
      <c r="BM161" s="95"/>
    </row>
    <row r="162" spans="26:65">
      <c r="Z162" s="313"/>
      <c r="AA162" s="313"/>
      <c r="AB162" s="313"/>
      <c r="AC162" s="313"/>
      <c r="AD162" s="313"/>
      <c r="BJ162" s="95"/>
      <c r="BK162" s="95"/>
      <c r="BL162" s="95"/>
      <c r="BM162" s="95"/>
    </row>
    <row r="163" spans="26:65">
      <c r="Z163" s="313"/>
      <c r="AA163" s="313"/>
      <c r="AB163" s="313"/>
      <c r="AC163" s="313"/>
      <c r="AD163" s="313"/>
      <c r="BJ163" s="95"/>
      <c r="BK163" s="95"/>
      <c r="BL163" s="95"/>
      <c r="BM163" s="95"/>
    </row>
    <row r="164" spans="26:65">
      <c r="Z164" s="313"/>
      <c r="AA164" s="313"/>
      <c r="AB164" s="313"/>
      <c r="AC164" s="313"/>
      <c r="AD164" s="313"/>
      <c r="BJ164" s="95"/>
      <c r="BK164" s="95"/>
      <c r="BL164" s="95"/>
      <c r="BM164" s="95"/>
    </row>
    <row r="165" spans="26:65">
      <c r="Z165" s="313"/>
      <c r="AA165" s="313"/>
      <c r="AB165" s="313"/>
      <c r="AC165" s="313"/>
      <c r="AD165" s="313"/>
      <c r="BJ165" s="95"/>
      <c r="BK165" s="95"/>
      <c r="BL165" s="95"/>
      <c r="BM165" s="95"/>
    </row>
    <row r="166" spans="26:65">
      <c r="Z166" s="313"/>
      <c r="AA166" s="313"/>
      <c r="AB166" s="313"/>
      <c r="AC166" s="313"/>
      <c r="AD166" s="313"/>
      <c r="BJ166" s="95"/>
      <c r="BK166" s="95"/>
      <c r="BL166" s="95"/>
      <c r="BM166" s="95"/>
    </row>
    <row r="167" spans="26:65">
      <c r="Z167" s="313"/>
      <c r="AA167" s="313"/>
      <c r="AB167" s="313"/>
      <c r="AC167" s="313"/>
      <c r="AD167" s="313"/>
      <c r="BJ167" s="95"/>
      <c r="BK167" s="95"/>
      <c r="BL167" s="95"/>
      <c r="BM167" s="95"/>
    </row>
    <row r="168" spans="26:65">
      <c r="Z168" s="313"/>
      <c r="AA168" s="313"/>
      <c r="AB168" s="313"/>
      <c r="AC168" s="313"/>
      <c r="AD168" s="313"/>
      <c r="BJ168" s="95"/>
      <c r="BK168" s="95"/>
      <c r="BL168" s="95"/>
      <c r="BM168" s="95"/>
    </row>
    <row r="169" spans="26:65">
      <c r="Z169" s="313"/>
      <c r="AA169" s="313"/>
      <c r="AB169" s="313"/>
      <c r="AC169" s="313"/>
      <c r="AD169" s="313"/>
      <c r="BJ169" s="95"/>
      <c r="BK169" s="95"/>
      <c r="BL169" s="95"/>
      <c r="BM169" s="95"/>
    </row>
    <row r="170" spans="26:65">
      <c r="Z170" s="313"/>
      <c r="AA170" s="313"/>
      <c r="AB170" s="313"/>
      <c r="AC170" s="313"/>
      <c r="AD170" s="313"/>
      <c r="BJ170" s="95"/>
      <c r="BK170" s="95"/>
      <c r="BL170" s="95"/>
      <c r="BM170" s="95"/>
    </row>
    <row r="171" spans="26:65">
      <c r="Z171" s="313"/>
      <c r="AA171" s="313"/>
      <c r="AB171" s="313"/>
      <c r="AC171" s="313"/>
      <c r="AD171" s="313"/>
      <c r="BJ171" s="95"/>
      <c r="BK171" s="95"/>
      <c r="BL171" s="95"/>
      <c r="BM171" s="95"/>
    </row>
    <row r="172" spans="26:65">
      <c r="Z172" s="313"/>
      <c r="AA172" s="313"/>
      <c r="AB172" s="313"/>
      <c r="AC172" s="313"/>
      <c r="AD172" s="313"/>
      <c r="BJ172" s="95"/>
      <c r="BK172" s="95"/>
      <c r="BL172" s="95"/>
      <c r="BM172" s="95"/>
    </row>
    <row r="173" spans="26:65">
      <c r="Z173" s="313"/>
      <c r="AA173" s="313"/>
      <c r="AB173" s="313"/>
      <c r="AC173" s="313"/>
      <c r="AD173" s="313"/>
      <c r="BJ173" s="95"/>
      <c r="BK173" s="95"/>
      <c r="BL173" s="95"/>
      <c r="BM173" s="95"/>
    </row>
    <row r="174" spans="26:65">
      <c r="Z174" s="313"/>
      <c r="AA174" s="313"/>
      <c r="AB174" s="313"/>
      <c r="AC174" s="313"/>
      <c r="AD174" s="313"/>
      <c r="BJ174" s="95"/>
      <c r="BK174" s="95"/>
      <c r="BL174" s="95"/>
      <c r="BM174" s="95"/>
    </row>
    <row r="175" spans="26:65">
      <c r="Z175" s="313"/>
      <c r="AA175" s="313"/>
      <c r="AB175" s="313"/>
      <c r="AC175" s="313"/>
      <c r="AD175" s="313"/>
      <c r="BJ175" s="95"/>
      <c r="BK175" s="95"/>
      <c r="BL175" s="95"/>
      <c r="BM175" s="95"/>
    </row>
    <row r="176" spans="26:65">
      <c r="Z176" s="313"/>
      <c r="AA176" s="313"/>
      <c r="AB176" s="313"/>
      <c r="AC176" s="313"/>
      <c r="AD176" s="313"/>
      <c r="BJ176" s="95"/>
      <c r="BK176" s="95"/>
      <c r="BL176" s="95"/>
      <c r="BM176" s="95"/>
    </row>
    <row r="177" spans="26:65">
      <c r="Z177" s="313"/>
      <c r="AA177" s="313"/>
      <c r="AB177" s="313"/>
      <c r="AC177" s="313"/>
      <c r="AD177" s="313"/>
      <c r="BJ177" s="95"/>
      <c r="BK177" s="95"/>
      <c r="BL177" s="95"/>
      <c r="BM177" s="95"/>
    </row>
    <row r="178" spans="26:65">
      <c r="Z178" s="313"/>
      <c r="AA178" s="313"/>
      <c r="AB178" s="313"/>
      <c r="AC178" s="313"/>
      <c r="AD178" s="313"/>
      <c r="BJ178" s="95"/>
      <c r="BK178" s="95"/>
      <c r="BL178" s="95"/>
      <c r="BM178" s="95"/>
    </row>
    <row r="179" spans="26:65">
      <c r="Z179" s="313"/>
      <c r="AA179" s="313"/>
      <c r="AB179" s="313"/>
      <c r="AC179" s="313"/>
      <c r="AD179" s="313"/>
      <c r="BJ179" s="95"/>
      <c r="BK179" s="95"/>
      <c r="BL179" s="95"/>
      <c r="BM179" s="95"/>
    </row>
    <row r="180" spans="26:65">
      <c r="Z180" s="313"/>
      <c r="AA180" s="313"/>
      <c r="AB180" s="313"/>
      <c r="AC180" s="313"/>
      <c r="AD180" s="313"/>
      <c r="BJ180" s="95"/>
      <c r="BK180" s="95"/>
      <c r="BL180" s="95"/>
      <c r="BM180" s="95"/>
    </row>
    <row r="181" spans="26:65">
      <c r="Z181" s="313"/>
      <c r="AA181" s="313"/>
      <c r="AB181" s="313"/>
      <c r="AC181" s="313"/>
      <c r="AD181" s="313"/>
      <c r="BJ181" s="95"/>
      <c r="BK181" s="95"/>
      <c r="BL181" s="95"/>
      <c r="BM181" s="95"/>
    </row>
    <row r="182" spans="26:65">
      <c r="Z182" s="313"/>
      <c r="AA182" s="313"/>
      <c r="AB182" s="313"/>
      <c r="AC182" s="313"/>
      <c r="AD182" s="313"/>
      <c r="BJ182" s="95"/>
      <c r="BK182" s="95"/>
      <c r="BL182" s="95"/>
      <c r="BM182" s="95"/>
    </row>
    <row r="183" spans="26:65">
      <c r="Z183" s="313"/>
      <c r="AA183" s="313"/>
      <c r="AB183" s="313"/>
      <c r="AC183" s="313"/>
      <c r="AD183" s="313"/>
      <c r="BJ183" s="95"/>
      <c r="BK183" s="95"/>
      <c r="BL183" s="95"/>
      <c r="BM183" s="95"/>
    </row>
    <row r="184" spans="26:65">
      <c r="Z184" s="313"/>
      <c r="AA184" s="313"/>
      <c r="AB184" s="313"/>
      <c r="AC184" s="313"/>
      <c r="AD184" s="313"/>
      <c r="BJ184" s="95"/>
      <c r="BK184" s="95"/>
      <c r="BL184" s="95"/>
      <c r="BM184" s="95"/>
    </row>
    <row r="185" spans="26:65">
      <c r="Z185" s="313"/>
      <c r="AA185" s="313"/>
      <c r="AB185" s="313"/>
      <c r="AC185" s="313"/>
      <c r="AD185" s="313"/>
      <c r="BJ185" s="95"/>
      <c r="BK185" s="95"/>
      <c r="BL185" s="95"/>
      <c r="BM185" s="95"/>
    </row>
    <row r="186" spans="26:65">
      <c r="Z186" s="313"/>
      <c r="AA186" s="313"/>
      <c r="AB186" s="313"/>
      <c r="AC186" s="313"/>
      <c r="AD186" s="313"/>
      <c r="BJ186" s="95"/>
      <c r="BK186" s="95"/>
      <c r="BL186" s="95"/>
      <c r="BM186" s="95"/>
    </row>
    <row r="187" spans="26:65">
      <c r="Z187" s="313"/>
      <c r="AA187" s="313"/>
      <c r="AB187" s="313"/>
      <c r="AC187" s="313"/>
      <c r="AD187" s="313"/>
      <c r="BJ187" s="95"/>
      <c r="BK187" s="95"/>
      <c r="BL187" s="95"/>
      <c r="BM187" s="95"/>
    </row>
    <row r="188" spans="26:65">
      <c r="Z188" s="313"/>
      <c r="AA188" s="313"/>
      <c r="AB188" s="313"/>
      <c r="AC188" s="313"/>
      <c r="AD188" s="313"/>
      <c r="BJ188" s="95"/>
      <c r="BK188" s="95"/>
      <c r="BL188" s="95"/>
      <c r="BM188" s="95"/>
    </row>
    <row r="189" spans="26:65">
      <c r="Z189" s="313"/>
      <c r="AA189" s="313"/>
      <c r="AB189" s="313"/>
      <c r="AC189" s="313"/>
      <c r="AD189" s="313"/>
      <c r="BJ189" s="95"/>
      <c r="BK189" s="95"/>
      <c r="BL189" s="95"/>
      <c r="BM189" s="95"/>
    </row>
    <row r="190" spans="26:65">
      <c r="Z190" s="313"/>
      <c r="AA190" s="313"/>
      <c r="AB190" s="313"/>
      <c r="AC190" s="313"/>
      <c r="AD190" s="313"/>
      <c r="BJ190" s="95"/>
      <c r="BK190" s="95"/>
      <c r="BL190" s="95"/>
      <c r="BM190" s="95"/>
    </row>
    <row r="191" spans="26:65">
      <c r="Z191" s="313"/>
      <c r="AA191" s="313"/>
      <c r="AB191" s="313"/>
      <c r="AC191" s="313"/>
      <c r="AD191" s="313"/>
      <c r="BJ191" s="95"/>
      <c r="BK191" s="95"/>
      <c r="BL191" s="95"/>
      <c r="BM191" s="95"/>
    </row>
    <row r="192" spans="26:65">
      <c r="Z192" s="313"/>
      <c r="AA192" s="313"/>
      <c r="AB192" s="313"/>
      <c r="AC192" s="313"/>
      <c r="AD192" s="313"/>
      <c r="BJ192" s="95"/>
      <c r="BK192" s="95"/>
      <c r="BL192" s="95"/>
      <c r="BM192" s="95"/>
    </row>
    <row r="193" spans="26:65">
      <c r="Z193" s="313"/>
      <c r="AA193" s="313"/>
      <c r="AB193" s="313"/>
      <c r="AC193" s="313"/>
      <c r="AD193" s="313"/>
      <c r="BJ193" s="95"/>
      <c r="BK193" s="95"/>
      <c r="BL193" s="95"/>
      <c r="BM193" s="95"/>
    </row>
    <row r="194" spans="26:65">
      <c r="Z194" s="313"/>
      <c r="AA194" s="313"/>
      <c r="AB194" s="313"/>
      <c r="AC194" s="313"/>
      <c r="AD194" s="313"/>
      <c r="BJ194" s="95"/>
      <c r="BK194" s="95"/>
      <c r="BL194" s="95"/>
      <c r="BM194" s="95"/>
    </row>
    <row r="195" spans="26:65">
      <c r="Z195" s="313"/>
      <c r="AA195" s="313"/>
      <c r="AB195" s="313"/>
      <c r="AC195" s="313"/>
      <c r="AD195" s="313"/>
      <c r="BJ195" s="95"/>
      <c r="BK195" s="95"/>
      <c r="BL195" s="95"/>
      <c r="BM195" s="95"/>
    </row>
    <row r="196" spans="26:65">
      <c r="Z196" s="313"/>
      <c r="AA196" s="313"/>
      <c r="AB196" s="313"/>
      <c r="AC196" s="313"/>
      <c r="AD196" s="313"/>
      <c r="BJ196" s="95"/>
      <c r="BK196" s="95"/>
      <c r="BL196" s="95"/>
      <c r="BM196" s="95"/>
    </row>
    <row r="197" spans="26:65">
      <c r="Z197" s="313"/>
      <c r="AA197" s="313"/>
      <c r="AB197" s="313"/>
      <c r="AC197" s="313"/>
      <c r="AD197" s="313"/>
      <c r="BJ197" s="95"/>
      <c r="BK197" s="95"/>
      <c r="BL197" s="95"/>
      <c r="BM197" s="95"/>
    </row>
    <row r="198" spans="26:65">
      <c r="Z198" s="313"/>
      <c r="AA198" s="313"/>
      <c r="AB198" s="313"/>
      <c r="AC198" s="313"/>
      <c r="AD198" s="313"/>
      <c r="BK198" s="95"/>
      <c r="BL198" s="95"/>
      <c r="BM198" s="95"/>
    </row>
    <row r="199" spans="26:65">
      <c r="Z199" s="313"/>
      <c r="AA199" s="313"/>
      <c r="AB199" s="313"/>
      <c r="AC199" s="313"/>
      <c r="AD199" s="313"/>
      <c r="BK199" s="95"/>
      <c r="BL199" s="95"/>
      <c r="BM199" s="95"/>
    </row>
    <row r="200" spans="26:65">
      <c r="Z200" s="313"/>
      <c r="AA200" s="313"/>
      <c r="AB200" s="313"/>
      <c r="AC200" s="313"/>
      <c r="AD200" s="313"/>
      <c r="BK200" s="95"/>
      <c r="BL200" s="95"/>
      <c r="BM200" s="95"/>
    </row>
    <row r="201" spans="26:65">
      <c r="Z201" s="313"/>
      <c r="AA201" s="313"/>
      <c r="AB201" s="313"/>
      <c r="AC201" s="313"/>
      <c r="AD201" s="313"/>
      <c r="BK201" s="95"/>
      <c r="BL201" s="95"/>
      <c r="BM201" s="95"/>
    </row>
    <row r="202" spans="26:65">
      <c r="Z202" s="313"/>
      <c r="AA202" s="313"/>
      <c r="AB202" s="313"/>
      <c r="AC202" s="313"/>
      <c r="AD202" s="313"/>
      <c r="BK202" s="95"/>
      <c r="BL202" s="95"/>
      <c r="BM202" s="95"/>
    </row>
    <row r="203" spans="26:65">
      <c r="Z203" s="313"/>
      <c r="AA203" s="313"/>
      <c r="AB203" s="313"/>
      <c r="AC203" s="313"/>
      <c r="AD203" s="313"/>
      <c r="BK203" s="95"/>
      <c r="BL203" s="95"/>
      <c r="BM203" s="95"/>
    </row>
    <row r="204" spans="26:65">
      <c r="Z204" s="313"/>
      <c r="AA204" s="313"/>
      <c r="AB204" s="313"/>
      <c r="AC204" s="313"/>
      <c r="AD204" s="313"/>
      <c r="BK204" s="95"/>
      <c r="BL204" s="95"/>
      <c r="BM204" s="95"/>
    </row>
    <row r="205" spans="26:65">
      <c r="Z205" s="313"/>
      <c r="AA205" s="313"/>
      <c r="AB205" s="313"/>
      <c r="AC205" s="313"/>
      <c r="AD205" s="313"/>
      <c r="BK205" s="95"/>
      <c r="BL205" s="95"/>
      <c r="BM205" s="95"/>
    </row>
    <row r="206" spans="26:65">
      <c r="Z206" s="313"/>
      <c r="AA206" s="313"/>
      <c r="AB206" s="313"/>
      <c r="AC206" s="313"/>
      <c r="AD206" s="313"/>
      <c r="BK206" s="95"/>
      <c r="BL206" s="95"/>
      <c r="BM206" s="95"/>
    </row>
    <row r="207" spans="26:65">
      <c r="Z207" s="313"/>
      <c r="AA207" s="313"/>
      <c r="AB207" s="313"/>
      <c r="AC207" s="313"/>
      <c r="AD207" s="313"/>
      <c r="BK207" s="95"/>
      <c r="BL207" s="95"/>
      <c r="BM207" s="95"/>
    </row>
    <row r="208" spans="26:65">
      <c r="Z208" s="313"/>
      <c r="AA208" s="313"/>
      <c r="AB208" s="313"/>
      <c r="AC208" s="313"/>
      <c r="AD208" s="313"/>
      <c r="BK208" s="95"/>
      <c r="BL208" s="95"/>
      <c r="BM208" s="95"/>
    </row>
    <row r="209" spans="26:65">
      <c r="Z209" s="313"/>
      <c r="AA209" s="313"/>
      <c r="AB209" s="313"/>
      <c r="AC209" s="313"/>
      <c r="AD209" s="313"/>
      <c r="BK209" s="95"/>
      <c r="BL209" s="95"/>
      <c r="BM209" s="95"/>
    </row>
    <row r="210" spans="26:65">
      <c r="Z210" s="313"/>
      <c r="AA210" s="313"/>
      <c r="AB210" s="313"/>
      <c r="AC210" s="313"/>
      <c r="AD210" s="313"/>
      <c r="BK210" s="95"/>
      <c r="BL210" s="95"/>
      <c r="BM210" s="95"/>
    </row>
    <row r="211" spans="26:65">
      <c r="Z211" s="313"/>
      <c r="AA211" s="313"/>
      <c r="AB211" s="313"/>
      <c r="AC211" s="313"/>
      <c r="AD211" s="313"/>
      <c r="BK211" s="95"/>
      <c r="BL211" s="95"/>
      <c r="BM211" s="95"/>
    </row>
    <row r="212" spans="26:65">
      <c r="Z212" s="313"/>
      <c r="AA212" s="313"/>
      <c r="AB212" s="313"/>
      <c r="AC212" s="313"/>
      <c r="AD212" s="313"/>
      <c r="BK212" s="95"/>
      <c r="BL212" s="95"/>
      <c r="BM212" s="95"/>
    </row>
    <row r="213" spans="26:65">
      <c r="Z213" s="313"/>
      <c r="AA213" s="313"/>
      <c r="AB213" s="313"/>
      <c r="AC213" s="313"/>
      <c r="AD213" s="313"/>
      <c r="BK213" s="95"/>
      <c r="BL213" s="95"/>
      <c r="BM213" s="95"/>
    </row>
    <row r="214" spans="26:65">
      <c r="Z214" s="313"/>
      <c r="AA214" s="313"/>
      <c r="AB214" s="313"/>
      <c r="AC214" s="313"/>
      <c r="AD214" s="313"/>
      <c r="BK214" s="95"/>
      <c r="BL214" s="95"/>
      <c r="BM214" s="95"/>
    </row>
    <row r="215" spans="26:65">
      <c r="Z215" s="313"/>
      <c r="AA215" s="313"/>
      <c r="AB215" s="313"/>
      <c r="AC215" s="313"/>
      <c r="AD215" s="313"/>
      <c r="BK215" s="95"/>
      <c r="BL215" s="95"/>
      <c r="BM215" s="95"/>
    </row>
    <row r="216" spans="26:65">
      <c r="Z216" s="313"/>
      <c r="AA216" s="313"/>
      <c r="AB216" s="313"/>
      <c r="AC216" s="313"/>
      <c r="AD216" s="313"/>
      <c r="BK216" s="95"/>
      <c r="BL216" s="95"/>
      <c r="BM216" s="95"/>
    </row>
    <row r="217" spans="26:65">
      <c r="Z217" s="313"/>
      <c r="AA217" s="313"/>
      <c r="AB217" s="313"/>
      <c r="AC217" s="313"/>
      <c r="AD217" s="313"/>
      <c r="BK217" s="95"/>
      <c r="BL217" s="95"/>
      <c r="BM217" s="95"/>
    </row>
    <row r="218" spans="26:65">
      <c r="Z218" s="313"/>
      <c r="AA218" s="313"/>
      <c r="AB218" s="313"/>
      <c r="AC218" s="313"/>
      <c r="AD218" s="313"/>
      <c r="BK218" s="95"/>
      <c r="BL218" s="95"/>
      <c r="BM218" s="95"/>
    </row>
    <row r="219" spans="26:65">
      <c r="Z219" s="313"/>
      <c r="AA219" s="313"/>
      <c r="AB219" s="313"/>
      <c r="AC219" s="313"/>
      <c r="AD219" s="313"/>
      <c r="BK219" s="95"/>
      <c r="BL219" s="95"/>
      <c r="BM219" s="95"/>
    </row>
    <row r="220" spans="26:65">
      <c r="Z220" s="313"/>
      <c r="AA220" s="313"/>
      <c r="AB220" s="313"/>
      <c r="AC220" s="313"/>
      <c r="AD220" s="313"/>
      <c r="BK220" s="95"/>
      <c r="BL220" s="95"/>
      <c r="BM220" s="95"/>
    </row>
    <row r="221" spans="26:65">
      <c r="Z221" s="313"/>
      <c r="AA221" s="313"/>
      <c r="AB221" s="313"/>
      <c r="AC221" s="313"/>
      <c r="AD221" s="313"/>
      <c r="BK221" s="95"/>
      <c r="BL221" s="95"/>
      <c r="BM221" s="95"/>
    </row>
    <row r="222" spans="26:65">
      <c r="Z222" s="313"/>
      <c r="AA222" s="313"/>
      <c r="AB222" s="313"/>
      <c r="AC222" s="313"/>
      <c r="AD222" s="313"/>
      <c r="BK222" s="95"/>
      <c r="BL222" s="95"/>
      <c r="BM222" s="95"/>
    </row>
    <row r="223" spans="26:65">
      <c r="Z223" s="313"/>
      <c r="AA223" s="313"/>
      <c r="AB223" s="313"/>
      <c r="AC223" s="313"/>
      <c r="AD223" s="313"/>
      <c r="BK223" s="95"/>
      <c r="BL223" s="95"/>
      <c r="BM223" s="95"/>
    </row>
    <row r="224" spans="26:65">
      <c r="Z224" s="313"/>
      <c r="AA224" s="313"/>
      <c r="AB224" s="313"/>
      <c r="AC224" s="313"/>
      <c r="AD224" s="313"/>
      <c r="BK224" s="95"/>
      <c r="BL224" s="95"/>
      <c r="BM224" s="95"/>
    </row>
    <row r="225" spans="26:65">
      <c r="Z225" s="313"/>
      <c r="AA225" s="313"/>
      <c r="AB225" s="313"/>
      <c r="AC225" s="313"/>
      <c r="AD225" s="313"/>
      <c r="BK225" s="95"/>
      <c r="BL225" s="95"/>
      <c r="BM225" s="95"/>
    </row>
    <row r="226" spans="26:65">
      <c r="Z226" s="313"/>
      <c r="AA226" s="313"/>
      <c r="AB226" s="313"/>
      <c r="AC226" s="313"/>
      <c r="AD226" s="313"/>
      <c r="BK226" s="95"/>
      <c r="BL226" s="95"/>
      <c r="BM226" s="95"/>
    </row>
    <row r="227" spans="26:65">
      <c r="Z227" s="313"/>
      <c r="AA227" s="313"/>
      <c r="AB227" s="313"/>
      <c r="AC227" s="313"/>
      <c r="AD227" s="313"/>
      <c r="BK227" s="95"/>
      <c r="BL227" s="95"/>
      <c r="BM227" s="95"/>
    </row>
    <row r="228" spans="26:65">
      <c r="Z228" s="313"/>
      <c r="AA228" s="313"/>
      <c r="AB228" s="313"/>
      <c r="AC228" s="313"/>
      <c r="AD228" s="313"/>
      <c r="BK228" s="95"/>
      <c r="BL228" s="95"/>
      <c r="BM228" s="95"/>
    </row>
    <row r="229" spans="26:65">
      <c r="Z229" s="313"/>
      <c r="AA229" s="313"/>
      <c r="AB229" s="313"/>
      <c r="AC229" s="313"/>
      <c r="AD229" s="313"/>
      <c r="BK229" s="95"/>
      <c r="BL229" s="95"/>
      <c r="BM229" s="95"/>
    </row>
    <row r="230" spans="26:65">
      <c r="Z230" s="313"/>
      <c r="AA230" s="313"/>
      <c r="AB230" s="313"/>
      <c r="AC230" s="313"/>
      <c r="AD230" s="313"/>
      <c r="BK230" s="95"/>
      <c r="BL230" s="95"/>
      <c r="BM230" s="95"/>
    </row>
    <row r="231" spans="26:65">
      <c r="Z231" s="313"/>
      <c r="AA231" s="313"/>
      <c r="AB231" s="313"/>
      <c r="AC231" s="313"/>
      <c r="AD231" s="313"/>
      <c r="BK231" s="95"/>
      <c r="BL231" s="95"/>
      <c r="BM231" s="95"/>
    </row>
    <row r="232" spans="26:65">
      <c r="Z232" s="313"/>
      <c r="AA232" s="313"/>
      <c r="AB232" s="313"/>
      <c r="AC232" s="313"/>
      <c r="AD232" s="313"/>
      <c r="BK232" s="95"/>
      <c r="BL232" s="95"/>
      <c r="BM232" s="95"/>
    </row>
    <row r="233" spans="26:65">
      <c r="Z233" s="313"/>
      <c r="AA233" s="313"/>
      <c r="AB233" s="313"/>
      <c r="AC233" s="313"/>
      <c r="AD233" s="313"/>
      <c r="BK233" s="95"/>
      <c r="BL233" s="95"/>
      <c r="BM233" s="95"/>
    </row>
    <row r="234" spans="26:65">
      <c r="Z234" s="313"/>
      <c r="AA234" s="313"/>
      <c r="AB234" s="313"/>
      <c r="AC234" s="313"/>
      <c r="AD234" s="313"/>
      <c r="BK234" s="95"/>
      <c r="BL234" s="95"/>
      <c r="BM234" s="95"/>
    </row>
    <row r="235" spans="26:65">
      <c r="Z235" s="313"/>
      <c r="AA235" s="313"/>
      <c r="AB235" s="313"/>
      <c r="AC235" s="313"/>
      <c r="AD235" s="313"/>
      <c r="BK235" s="95"/>
      <c r="BL235" s="95"/>
      <c r="BM235" s="95"/>
    </row>
    <row r="236" spans="26:65">
      <c r="Z236" s="313"/>
      <c r="AA236" s="313"/>
      <c r="AB236" s="313"/>
      <c r="AC236" s="313"/>
      <c r="AD236" s="313"/>
      <c r="BK236" s="95"/>
      <c r="BL236" s="95"/>
      <c r="BM236" s="95"/>
    </row>
    <row r="237" spans="26:65">
      <c r="Z237" s="313"/>
      <c r="AA237" s="313"/>
      <c r="AB237" s="313"/>
      <c r="AC237" s="313"/>
      <c r="AD237" s="313"/>
      <c r="BK237" s="95"/>
      <c r="BL237" s="95"/>
      <c r="BM237" s="95"/>
    </row>
    <row r="238" spans="26:65">
      <c r="Z238" s="313"/>
      <c r="AA238" s="313"/>
      <c r="AB238" s="313"/>
      <c r="AC238" s="313"/>
      <c r="AD238" s="313"/>
      <c r="BK238" s="95"/>
      <c r="BL238" s="95"/>
      <c r="BM238" s="95"/>
    </row>
    <row r="239" spans="26:65">
      <c r="Z239" s="313"/>
      <c r="AA239" s="313"/>
      <c r="AB239" s="313"/>
      <c r="AC239" s="313"/>
      <c r="AD239" s="313"/>
      <c r="BK239" s="95"/>
      <c r="BL239" s="95"/>
      <c r="BM239" s="95"/>
    </row>
    <row r="240" spans="26:65">
      <c r="Z240" s="313"/>
      <c r="AA240"/>
      <c r="AB240"/>
      <c r="AC240"/>
      <c r="AD240"/>
      <c r="BK240" s="95"/>
      <c r="BL240" s="95"/>
      <c r="BM240" s="95"/>
    </row>
    <row r="241" spans="26:65">
      <c r="Z241" s="313"/>
      <c r="AA241"/>
      <c r="AB241"/>
      <c r="AC241"/>
      <c r="AD241"/>
      <c r="BK241" s="95"/>
      <c r="BL241" s="95"/>
      <c r="BM241" s="95"/>
    </row>
    <row r="242" spans="26:65">
      <c r="Z242" s="313"/>
      <c r="AA242"/>
      <c r="AB242"/>
      <c r="AC242"/>
      <c r="AD242"/>
      <c r="BK242" s="95"/>
      <c r="BL242" s="95"/>
      <c r="BM242" s="95"/>
    </row>
    <row r="243" spans="26:65">
      <c r="Z243" s="313"/>
      <c r="AA243"/>
      <c r="AB243"/>
      <c r="AC243"/>
      <c r="AD243"/>
      <c r="BK243" s="95"/>
      <c r="BL243" s="95"/>
      <c r="BM243" s="95"/>
    </row>
    <row r="244" spans="26:65">
      <c r="Z244" s="313"/>
      <c r="AA244"/>
      <c r="AB244"/>
      <c r="AC244"/>
      <c r="AD244"/>
      <c r="BK244" s="95"/>
      <c r="BL244" s="95"/>
      <c r="BM244" s="95"/>
    </row>
    <row r="245" spans="26:65">
      <c r="Z245"/>
      <c r="AA245"/>
      <c r="AB245"/>
      <c r="AC245"/>
      <c r="AD245"/>
      <c r="BK245" s="95"/>
      <c r="BL245" s="95"/>
      <c r="BM245" s="95"/>
    </row>
    <row r="246" spans="26:65">
      <c r="Z246"/>
      <c r="AA246"/>
      <c r="AB246"/>
      <c r="AC246"/>
      <c r="AD246"/>
      <c r="BK246" s="95"/>
      <c r="BL246" s="95"/>
      <c r="BM246" s="95"/>
    </row>
    <row r="247" spans="26:65">
      <c r="Z247"/>
      <c r="AA247"/>
      <c r="AB247"/>
      <c r="AC247"/>
      <c r="AD247"/>
      <c r="BK247" s="95"/>
      <c r="BL247" s="95"/>
      <c r="BM247" s="95"/>
    </row>
    <row r="248" spans="26:65">
      <c r="Z248"/>
      <c r="AA248"/>
      <c r="AB248"/>
      <c r="AC248"/>
      <c r="AD248"/>
      <c r="BK248" s="95"/>
      <c r="BL248" s="95"/>
      <c r="BM248" s="95"/>
    </row>
    <row r="249" spans="26:65">
      <c r="Z249"/>
      <c r="AA249"/>
      <c r="AB249"/>
      <c r="AC249"/>
      <c r="AD249"/>
      <c r="BK249" s="95"/>
      <c r="BL249" s="95"/>
      <c r="BM249" s="95"/>
    </row>
    <row r="250" spans="26:65">
      <c r="Z250"/>
      <c r="AA250"/>
      <c r="AB250"/>
      <c r="AC250"/>
      <c r="AD250"/>
      <c r="BK250" s="95"/>
      <c r="BL250" s="95"/>
      <c r="BM250" s="95"/>
    </row>
    <row r="251" spans="26:65">
      <c r="Z251"/>
      <c r="AA251"/>
      <c r="AB251"/>
      <c r="AC251"/>
      <c r="AD251"/>
      <c r="BK251" s="95"/>
      <c r="BL251" s="95"/>
      <c r="BM251" s="95"/>
    </row>
    <row r="252" spans="26:65">
      <c r="Z252"/>
      <c r="AA252"/>
      <c r="AB252"/>
      <c r="AC252"/>
      <c r="AD252"/>
      <c r="BK252" s="95"/>
      <c r="BL252" s="95"/>
      <c r="BM252" s="95"/>
    </row>
    <row r="253" spans="26:65">
      <c r="Z253"/>
      <c r="AA253"/>
      <c r="AB253"/>
      <c r="AC253"/>
      <c r="AD253"/>
      <c r="BK253" s="95"/>
      <c r="BL253" s="95"/>
      <c r="BM253" s="95"/>
    </row>
    <row r="254" spans="26:65">
      <c r="Z254"/>
      <c r="AA254"/>
      <c r="AB254"/>
      <c r="AC254"/>
      <c r="AD254"/>
      <c r="BK254" s="95"/>
      <c r="BL254" s="95"/>
      <c r="BM254" s="95"/>
    </row>
    <row r="255" spans="26:65">
      <c r="Z255"/>
      <c r="AA255"/>
      <c r="AB255"/>
      <c r="AC255"/>
      <c r="AD255"/>
      <c r="BK255" s="95"/>
      <c r="BL255" s="95"/>
      <c r="BM255" s="95"/>
    </row>
    <row r="256" spans="26:65">
      <c r="Z256"/>
      <c r="AA256"/>
      <c r="AB256"/>
      <c r="AC256"/>
      <c r="AD256"/>
      <c r="BK256" s="95"/>
      <c r="BL256" s="95"/>
      <c r="BM256" s="95"/>
    </row>
    <row r="257" spans="26:30">
      <c r="Z257"/>
      <c r="AA257"/>
      <c r="AB257"/>
      <c r="AC257"/>
      <c r="AD257"/>
    </row>
    <row r="258" spans="26:30">
      <c r="Z258"/>
      <c r="AA258"/>
      <c r="AB258"/>
      <c r="AC258"/>
      <c r="AD258"/>
    </row>
    <row r="259" spans="26:30">
      <c r="Z259"/>
      <c r="AA259"/>
      <c r="AB259"/>
      <c r="AC259"/>
      <c r="AD259"/>
    </row>
    <row r="260" spans="26:30">
      <c r="Z260"/>
      <c r="AA260"/>
      <c r="AB260"/>
      <c r="AC260"/>
      <c r="AD260"/>
    </row>
    <row r="261" spans="26:30">
      <c r="Z261"/>
      <c r="AA261"/>
      <c r="AB261"/>
      <c r="AC261"/>
      <c r="AD261"/>
    </row>
    <row r="262" spans="26:30">
      <c r="Z262"/>
      <c r="AA262"/>
      <c r="AB262"/>
      <c r="AC262"/>
      <c r="AD262"/>
    </row>
    <row r="263" spans="26:30">
      <c r="Z263"/>
      <c r="AA263"/>
      <c r="AB263"/>
      <c r="AC263"/>
      <c r="AD263"/>
    </row>
    <row r="264" spans="26:30">
      <c r="Z264"/>
      <c r="AA264"/>
      <c r="AB264"/>
      <c r="AC264"/>
      <c r="AD264"/>
    </row>
    <row r="265" spans="26:30">
      <c r="Z265"/>
      <c r="AA265"/>
      <c r="AB265"/>
      <c r="AC265"/>
      <c r="AD265"/>
    </row>
    <row r="266" spans="26:30">
      <c r="Z266"/>
      <c r="AA266"/>
      <c r="AB266"/>
      <c r="AC266"/>
      <c r="AD266"/>
    </row>
    <row r="267" spans="26:30">
      <c r="Z267"/>
      <c r="AA267"/>
      <c r="AB267"/>
      <c r="AC267"/>
      <c r="AD267"/>
    </row>
    <row r="268" spans="26:30">
      <c r="Z268"/>
      <c r="AA268"/>
      <c r="AB268"/>
      <c r="AC268"/>
      <c r="AD268"/>
    </row>
    <row r="269" spans="26:30">
      <c r="Z269"/>
      <c r="AA269"/>
      <c r="AB269"/>
      <c r="AC269"/>
      <c r="AD269"/>
    </row>
    <row r="270" spans="26:30">
      <c r="Z270"/>
      <c r="AA270"/>
      <c r="AB270"/>
      <c r="AC270"/>
      <c r="AD270"/>
    </row>
    <row r="271" spans="26:30">
      <c r="Z271"/>
      <c r="AA271"/>
      <c r="AB271"/>
      <c r="AC271"/>
      <c r="AD271"/>
    </row>
    <row r="272" spans="26:30">
      <c r="Z272"/>
      <c r="AA272"/>
      <c r="AB272"/>
      <c r="AC272"/>
      <c r="AD272"/>
    </row>
    <row r="273" spans="26:65">
      <c r="Z273"/>
      <c r="AA273"/>
      <c r="AB273"/>
      <c r="AC273"/>
      <c r="AD273"/>
    </row>
    <row r="274" spans="26:65">
      <c r="Z274"/>
      <c r="AA274"/>
      <c r="AB274"/>
      <c r="AC274"/>
      <c r="AD274"/>
    </row>
    <row r="275" spans="26:65">
      <c r="Z275"/>
      <c r="AA275"/>
      <c r="AB275"/>
      <c r="AC275"/>
      <c r="AD275"/>
    </row>
    <row r="276" spans="26:65">
      <c r="Z276"/>
      <c r="AA276"/>
      <c r="AB276"/>
      <c r="AC276"/>
      <c r="AD276"/>
    </row>
    <row r="277" spans="26:65">
      <c r="Z277"/>
      <c r="AA277"/>
      <c r="AB277"/>
      <c r="AC277"/>
      <c r="AD277"/>
    </row>
    <row r="278" spans="26:65">
      <c r="Z278"/>
      <c r="AA278"/>
      <c r="AB278"/>
      <c r="AC278"/>
      <c r="AD278"/>
      <c r="BK278" s="95"/>
      <c r="BL278" s="95"/>
      <c r="BM278" s="95"/>
    </row>
    <row r="279" spans="26:65">
      <c r="Z279"/>
      <c r="AA279"/>
      <c r="AB279"/>
      <c r="AC279"/>
      <c r="AD279"/>
      <c r="BK279" s="95"/>
      <c r="BL279" s="95"/>
      <c r="BM279" s="95"/>
    </row>
    <row r="280" spans="26:65">
      <c r="Z280"/>
      <c r="AA280"/>
      <c r="AB280"/>
      <c r="AC280"/>
      <c r="AD280"/>
      <c r="BK280" s="95"/>
      <c r="BL280" s="95"/>
      <c r="BM280" s="95"/>
    </row>
    <row r="281" spans="26:65">
      <c r="Z281"/>
      <c r="AA281"/>
      <c r="AB281"/>
      <c r="AC281"/>
      <c r="AD281"/>
      <c r="BK281" s="95"/>
      <c r="BL281" s="95"/>
      <c r="BM281" s="95"/>
    </row>
    <row r="282" spans="26:65">
      <c r="Z282"/>
      <c r="AA282"/>
      <c r="AB282"/>
      <c r="AC282"/>
      <c r="AD282"/>
      <c r="BK282" s="95"/>
      <c r="BL282" s="95"/>
      <c r="BM282" s="95"/>
    </row>
    <row r="283" spans="26:65">
      <c r="Z283"/>
      <c r="AA283"/>
      <c r="AB283"/>
      <c r="AC283"/>
      <c r="AD283"/>
      <c r="BK283" s="95"/>
      <c r="BL283" s="95"/>
      <c r="BM283" s="95"/>
    </row>
    <row r="284" spans="26:65">
      <c r="Z284"/>
      <c r="AA284"/>
      <c r="AB284"/>
      <c r="AC284"/>
      <c r="AD284"/>
      <c r="BK284" s="95"/>
      <c r="BL284" s="95"/>
      <c r="BM284" s="95"/>
    </row>
    <row r="285" spans="26:65">
      <c r="Z285"/>
      <c r="AA285"/>
      <c r="AB285"/>
      <c r="AC285"/>
      <c r="AD285"/>
      <c r="BK285" s="95"/>
      <c r="BL285" s="95"/>
      <c r="BM285" s="95"/>
    </row>
    <row r="286" spans="26:65">
      <c r="Z286"/>
      <c r="AA286"/>
      <c r="AB286"/>
      <c r="AC286"/>
      <c r="AD286"/>
      <c r="BK286" s="95"/>
      <c r="BL286" s="95"/>
      <c r="BM286" s="95"/>
    </row>
    <row r="287" spans="26:65">
      <c r="Z287"/>
      <c r="AA287"/>
      <c r="AB287"/>
      <c r="AC287"/>
      <c r="AD287"/>
      <c r="BK287" s="95"/>
      <c r="BL287" s="95"/>
      <c r="BM287" s="95"/>
    </row>
    <row r="288" spans="26:65">
      <c r="Z288"/>
      <c r="AA288"/>
      <c r="AB288"/>
      <c r="AC288"/>
      <c r="AD288"/>
      <c r="BK288" s="95"/>
      <c r="BL288" s="95"/>
      <c r="BM288" s="95"/>
    </row>
    <row r="289" spans="26:65">
      <c r="Z289"/>
      <c r="AA289"/>
      <c r="AB289"/>
      <c r="AC289"/>
      <c r="AD289"/>
      <c r="BK289" s="95"/>
      <c r="BL289" s="95"/>
      <c r="BM289" s="95"/>
    </row>
    <row r="290" spans="26:65">
      <c r="Z290"/>
      <c r="AA290"/>
      <c r="AB290"/>
      <c r="AC290"/>
      <c r="AD290"/>
      <c r="BK290" s="95"/>
      <c r="BL290" s="95"/>
      <c r="BM290" s="95"/>
    </row>
    <row r="291" spans="26:65">
      <c r="Z291"/>
      <c r="AA291"/>
      <c r="AB291"/>
      <c r="AC291"/>
      <c r="AD291"/>
      <c r="BK291" s="95"/>
      <c r="BL291" s="95"/>
      <c r="BM291" s="95"/>
    </row>
    <row r="292" spans="26:65">
      <c r="Z292"/>
      <c r="AA292"/>
      <c r="AB292"/>
      <c r="AC292"/>
      <c r="AD292"/>
      <c r="BK292" s="95"/>
      <c r="BL292" s="95"/>
      <c r="BM292" s="95"/>
    </row>
    <row r="293" spans="26:65">
      <c r="Z293"/>
      <c r="AA293"/>
      <c r="AB293"/>
      <c r="AC293"/>
      <c r="AD293"/>
      <c r="BK293" s="95"/>
      <c r="BL293" s="95"/>
      <c r="BM293" s="95"/>
    </row>
    <row r="294" spans="26:65">
      <c r="Z294"/>
      <c r="AA294"/>
      <c r="AB294"/>
      <c r="AC294"/>
      <c r="AD294"/>
      <c r="BK294" s="95"/>
      <c r="BL294" s="95"/>
      <c r="BM294" s="95"/>
    </row>
    <row r="295" spans="26:65">
      <c r="Z295"/>
      <c r="AA295"/>
      <c r="AB295"/>
      <c r="AC295"/>
      <c r="AD295"/>
      <c r="BK295" s="95"/>
      <c r="BL295" s="95"/>
      <c r="BM295" s="95"/>
    </row>
    <row r="296" spans="26:65">
      <c r="Z296"/>
      <c r="BK296" s="95"/>
      <c r="BL296" s="95"/>
      <c r="BM296" s="95"/>
    </row>
    <row r="297" spans="26:65">
      <c r="Z297"/>
      <c r="BK297" s="95"/>
      <c r="BL297" s="95"/>
      <c r="BM297" s="95"/>
    </row>
    <row r="298" spans="26:65">
      <c r="Z298"/>
    </row>
    <row r="299" spans="26:65">
      <c r="Z299"/>
    </row>
    <row r="300" spans="26:65">
      <c r="Z300"/>
    </row>
  </sheetData>
  <mergeCells count="17">
    <mergeCell ref="BD7:BH7"/>
    <mergeCell ref="BD8:BH8"/>
    <mergeCell ref="AO8:AS8"/>
    <mergeCell ref="AT8:AX8"/>
    <mergeCell ref="AY8:BC8"/>
    <mergeCell ref="BI5:BM5"/>
    <mergeCell ref="AO5:AS5"/>
    <mergeCell ref="AO6:AS6"/>
    <mergeCell ref="AO7:AS7"/>
    <mergeCell ref="AT5:AX5"/>
    <mergeCell ref="AT6:AX6"/>
    <mergeCell ref="AT7:AX7"/>
    <mergeCell ref="AY5:BC5"/>
    <mergeCell ref="AY6:BC6"/>
    <mergeCell ref="AY7:BC7"/>
    <mergeCell ref="BD5:BH5"/>
    <mergeCell ref="BD6:BH6"/>
  </mergeCells>
  <phoneticPr fontId="30" type="noConversion"/>
  <conditionalFormatting sqref="EH1:IP1 AJ1:AM1 B1:D1 AO1:AR1 F1:AD1 BD1:BM1">
    <cfRule type="cellIs" dxfId="17" priority="19" stopIfTrue="1" operator="notEqual">
      <formula>0</formula>
    </cfRule>
  </conditionalFormatting>
  <conditionalFormatting sqref="AT1:AW1">
    <cfRule type="cellIs" dxfId="16" priority="16" stopIfTrue="1" operator="notEqual">
      <formula>0</formula>
    </cfRule>
  </conditionalFormatting>
  <conditionalFormatting sqref="AE1:AH1">
    <cfRule type="cellIs" dxfId="15" priority="15" stopIfTrue="1" operator="notEqual">
      <formula>0</formula>
    </cfRule>
  </conditionalFormatting>
  <conditionalFormatting sqref="A1">
    <cfRule type="cellIs" dxfId="14" priority="14" stopIfTrue="1" operator="notEqual">
      <formula>0</formula>
    </cfRule>
  </conditionalFormatting>
  <conditionalFormatting sqref="E1">
    <cfRule type="cellIs" dxfId="13" priority="13" stopIfTrue="1" operator="notEqual">
      <formula>0</formula>
    </cfRule>
  </conditionalFormatting>
  <conditionalFormatting sqref="AI1">
    <cfRule type="cellIs" dxfId="12" priority="12" stopIfTrue="1" operator="notEqual">
      <formula>0</formula>
    </cfRule>
  </conditionalFormatting>
  <conditionalFormatting sqref="AS1">
    <cfRule type="cellIs" dxfId="11" priority="10" stopIfTrue="1" operator="notEqual">
      <formula>0</formula>
    </cfRule>
  </conditionalFormatting>
  <conditionalFormatting sqref="AX1">
    <cfRule type="cellIs" dxfId="10" priority="9" stopIfTrue="1" operator="notEqual">
      <formula>0</formula>
    </cfRule>
  </conditionalFormatting>
  <conditionalFormatting sqref="AN1">
    <cfRule type="cellIs" dxfId="9" priority="8" stopIfTrue="1" operator="notEqual">
      <formula>0</formula>
    </cfRule>
  </conditionalFormatting>
  <conditionalFormatting sqref="AY1:BB1">
    <cfRule type="cellIs" dxfId="8" priority="7" stopIfTrue="1" operator="notEqual">
      <formula>0</formula>
    </cfRule>
  </conditionalFormatting>
  <conditionalFormatting sqref="BC1">
    <cfRule type="cellIs" dxfId="7" priority="6" stopIfTrue="1" operator="notEqual">
      <formula>0</formula>
    </cfRule>
  </conditionalFormatting>
  <conditionalFormatting sqref="BO1:BQ1">
    <cfRule type="cellIs" dxfId="6" priority="3" stopIfTrue="1" operator="notEqual">
      <formula>0</formula>
    </cfRule>
  </conditionalFormatting>
  <conditionalFormatting sqref="BN1">
    <cfRule type="cellIs" dxfId="5" priority="2" stopIfTrue="1" operator="notEqual">
      <formula>0</formula>
    </cfRule>
  </conditionalFormatting>
  <conditionalFormatting sqref="BR1">
    <cfRule type="cellIs" dxfId="4" priority="1" stopIfTrue="1" operator="notEqual">
      <formula>0</formula>
    </cfRule>
  </conditionalFormatting>
  <printOptions horizontalCentered="1"/>
  <pageMargins left="0.7" right="0.7" top="0.75" bottom="0.75" header="0.3" footer="0.3"/>
  <pageSetup scale="80" fitToWidth="0" fitToHeight="0" orientation="portrait" r:id="rId1"/>
  <rowBreaks count="1" manualBreakCount="1">
    <brk id="51" max="69" man="1"/>
  </rowBreaks>
  <colBreaks count="3" manualBreakCount="3">
    <brk id="5" max="1048575" man="1"/>
    <brk id="60" max="1048575" man="1"/>
    <brk id="6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31"/>
  <sheetViews>
    <sheetView zoomScale="77" zoomScaleNormal="77" workbookViewId="0">
      <pane xSplit="4" ySplit="13" topLeftCell="E14" activePane="bottomRight" state="frozen"/>
      <selection activeCell="E41" sqref="E41"/>
      <selection pane="topRight" activeCell="E41" sqref="E41"/>
      <selection pane="bottomLeft" activeCell="E41" sqref="E41"/>
      <selection pane="bottomRight" activeCell="E14" sqref="E14"/>
    </sheetView>
  </sheetViews>
  <sheetFormatPr defaultColWidth="9.33203125" defaultRowHeight="15" outlineLevelCol="1"/>
  <cols>
    <col min="1" max="1" width="5" style="423" customWidth="1"/>
    <col min="2" max="2" width="9.5" style="424" customWidth="1"/>
    <col min="3" max="3" width="7" style="424" customWidth="1"/>
    <col min="4" max="4" width="42.83203125" style="423" bestFit="1" customWidth="1"/>
    <col min="5" max="5" width="19.5" style="423" bestFit="1" customWidth="1"/>
    <col min="6" max="6" width="17.1640625" style="423" customWidth="1"/>
    <col min="7" max="7" width="15.5" style="423" customWidth="1"/>
    <col min="8" max="8" width="15.83203125" style="423" customWidth="1"/>
    <col min="9" max="9" width="18.1640625" style="423" customWidth="1"/>
    <col min="10" max="10" width="6.83203125" style="423" hidden="1" customWidth="1" outlineLevel="1"/>
    <col min="11" max="11" width="22.6640625" style="423" bestFit="1" customWidth="1" collapsed="1"/>
    <col min="12" max="12" width="18.83203125" style="423" bestFit="1" customWidth="1"/>
    <col min="13" max="13" width="19.5" style="423" bestFit="1" customWidth="1"/>
    <col min="14" max="14" width="18.83203125" style="423" bestFit="1" customWidth="1"/>
    <col min="15" max="15" width="18.33203125" style="423" customWidth="1"/>
    <col min="16" max="16384" width="9.33203125" style="423"/>
  </cols>
  <sheetData>
    <row r="1" spans="1:19" ht="18.75">
      <c r="A1" s="791" t="s">
        <v>242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</row>
    <row r="2" spans="1:19" ht="18.75">
      <c r="A2" s="791" t="s">
        <v>1013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</row>
    <row r="3" spans="1:19" ht="18.75">
      <c r="A3" s="791" t="s">
        <v>851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9" ht="18.75">
      <c r="A4" s="791" t="s">
        <v>812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</row>
    <row r="5" spans="1:19" ht="18.75">
      <c r="A5" s="433"/>
    </row>
    <row r="6" spans="1:19">
      <c r="A6" s="423">
        <v>1</v>
      </c>
      <c r="M6" s="424" t="s">
        <v>240</v>
      </c>
      <c r="N6" s="424" t="s">
        <v>609</v>
      </c>
    </row>
    <row r="7" spans="1:19" ht="15.75" thickBot="1">
      <c r="A7" s="423">
        <f>+A6+1</f>
        <v>2</v>
      </c>
      <c r="M7" s="424"/>
      <c r="N7" s="424"/>
    </row>
    <row r="8" spans="1:19" ht="15" customHeight="1">
      <c r="A8" s="423">
        <f t="shared" ref="A8:A29" si="0">+A7+1</f>
        <v>3</v>
      </c>
      <c r="M8" s="432" t="s">
        <v>596</v>
      </c>
      <c r="N8" s="432" t="s">
        <v>596</v>
      </c>
    </row>
    <row r="9" spans="1:19" ht="15" customHeight="1" thickBot="1">
      <c r="A9" s="423">
        <f t="shared" si="0"/>
        <v>4</v>
      </c>
      <c r="M9" s="475">
        <f>+'BGM-3 (5) PF Adj.'!BL13</f>
        <v>2.5347000000000001E-2</v>
      </c>
      <c r="N9" s="475">
        <f>1-M9</f>
        <v>0.97465299999999999</v>
      </c>
    </row>
    <row r="10" spans="1:19" ht="15" customHeight="1">
      <c r="A10" s="423">
        <f t="shared" si="0"/>
        <v>5</v>
      </c>
      <c r="M10" s="432" t="s">
        <v>595</v>
      </c>
      <c r="N10" s="432" t="s">
        <v>595</v>
      </c>
    </row>
    <row r="11" spans="1:19" ht="15" customHeight="1" thickBot="1">
      <c r="A11" s="423">
        <f t="shared" si="0"/>
        <v>6</v>
      </c>
      <c r="M11" s="475">
        <f>+'BGM-3 (5) PF Adj.'!BL14</f>
        <v>3.8393999999999998E-2</v>
      </c>
      <c r="N11" s="475">
        <f>1-M11</f>
        <v>0.96160599999999996</v>
      </c>
    </row>
    <row r="12" spans="1:19" ht="15" customHeight="1">
      <c r="A12" s="423">
        <f t="shared" si="0"/>
        <v>7</v>
      </c>
      <c r="E12" s="424" t="s">
        <v>936</v>
      </c>
      <c r="F12" s="424" t="s">
        <v>934</v>
      </c>
      <c r="G12" s="424" t="s">
        <v>63</v>
      </c>
      <c r="H12" s="424" t="s">
        <v>63</v>
      </c>
      <c r="I12" s="424" t="s">
        <v>379</v>
      </c>
      <c r="J12" s="617" t="s">
        <v>937</v>
      </c>
      <c r="K12" s="424" t="s">
        <v>594</v>
      </c>
      <c r="L12" s="424" t="s">
        <v>56</v>
      </c>
      <c r="M12" s="424" t="s">
        <v>64</v>
      </c>
      <c r="N12" s="430" t="s">
        <v>245</v>
      </c>
    </row>
    <row r="13" spans="1:19">
      <c r="A13" s="423">
        <f t="shared" si="0"/>
        <v>8</v>
      </c>
      <c r="B13" s="424" t="s">
        <v>65</v>
      </c>
      <c r="C13" s="424" t="s">
        <v>593</v>
      </c>
      <c r="E13" s="431">
        <v>42643</v>
      </c>
      <c r="F13" s="431" t="s">
        <v>935</v>
      </c>
      <c r="G13" s="424" t="s">
        <v>742</v>
      </c>
      <c r="H13" s="424" t="s">
        <v>743</v>
      </c>
      <c r="I13" s="424" t="s">
        <v>331</v>
      </c>
      <c r="J13" s="617" t="s">
        <v>938</v>
      </c>
      <c r="K13" s="431">
        <v>43465</v>
      </c>
      <c r="L13" s="424" t="s">
        <v>592</v>
      </c>
      <c r="M13" s="424" t="s">
        <v>66</v>
      </c>
      <c r="N13" s="430" t="s">
        <v>591</v>
      </c>
    </row>
    <row r="14" spans="1:19">
      <c r="A14" s="423">
        <f t="shared" si="0"/>
        <v>9</v>
      </c>
      <c r="B14" s="424" t="s">
        <v>1002</v>
      </c>
      <c r="C14" s="424" t="s">
        <v>704</v>
      </c>
      <c r="D14" s="424" t="s">
        <v>1003</v>
      </c>
      <c r="E14" s="431" t="s">
        <v>1004</v>
      </c>
      <c r="F14" s="431" t="s">
        <v>1005</v>
      </c>
      <c r="G14" s="424" t="s">
        <v>1006</v>
      </c>
      <c r="H14" s="424" t="s">
        <v>1007</v>
      </c>
      <c r="I14" s="424" t="s">
        <v>1008</v>
      </c>
      <c r="J14" s="617"/>
      <c r="K14" s="431" t="s">
        <v>1009</v>
      </c>
      <c r="L14" s="424" t="s">
        <v>1010</v>
      </c>
      <c r="M14" s="424" t="s">
        <v>1011</v>
      </c>
      <c r="N14" s="430" t="s">
        <v>1012</v>
      </c>
    </row>
    <row r="15" spans="1:19">
      <c r="A15" s="423">
        <f t="shared" si="0"/>
        <v>10</v>
      </c>
      <c r="B15" s="429">
        <v>501</v>
      </c>
      <c r="C15" s="429" t="s">
        <v>585</v>
      </c>
      <c r="D15" s="428" t="s">
        <v>67</v>
      </c>
      <c r="E15" s="917">
        <f>+'[48]TY Pwr Cost'!$B$3</f>
        <v>85246014.709999993</v>
      </c>
      <c r="F15" s="917">
        <v>0</v>
      </c>
      <c r="G15" s="917">
        <v>0</v>
      </c>
      <c r="H15" s="917">
        <v>0</v>
      </c>
      <c r="I15" s="917">
        <f t="shared" ref="I15:I22" si="1">SUM(E15:H15)</f>
        <v>85246014.709999993</v>
      </c>
      <c r="J15" s="917"/>
      <c r="K15" s="917">
        <f>+'PKW RY PC1'!O8*1000</f>
        <v>82220396.051686153</v>
      </c>
      <c r="L15" s="917">
        <v>0</v>
      </c>
      <c r="M15" s="917">
        <f t="shared" ref="M15:M22" si="2">SUM(K15:L15)</f>
        <v>82220396.051686153</v>
      </c>
      <c r="N15" s="917">
        <f t="shared" ref="N15:N22" si="3">IF(C15="v",M15*$N$11,M15*$N$9)</f>
        <v>79063626.165677711</v>
      </c>
      <c r="O15" s="425"/>
      <c r="P15" s="425"/>
      <c r="Q15" s="425"/>
      <c r="R15" s="425"/>
      <c r="S15" s="425"/>
    </row>
    <row r="16" spans="1:19">
      <c r="A16" s="423">
        <f t="shared" si="0"/>
        <v>11</v>
      </c>
      <c r="B16" s="424">
        <v>547</v>
      </c>
      <c r="C16" s="424" t="s">
        <v>585</v>
      </c>
      <c r="D16" s="423" t="s">
        <v>590</v>
      </c>
      <c r="E16" s="425">
        <f>+'[48]TY Pwr Cost'!$B$32</f>
        <v>149756871.78999999</v>
      </c>
      <c r="F16" s="425"/>
      <c r="G16" s="425"/>
      <c r="H16" s="472"/>
      <c r="I16" s="425">
        <f t="shared" si="1"/>
        <v>149756871.78999999</v>
      </c>
      <c r="J16" s="720">
        <f>+[13]Allocated!$B$18-I16-I15</f>
        <v>0</v>
      </c>
      <c r="K16" s="425">
        <f>+'PKW RY PC1'!O9*1000</f>
        <v>133714370.01720013</v>
      </c>
      <c r="L16" s="472"/>
      <c r="M16" s="425">
        <f t="shared" si="2"/>
        <v>133714370.01720013</v>
      </c>
      <c r="N16" s="472">
        <f t="shared" si="3"/>
        <v>128580540.49475974</v>
      </c>
      <c r="O16" s="425"/>
      <c r="P16" s="425"/>
      <c r="Q16" s="425"/>
      <c r="R16" s="425"/>
      <c r="S16" s="425"/>
    </row>
    <row r="17" spans="1:19">
      <c r="A17" s="423">
        <f t="shared" si="0"/>
        <v>12</v>
      </c>
      <c r="B17" s="811">
        <v>555</v>
      </c>
      <c r="C17" s="811" t="s">
        <v>585</v>
      </c>
      <c r="D17" s="812" t="s">
        <v>68</v>
      </c>
      <c r="E17" s="472">
        <f>+'[48]TY Pwr Cost'!$B$7</f>
        <v>375700424.96000004</v>
      </c>
      <c r="F17" s="472">
        <f>+'[48]TY Pwr Cost'!$C$9+'[48]TY Pwr Cost'!$C$10</f>
        <v>147337570.84999999</v>
      </c>
      <c r="G17" s="472"/>
      <c r="H17" s="472"/>
      <c r="I17" s="472">
        <f t="shared" si="1"/>
        <v>523037995.81000006</v>
      </c>
      <c r="J17" s="720"/>
      <c r="K17" s="425">
        <f>+'PKW RY PC1'!O10*1000</f>
        <v>450719788.54487628</v>
      </c>
      <c r="L17" s="472"/>
      <c r="M17" s="425">
        <f t="shared" si="2"/>
        <v>450719788.54487628</v>
      </c>
      <c r="N17" s="472">
        <f>IF(C17="v",M17*$N$11,M17*$N$9)</f>
        <v>433414852.98348427</v>
      </c>
      <c r="O17" s="425"/>
      <c r="P17" s="425"/>
      <c r="Q17" s="425"/>
      <c r="R17" s="425"/>
      <c r="S17" s="425"/>
    </row>
    <row r="18" spans="1:19">
      <c r="A18" s="423">
        <f t="shared" si="0"/>
        <v>13</v>
      </c>
      <c r="B18" s="811">
        <v>557</v>
      </c>
      <c r="C18" s="811" t="s">
        <v>586</v>
      </c>
      <c r="D18" s="812" t="s">
        <v>69</v>
      </c>
      <c r="E18" s="472">
        <f>+'[48]TY Pwr Cost'!$B$15-E19</f>
        <v>10715287.84</v>
      </c>
      <c r="F18" s="472"/>
      <c r="G18" s="472">
        <f>+'[48]TY Pwr Cost'!$D$18</f>
        <v>-1364051.1099999999</v>
      </c>
      <c r="H18" s="472">
        <f>+'[48]TY Pwr Cost'!$D$17</f>
        <v>-368615.64</v>
      </c>
      <c r="I18" s="472">
        <f t="shared" si="1"/>
        <v>8982621.0899999999</v>
      </c>
      <c r="J18" s="720"/>
      <c r="K18" s="472">
        <f>+'PKW RY PC1'!O11*1000-K19</f>
        <v>11163253.910000002</v>
      </c>
      <c r="L18" s="472">
        <f>SUM(G18:H18)</f>
        <v>-1732666.75</v>
      </c>
      <c r="M18" s="425">
        <f t="shared" si="2"/>
        <v>9430587.160000002</v>
      </c>
      <c r="N18" s="472">
        <f>IF(C18="v",M18*$N$11,M18*$N$9)</f>
        <v>9191550.0672554821</v>
      </c>
      <c r="O18" s="425"/>
      <c r="P18" s="425"/>
      <c r="Q18" s="425"/>
      <c r="R18" s="425"/>
      <c r="S18" s="425"/>
    </row>
    <row r="19" spans="1:19">
      <c r="A19" s="423">
        <f t="shared" si="0"/>
        <v>14</v>
      </c>
      <c r="B19" s="811">
        <v>557</v>
      </c>
      <c r="C19" s="811" t="s">
        <v>585</v>
      </c>
      <c r="D19" s="812" t="s">
        <v>571</v>
      </c>
      <c r="E19" s="472">
        <f>+'[48]12ME Sept 16 SAP'!$B$233</f>
        <v>325842.46999999997</v>
      </c>
      <c r="F19" s="472"/>
      <c r="G19" s="472"/>
      <c r="H19" s="472"/>
      <c r="I19" s="472">
        <f t="shared" si="1"/>
        <v>325842.46999999997</v>
      </c>
      <c r="J19" s="720">
        <f>+[13]Allocated!$B$19-SUM(I17:I19)</f>
        <v>0</v>
      </c>
      <c r="K19" s="472">
        <f>+I19</f>
        <v>325842.46999999997</v>
      </c>
      <c r="L19" s="472"/>
      <c r="M19" s="425">
        <f t="shared" si="2"/>
        <v>325842.46999999997</v>
      </c>
      <c r="N19" s="472">
        <f>IF(C19="v",M19*$N$11,M19*$N$9)</f>
        <v>313332.07420681993</v>
      </c>
      <c r="O19" s="425"/>
      <c r="P19" s="425"/>
      <c r="Q19" s="425"/>
      <c r="R19" s="425"/>
      <c r="S19" s="425"/>
    </row>
    <row r="20" spans="1:19">
      <c r="A20" s="423">
        <f t="shared" si="0"/>
        <v>15</v>
      </c>
      <c r="B20" s="811">
        <v>565</v>
      </c>
      <c r="C20" s="811" t="s">
        <v>585</v>
      </c>
      <c r="D20" s="812" t="s">
        <v>70</v>
      </c>
      <c r="E20" s="472">
        <f>+'[48]TY Pwr Cost'!$B$38</f>
        <v>113800193.22</v>
      </c>
      <c r="F20" s="472"/>
      <c r="G20" s="472"/>
      <c r="H20" s="472"/>
      <c r="I20" s="472">
        <f t="shared" si="1"/>
        <v>113800193.22</v>
      </c>
      <c r="J20" s="471">
        <f>+[13]Allocated!$B$20-I20</f>
        <v>-9.9837779998779297E-7</v>
      </c>
      <c r="K20" s="472">
        <f>+'PKW RY PC1'!O12*1000</f>
        <v>112909796.27716601</v>
      </c>
      <c r="L20" s="472"/>
      <c r="M20" s="425">
        <f t="shared" si="2"/>
        <v>112909796.27716601</v>
      </c>
      <c r="N20" s="472">
        <f t="shared" si="3"/>
        <v>108574737.55890049</v>
      </c>
      <c r="O20" s="425"/>
      <c r="P20" s="425"/>
      <c r="Q20" s="425"/>
      <c r="R20" s="425"/>
      <c r="S20" s="425"/>
    </row>
    <row r="21" spans="1:19">
      <c r="A21" s="423">
        <f t="shared" si="0"/>
        <v>16</v>
      </c>
      <c r="B21" s="811">
        <v>447</v>
      </c>
      <c r="C21" s="811" t="s">
        <v>585</v>
      </c>
      <c r="D21" s="812" t="s">
        <v>75</v>
      </c>
      <c r="E21" s="472">
        <f>+'[48]TY Pwr Cost'!$B$52</f>
        <v>-53788170.890000015</v>
      </c>
      <c r="F21" s="472">
        <f>+'[48]TY Pwr Cost'!$C$54+'[48]TY Pwr Cost'!$C$55</f>
        <v>-147337570.84999999</v>
      </c>
      <c r="G21" s="472"/>
      <c r="H21" s="472"/>
      <c r="I21" s="472">
        <f t="shared" si="1"/>
        <v>-201125741.74000001</v>
      </c>
      <c r="J21" s="471">
        <f>-[13]Allocated!$B$11-I21</f>
        <v>1.0132789611816406E-6</v>
      </c>
      <c r="K21" s="472">
        <f>+'PKW RY PC1'!O13*1000</f>
        <v>-29566835.397595782</v>
      </c>
      <c r="L21" s="472"/>
      <c r="M21" s="425">
        <f t="shared" si="2"/>
        <v>-29566835.397595782</v>
      </c>
      <c r="N21" s="472">
        <f t="shared" si="3"/>
        <v>-28431646.31934049</v>
      </c>
      <c r="O21" s="425"/>
      <c r="P21" s="425"/>
      <c r="Q21" s="425"/>
      <c r="R21" s="425"/>
      <c r="S21" s="425"/>
    </row>
    <row r="22" spans="1:19">
      <c r="A22" s="423">
        <f t="shared" si="0"/>
        <v>17</v>
      </c>
      <c r="B22" s="811">
        <v>456</v>
      </c>
      <c r="C22" s="811" t="s">
        <v>585</v>
      </c>
      <c r="D22" s="812" t="s">
        <v>589</v>
      </c>
      <c r="E22" s="472">
        <f>+'[48]TY Pwr Cost'!$B$58</f>
        <v>18023677.969999999</v>
      </c>
      <c r="F22" s="472"/>
      <c r="G22" s="472"/>
      <c r="H22" s="472"/>
      <c r="I22" s="472">
        <f t="shared" si="1"/>
        <v>18023677.969999999</v>
      </c>
      <c r="J22" s="720">
        <f>+'[48]TY Pwr Cost'!$F$58-I22</f>
        <v>0</v>
      </c>
      <c r="K22" s="472">
        <f>+'PKW RY PC1'!O14*1000</f>
        <v>-16211041.102281947</v>
      </c>
      <c r="L22" s="472"/>
      <c r="M22" s="425">
        <f t="shared" si="2"/>
        <v>-16211041.102281947</v>
      </c>
      <c r="N22" s="472">
        <f t="shared" si="3"/>
        <v>-15588634.390200933</v>
      </c>
      <c r="O22" s="425"/>
      <c r="P22" s="425"/>
      <c r="Q22" s="425"/>
      <c r="R22" s="425"/>
      <c r="S22" s="425"/>
    </row>
    <row r="23" spans="1:19">
      <c r="A23" s="423">
        <f t="shared" si="0"/>
        <v>18</v>
      </c>
      <c r="B23" s="813" t="s">
        <v>588</v>
      </c>
      <c r="C23" s="811"/>
      <c r="D23" s="812"/>
      <c r="E23" s="473">
        <f>SUM(E15:E22)</f>
        <v>699780142.07000017</v>
      </c>
      <c r="F23" s="473">
        <f>SUM(F15:F22)</f>
        <v>0</v>
      </c>
      <c r="G23" s="473">
        <f>SUM(G15:G22)</f>
        <v>-1364051.1099999999</v>
      </c>
      <c r="H23" s="473">
        <f>SUM(H15:H22)</f>
        <v>-368615.64</v>
      </c>
      <c r="I23" s="473">
        <f>SUM(I15:I22)</f>
        <v>698047475.32000017</v>
      </c>
      <c r="J23" s="721"/>
      <c r="K23" s="473">
        <f>SUM(K15:K22)</f>
        <v>745275570.77105093</v>
      </c>
      <c r="L23" s="473">
        <f>SUM(L15:L22)</f>
        <v>-1732666.75</v>
      </c>
      <c r="M23" s="427">
        <f>SUM(M15:M22)</f>
        <v>743542904.02105093</v>
      </c>
      <c r="N23" s="473">
        <f>SUM(N15:N22)</f>
        <v>715118358.63474309</v>
      </c>
      <c r="O23" s="425"/>
      <c r="P23" s="425"/>
      <c r="Q23" s="425"/>
      <c r="R23" s="425"/>
      <c r="S23" s="425"/>
    </row>
    <row r="24" spans="1:19">
      <c r="A24" s="423">
        <f t="shared" si="0"/>
        <v>19</v>
      </c>
      <c r="B24" s="811"/>
      <c r="C24" s="811"/>
      <c r="D24" s="722" t="s">
        <v>569</v>
      </c>
      <c r="E24" s="471">
        <f>+'[48]TY Pwr Cost'!$B$75-E23</f>
        <v>0</v>
      </c>
      <c r="F24" s="471"/>
      <c r="G24" s="471"/>
      <c r="H24" s="722"/>
      <c r="I24" s="471"/>
      <c r="J24" s="425"/>
      <c r="K24" s="425"/>
      <c r="L24" s="425"/>
      <c r="M24" s="470"/>
      <c r="N24" s="471"/>
      <c r="O24" s="425"/>
      <c r="P24" s="425"/>
      <c r="Q24" s="425"/>
      <c r="R24" s="425"/>
      <c r="S24" s="425"/>
    </row>
    <row r="25" spans="1:19">
      <c r="A25" s="423">
        <f t="shared" si="0"/>
        <v>20</v>
      </c>
      <c r="B25" s="811" t="s">
        <v>241</v>
      </c>
      <c r="C25" s="811" t="s">
        <v>586</v>
      </c>
      <c r="D25" s="812" t="s">
        <v>380</v>
      </c>
      <c r="E25" s="472">
        <f>+'[48]TY Pwr Cost'!$B$46</f>
        <v>133910147</v>
      </c>
      <c r="F25" s="472"/>
      <c r="G25" s="472">
        <f>+'[48]TY Pwr Cost'!$D$49</f>
        <v>-6304989.3199999994</v>
      </c>
      <c r="H25" s="472">
        <f>+'[48]TY Pwr Cost'!$D$48</f>
        <v>-1707720.6600000001</v>
      </c>
      <c r="I25" s="472">
        <f>SUM(E25:H25)</f>
        <v>125897437.02000001</v>
      </c>
      <c r="J25" s="721">
        <f>+[13]Allocated!$B$24-I25</f>
        <v>0</v>
      </c>
      <c r="K25" s="472">
        <f>+'RJR Prod O&amp;M'!D28</f>
        <v>147018434.04146132</v>
      </c>
      <c r="L25" s="472">
        <f>SUM(G25:H25)</f>
        <v>-8012709.9799999995</v>
      </c>
      <c r="M25" s="425">
        <f>SUM(K25:L25)</f>
        <v>139005724.06146133</v>
      </c>
      <c r="N25" s="472">
        <f>IF(C25="v",M25*$N$11,M25*$N$9)</f>
        <v>135482345.97367546</v>
      </c>
      <c r="O25" s="425"/>
      <c r="P25" s="425"/>
      <c r="Q25" s="425"/>
      <c r="R25" s="425"/>
      <c r="S25" s="425"/>
    </row>
    <row r="26" spans="1:19">
      <c r="A26" s="423">
        <f t="shared" si="0"/>
        <v>21</v>
      </c>
      <c r="B26" s="811" t="s">
        <v>241</v>
      </c>
      <c r="C26" s="811" t="s">
        <v>586</v>
      </c>
      <c r="D26" s="812" t="s">
        <v>587</v>
      </c>
      <c r="E26" s="472">
        <f>+'[48]TY Pwr Cost'!$B$60</f>
        <v>662134.87</v>
      </c>
      <c r="F26" s="472"/>
      <c r="G26" s="472"/>
      <c r="H26" s="472"/>
      <c r="I26" s="472">
        <f>SUM(E26:H26)</f>
        <v>662134.87</v>
      </c>
      <c r="J26" s="721">
        <f>+'[48]TY Pwr Cost'!$F$60-I26</f>
        <v>0</v>
      </c>
      <c r="K26" s="472">
        <f>+I26</f>
        <v>662134.87</v>
      </c>
      <c r="L26" s="472"/>
      <c r="M26" s="425">
        <f>SUM(K26:L26)</f>
        <v>662134.87</v>
      </c>
      <c r="N26" s="472">
        <f>IF(C26="v",M26*$N$11,M26*$N$9)</f>
        <v>645351.73745011003</v>
      </c>
      <c r="O26" s="425"/>
      <c r="P26" s="425"/>
      <c r="Q26" s="425"/>
      <c r="R26" s="425"/>
      <c r="S26" s="425"/>
    </row>
    <row r="27" spans="1:19">
      <c r="A27" s="423">
        <f t="shared" si="0"/>
        <v>22</v>
      </c>
      <c r="B27" s="811" t="s">
        <v>381</v>
      </c>
      <c r="C27" s="811" t="s">
        <v>586</v>
      </c>
      <c r="D27" s="812" t="s">
        <v>858</v>
      </c>
      <c r="E27" s="472">
        <f>+'[48]TY Pwr Cost'!$B$44</f>
        <v>-8228548.5899999999</v>
      </c>
      <c r="F27" s="472"/>
      <c r="G27" s="472"/>
      <c r="H27" s="472"/>
      <c r="I27" s="472">
        <f>SUM(E27:H27)</f>
        <v>-8228548.5899999999</v>
      </c>
      <c r="J27" s="721">
        <f>+'[48]TY Pwr Cost'!$F$44-I27</f>
        <v>0</v>
      </c>
      <c r="K27" s="425">
        <f>-'Trans OATT Revenue'!D43</f>
        <v>-9944078.2818932347</v>
      </c>
      <c r="L27" s="472"/>
      <c r="M27" s="425">
        <f>SUM(K27:L27)</f>
        <v>-9944078.2818932347</v>
      </c>
      <c r="N27" s="472">
        <f>IF(C27="v",M27*$N$11,M27*$N$9)</f>
        <v>-9692025.729682086</v>
      </c>
      <c r="O27" s="425"/>
      <c r="P27" s="425"/>
      <c r="Q27" s="425"/>
      <c r="R27" s="425"/>
      <c r="S27" s="425"/>
    </row>
    <row r="28" spans="1:19">
      <c r="A28" s="423">
        <f t="shared" si="0"/>
        <v>23</v>
      </c>
      <c r="B28" s="811" t="s">
        <v>382</v>
      </c>
      <c r="C28" s="811" t="s">
        <v>585</v>
      </c>
      <c r="D28" s="812" t="s">
        <v>383</v>
      </c>
      <c r="E28" s="472"/>
      <c r="F28" s="472"/>
      <c r="G28" s="472"/>
      <c r="H28" s="472"/>
      <c r="I28" s="472">
        <f>SUM(E28:H28)</f>
        <v>0</v>
      </c>
      <c r="J28" s="721"/>
      <c r="K28" s="425">
        <f>+'Centralia Equity Kicker'!E33</f>
        <v>4959911.9999999991</v>
      </c>
      <c r="L28" s="472"/>
      <c r="M28" s="425">
        <f>SUM(K28:L28)</f>
        <v>4959911.9999999991</v>
      </c>
      <c r="N28" s="472">
        <f>IF(C28="v",M28*$N$11,M28*$N$9)</f>
        <v>4769481.1386719989</v>
      </c>
      <c r="O28" s="425"/>
      <c r="P28" s="425"/>
      <c r="Q28" s="425"/>
      <c r="R28" s="425"/>
      <c r="S28" s="425"/>
    </row>
    <row r="29" spans="1:19" ht="15.75" thickBot="1">
      <c r="A29" s="423">
        <f t="shared" si="0"/>
        <v>24</v>
      </c>
      <c r="B29" s="426" t="s">
        <v>584</v>
      </c>
      <c r="E29" s="918">
        <f>SUM(E23:E28)</f>
        <v>826123875.35000014</v>
      </c>
      <c r="F29" s="918">
        <f>SUM(F23:F28)</f>
        <v>0</v>
      </c>
      <c r="G29" s="918">
        <f>SUM(G23:G28)</f>
        <v>-7669040.4299999997</v>
      </c>
      <c r="H29" s="918">
        <f>SUM(H23:H28)</f>
        <v>-2076336.3000000003</v>
      </c>
      <c r="I29" s="918">
        <f>SUM(I23:I28)</f>
        <v>816378498.62000012</v>
      </c>
      <c r="J29" s="918"/>
      <c r="K29" s="918">
        <f>SUM(K23:K28)</f>
        <v>887971973.40061903</v>
      </c>
      <c r="L29" s="918">
        <f>SUM(L23:L28)</f>
        <v>-9745376.7300000004</v>
      </c>
      <c r="M29" s="918">
        <f>SUM(M23:M28)</f>
        <v>878226596.67061901</v>
      </c>
      <c r="N29" s="918">
        <f>SUM(N23:N28)</f>
        <v>846323511.75485861</v>
      </c>
      <c r="O29" s="425"/>
      <c r="P29" s="425"/>
      <c r="Q29" s="425"/>
      <c r="R29" s="425"/>
      <c r="S29" s="425"/>
    </row>
    <row r="30" spans="1:19" ht="15.75" thickTop="1">
      <c r="D30" s="722" t="s">
        <v>569</v>
      </c>
      <c r="E30" s="471">
        <f>+'[48]TY Pwr Cost'!$B$64-E29</f>
        <v>0</v>
      </c>
      <c r="F30" s="471"/>
      <c r="G30" s="471"/>
      <c r="H30" s="722" t="s">
        <v>569</v>
      </c>
      <c r="I30" s="471">
        <f>+'[48]TY Pwr Cost'!$F$66-I29</f>
        <v>0</v>
      </c>
      <c r="J30" s="425"/>
      <c r="K30" s="425"/>
      <c r="L30" s="425"/>
      <c r="M30" s="470" t="s">
        <v>569</v>
      </c>
      <c r="N30" s="471">
        <f>+'BGM-3 (5) PF Adj.'!D27-N29</f>
        <v>-19273000</v>
      </c>
      <c r="O30" s="425"/>
      <c r="P30" s="425"/>
      <c r="Q30" s="425"/>
      <c r="R30" s="425"/>
      <c r="S30" s="425"/>
    </row>
    <row r="31" spans="1:19">
      <c r="D31" s="470"/>
      <c r="E31" s="471"/>
      <c r="F31" s="471"/>
      <c r="G31" s="471"/>
      <c r="H31" s="722" t="s">
        <v>569</v>
      </c>
      <c r="I31" s="471">
        <f>'BGM-3 (5) PF Adj.'!C27-I29</f>
        <v>0</v>
      </c>
      <c r="J31" s="425"/>
      <c r="K31" s="425"/>
      <c r="L31" s="425"/>
      <c r="M31" s="470" t="s">
        <v>569</v>
      </c>
      <c r="N31" s="471">
        <f>(M23-M18+M28)*M11+SUM(M18,M25:M27)*M9+(N29-M29)</f>
        <v>-8.5681676864624023E-8</v>
      </c>
      <c r="O31" s="425"/>
      <c r="P31" s="425"/>
      <c r="Q31" s="425"/>
      <c r="R31" s="425"/>
      <c r="S31" s="425"/>
    </row>
  </sheetData>
  <pageMargins left="0.7" right="0.7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87"/>
  <sheetViews>
    <sheetView zoomScaleNormal="85" workbookViewId="0">
      <pane xSplit="3" ySplit="12" topLeftCell="D13" activePane="bottomRight" state="frozen"/>
      <selection activeCell="E41" sqref="E41"/>
      <selection pane="topRight" activeCell="E41" sqref="E41"/>
      <selection pane="bottomLeft" activeCell="E41" sqref="E41"/>
      <selection pane="bottomRight" activeCell="D13" sqref="D13"/>
    </sheetView>
  </sheetViews>
  <sheetFormatPr defaultColWidth="9.33203125" defaultRowHeight="15"/>
  <cols>
    <col min="1" max="1" width="6.6640625" style="423" customWidth="1"/>
    <col min="2" max="2" width="55.5" style="423" customWidth="1"/>
    <col min="3" max="3" width="17.5" style="423" customWidth="1"/>
    <col min="4" max="4" width="12.6640625" style="423" customWidth="1"/>
    <col min="5" max="5" width="5.1640625" style="423" bestFit="1" customWidth="1"/>
    <col min="6" max="6" width="14.83203125" style="423" customWidth="1"/>
    <col min="7" max="7" width="16" style="423" customWidth="1"/>
    <col min="8" max="8" width="14.33203125" style="423" bestFit="1" customWidth="1"/>
    <col min="9" max="9" width="9.33203125" style="423"/>
    <col min="10" max="10" width="3.1640625" style="423" customWidth="1"/>
    <col min="11" max="11" width="19.1640625" style="800" bestFit="1" customWidth="1"/>
    <col min="12" max="12" width="9.83203125" style="423" bestFit="1" customWidth="1"/>
    <col min="13" max="16384" width="9.33203125" style="423"/>
  </cols>
  <sheetData>
    <row r="1" spans="1:12" ht="18">
      <c r="A1" s="469" t="s">
        <v>476</v>
      </c>
      <c r="B1" s="488"/>
      <c r="G1" s="8" t="s">
        <v>1156</v>
      </c>
    </row>
    <row r="2" spans="1:12" ht="18.75" thickBot="1">
      <c r="A2" s="575" t="s">
        <v>856</v>
      </c>
      <c r="B2" s="467"/>
      <c r="G2" s="8" t="s">
        <v>1157</v>
      </c>
    </row>
    <row r="3" spans="1:12" ht="16.5" thickBot="1">
      <c r="A3" s="468"/>
      <c r="B3" s="467"/>
      <c r="G3" s="777"/>
    </row>
    <row r="4" spans="1:12">
      <c r="A4" s="823" t="s">
        <v>477</v>
      </c>
      <c r="B4" s="824"/>
      <c r="C4" s="825" t="s">
        <v>478</v>
      </c>
      <c r="D4" s="826"/>
      <c r="E4" s="826"/>
      <c r="F4" s="826"/>
      <c r="G4" s="826"/>
    </row>
    <row r="5" spans="1:12">
      <c r="A5" s="823">
        <v>3</v>
      </c>
      <c r="B5" s="827" t="s">
        <v>866</v>
      </c>
      <c r="C5" s="828">
        <f>+'BGM-3 (5) PF Adj.'!BM94</f>
        <v>194247637.93357426</v>
      </c>
      <c r="D5" s="829"/>
      <c r="E5" s="829"/>
      <c r="F5" s="829"/>
      <c r="G5" s="829"/>
    </row>
    <row r="6" spans="1:12">
      <c r="A6" s="823">
        <v>4</v>
      </c>
      <c r="B6" s="827" t="s">
        <v>479</v>
      </c>
      <c r="C6" s="830">
        <f>+'Trans Ratebase'!C62</f>
        <v>85738601.034227908</v>
      </c>
      <c r="D6" s="829"/>
      <c r="E6" s="829"/>
      <c r="F6" s="829"/>
      <c r="G6" s="829"/>
    </row>
    <row r="7" spans="1:12">
      <c r="A7" s="823">
        <v>5</v>
      </c>
      <c r="B7" s="827" t="s">
        <v>480</v>
      </c>
      <c r="C7" s="831">
        <f>+'BGM-3 (5) PF Adj.'!BM73</f>
        <v>1906136724.7378278</v>
      </c>
      <c r="D7" s="829"/>
      <c r="E7" s="829"/>
      <c r="F7" s="829"/>
      <c r="G7" s="829"/>
    </row>
    <row r="8" spans="1:12">
      <c r="A8" s="823">
        <v>6</v>
      </c>
      <c r="B8" s="832"/>
      <c r="C8" s="833">
        <f>SUM(C5:C7)</f>
        <v>2186122963.7056298</v>
      </c>
      <c r="D8" s="834"/>
      <c r="E8" s="835"/>
      <c r="F8" s="835"/>
      <c r="G8" s="826"/>
    </row>
    <row r="9" spans="1:12">
      <c r="A9" s="823">
        <v>7</v>
      </c>
      <c r="B9" s="827" t="s">
        <v>481</v>
      </c>
      <c r="C9" s="836">
        <f>+'BGM-3 (3) Param'!H19</f>
        <v>6.3500000000000001E-2</v>
      </c>
      <c r="D9" s="837"/>
      <c r="E9" s="835"/>
      <c r="F9" s="835" t="s">
        <v>574</v>
      </c>
      <c r="G9" s="835" t="s">
        <v>573</v>
      </c>
    </row>
    <row r="10" spans="1:12">
      <c r="A10" s="823">
        <v>8</v>
      </c>
      <c r="B10" s="838"/>
      <c r="C10" s="829"/>
      <c r="D10" s="839" t="s">
        <v>482</v>
      </c>
      <c r="E10" s="835"/>
      <c r="F10" s="835" t="s">
        <v>870</v>
      </c>
      <c r="G10" s="835" t="s">
        <v>870</v>
      </c>
    </row>
    <row r="11" spans="1:12">
      <c r="A11" s="823">
        <v>9</v>
      </c>
      <c r="B11" s="840"/>
      <c r="C11" s="829"/>
      <c r="D11" s="825" t="s">
        <v>483</v>
      </c>
      <c r="E11" s="841" t="s">
        <v>593</v>
      </c>
      <c r="F11" s="841" t="s">
        <v>871</v>
      </c>
      <c r="G11" s="841" t="s">
        <v>872</v>
      </c>
      <c r="J11" s="812"/>
      <c r="K11" s="814"/>
      <c r="L11" s="812"/>
    </row>
    <row r="12" spans="1:12">
      <c r="A12" s="823" t="s">
        <v>484</v>
      </c>
      <c r="B12" s="827"/>
      <c r="C12" s="842" t="s">
        <v>485</v>
      </c>
      <c r="D12" s="825" t="s">
        <v>486</v>
      </c>
      <c r="E12" s="825" t="s">
        <v>576</v>
      </c>
      <c r="F12" s="843" t="s">
        <v>868</v>
      </c>
      <c r="G12" s="841" t="s">
        <v>869</v>
      </c>
      <c r="J12" s="812"/>
      <c r="K12" s="801"/>
      <c r="L12" s="812"/>
    </row>
    <row r="13" spans="1:12">
      <c r="A13" s="823">
        <v>10</v>
      </c>
      <c r="B13" s="827" t="s">
        <v>487</v>
      </c>
      <c r="C13" s="828">
        <f>C5*$C$9/0.65</f>
        <v>18976500.013510715</v>
      </c>
      <c r="D13" s="844">
        <f t="shared" ref="D13:D34" si="0">+C13/$C$39</f>
        <v>0.91571255979942079</v>
      </c>
      <c r="E13" s="845" t="s">
        <v>586</v>
      </c>
      <c r="F13" s="846">
        <f>+C13</f>
        <v>18976500.013510715</v>
      </c>
      <c r="G13" s="846">
        <v>0</v>
      </c>
      <c r="J13" s="812"/>
      <c r="K13" s="801"/>
      <c r="L13" s="812"/>
    </row>
    <row r="14" spans="1:12">
      <c r="A14" s="823" t="s">
        <v>488</v>
      </c>
      <c r="B14" s="827" t="s">
        <v>489</v>
      </c>
      <c r="C14" s="830">
        <f>+'Power Cost Bridge to A-1'!N28</f>
        <v>4769481.1386719989</v>
      </c>
      <c r="D14" s="844">
        <f t="shared" si="0"/>
        <v>0.23015170233177235</v>
      </c>
      <c r="E14" s="845" t="s">
        <v>585</v>
      </c>
      <c r="F14" s="829"/>
      <c r="G14" s="847">
        <f>+C14</f>
        <v>4769481.1386719989</v>
      </c>
      <c r="J14" s="812"/>
    </row>
    <row r="15" spans="1:12">
      <c r="A15" s="823">
        <v>11</v>
      </c>
      <c r="B15" s="832" t="s">
        <v>490</v>
      </c>
      <c r="C15" s="848">
        <f>+C6*C9/0.65</f>
        <v>8376001.7933438029</v>
      </c>
      <c r="D15" s="844">
        <f t="shared" si="0"/>
        <v>0.40418465141657151</v>
      </c>
      <c r="E15" s="845" t="s">
        <v>586</v>
      </c>
      <c r="F15" s="847">
        <f>+C15</f>
        <v>8376001.7933438029</v>
      </c>
      <c r="G15" s="829"/>
      <c r="J15" s="812"/>
    </row>
    <row r="16" spans="1:12">
      <c r="A16" s="823">
        <v>12</v>
      </c>
      <c r="B16" s="832" t="s">
        <v>491</v>
      </c>
      <c r="C16" s="830">
        <f>C7*$C$9/0.65</f>
        <v>186214895.41669548</v>
      </c>
      <c r="D16" s="844">
        <f t="shared" si="0"/>
        <v>8.9858150045265912</v>
      </c>
      <c r="E16" s="845" t="s">
        <v>586</v>
      </c>
      <c r="F16" s="847">
        <f>+C16</f>
        <v>186214895.41669548</v>
      </c>
      <c r="G16" s="829"/>
      <c r="J16" s="812"/>
    </row>
    <row r="17" spans="1:10">
      <c r="A17" s="823">
        <v>13</v>
      </c>
      <c r="B17" s="832" t="s">
        <v>1023</v>
      </c>
      <c r="C17" s="830">
        <f>+'Power Cost Bridge to A-1'!N15</f>
        <v>79063626.165677711</v>
      </c>
      <c r="D17" s="844">
        <f t="shared" si="0"/>
        <v>3.8152217454035688</v>
      </c>
      <c r="E17" s="845" t="s">
        <v>585</v>
      </c>
      <c r="F17" s="829"/>
      <c r="G17" s="847">
        <f>+C17</f>
        <v>79063626.165677711</v>
      </c>
      <c r="J17" s="812"/>
    </row>
    <row r="18" spans="1:10">
      <c r="A18" s="823">
        <v>14</v>
      </c>
      <c r="B18" s="832" t="s">
        <v>1024</v>
      </c>
      <c r="C18" s="830">
        <f>+'Power Cost Bridge to A-1'!N17</f>
        <v>433414852.98348427</v>
      </c>
      <c r="D18" s="844">
        <f t="shared" si="0"/>
        <v>20.914469169658606</v>
      </c>
      <c r="E18" s="845" t="s">
        <v>585</v>
      </c>
      <c r="F18" s="829"/>
      <c r="G18" s="847">
        <f>+C18</f>
        <v>433414852.98348427</v>
      </c>
      <c r="J18" s="812"/>
    </row>
    <row r="19" spans="1:10">
      <c r="A19" s="823">
        <v>15</v>
      </c>
      <c r="B19" s="832" t="s">
        <v>492</v>
      </c>
      <c r="C19" s="830">
        <f>+'Power Cost Bridge to A-1'!N18+'BGM-3 (4) Rstng Adj'!AW14+'BGM-3 (4) Rstng Adj'!CC14+'BGM-3 (5) PF Adj.'!BL17</f>
        <v>9328087.8184712231</v>
      </c>
      <c r="D19" s="844">
        <f t="shared" si="0"/>
        <v>0.45012764040811171</v>
      </c>
      <c r="E19" s="845" t="s">
        <v>586</v>
      </c>
      <c r="F19" s="847">
        <f>+C19</f>
        <v>9328087.8184712231</v>
      </c>
      <c r="G19" s="829"/>
      <c r="J19" s="812"/>
    </row>
    <row r="20" spans="1:10">
      <c r="A20" s="823" t="s">
        <v>493</v>
      </c>
      <c r="B20" s="849" t="s">
        <v>494</v>
      </c>
      <c r="C20" s="830">
        <f>SUM('BGM-3 (5) PF Adj.'!BK19:BL19)</f>
        <v>7213111.0396538256</v>
      </c>
      <c r="D20" s="844">
        <f t="shared" si="0"/>
        <v>0.34806926301141944</v>
      </c>
      <c r="E20" s="845" t="s">
        <v>586</v>
      </c>
      <c r="F20" s="847">
        <f>+C20</f>
        <v>7213111.0396538256</v>
      </c>
      <c r="G20" s="829"/>
      <c r="J20" s="812"/>
    </row>
    <row r="21" spans="1:10">
      <c r="A21" s="823" t="s">
        <v>495</v>
      </c>
      <c r="B21" s="849" t="s">
        <v>496</v>
      </c>
      <c r="C21" s="830">
        <f>SUM('BGM-3 (5) PF Adj.'!BK21:BL21)</f>
        <v>2693723.63209977</v>
      </c>
      <c r="D21" s="844">
        <f t="shared" si="0"/>
        <v>0.12998585412410463</v>
      </c>
      <c r="E21" s="845" t="s">
        <v>586</v>
      </c>
      <c r="F21" s="847">
        <f>+C21</f>
        <v>2693723.63209977</v>
      </c>
      <c r="G21" s="829"/>
      <c r="J21" s="812"/>
    </row>
    <row r="22" spans="1:10">
      <c r="A22" s="823" t="s">
        <v>497</v>
      </c>
      <c r="B22" s="849" t="s">
        <v>498</v>
      </c>
      <c r="C22" s="830">
        <f>SUM('BGM-3 (5) PF Adj.'!BK31:BL31)</f>
        <v>1414592.6040183536</v>
      </c>
      <c r="D22" s="844">
        <f t="shared" si="0"/>
        <v>6.8261281773599775E-2</v>
      </c>
      <c r="E22" s="845" t="s">
        <v>585</v>
      </c>
      <c r="F22" s="829"/>
      <c r="G22" s="847">
        <f>+C22</f>
        <v>1414592.6040183536</v>
      </c>
      <c r="J22" s="812"/>
    </row>
    <row r="23" spans="1:10">
      <c r="A23" s="823" t="s">
        <v>499</v>
      </c>
      <c r="B23" s="849" t="s">
        <v>500</v>
      </c>
      <c r="C23" s="830">
        <f>SUM('BGM-3 (5) PF Adj.'!BK32:BL32)</f>
        <v>2043860.8656736021</v>
      </c>
      <c r="D23" s="844">
        <f t="shared" si="0"/>
        <v>9.8626673193018599E-2</v>
      </c>
      <c r="E23" s="845" t="s">
        <v>586</v>
      </c>
      <c r="F23" s="847">
        <f>+C23</f>
        <v>2043860.8656736021</v>
      </c>
      <c r="G23" s="829"/>
      <c r="J23" s="812"/>
    </row>
    <row r="24" spans="1:10">
      <c r="A24" s="823" t="s">
        <v>570</v>
      </c>
      <c r="B24" s="849" t="s">
        <v>603</v>
      </c>
      <c r="C24" s="830">
        <f>+'Power Cost Bridge to A-1'!N19</f>
        <v>313332.07420681993</v>
      </c>
      <c r="D24" s="844">
        <f t="shared" si="0"/>
        <v>1.5119864861007507E-2</v>
      </c>
      <c r="E24" s="845" t="s">
        <v>585</v>
      </c>
      <c r="F24" s="829"/>
      <c r="G24" s="847">
        <f>+C24</f>
        <v>313332.07420681993</v>
      </c>
      <c r="J24" s="812"/>
    </row>
    <row r="25" spans="1:10">
      <c r="A25" s="823">
        <v>16</v>
      </c>
      <c r="B25" s="832" t="s">
        <v>1025</v>
      </c>
      <c r="C25" s="830">
        <f>+'Power Cost Bridge to A-1'!N16</f>
        <v>128580540.49475974</v>
      </c>
      <c r="D25" s="844">
        <f t="shared" si="0"/>
        <v>6.2046644951924783</v>
      </c>
      <c r="E25" s="845" t="s">
        <v>585</v>
      </c>
      <c r="F25" s="829"/>
      <c r="G25" s="847">
        <f>+C25</f>
        <v>128580540.49475974</v>
      </c>
      <c r="J25" s="812"/>
    </row>
    <row r="26" spans="1:10">
      <c r="A26" s="823">
        <v>17</v>
      </c>
      <c r="B26" s="832" t="s">
        <v>1026</v>
      </c>
      <c r="C26" s="830">
        <f>+'Power Cost Bridge to A-1'!N20</f>
        <v>108574737.55890049</v>
      </c>
      <c r="D26" s="844">
        <f t="shared" si="0"/>
        <v>5.2392828387123345</v>
      </c>
      <c r="E26" s="845" t="s">
        <v>585</v>
      </c>
      <c r="F26" s="829"/>
      <c r="G26" s="847">
        <f>+C26</f>
        <v>108574737.55890049</v>
      </c>
      <c r="J26" s="812"/>
    </row>
    <row r="27" spans="1:10">
      <c r="A27" s="823">
        <v>18</v>
      </c>
      <c r="B27" s="832" t="s">
        <v>616</v>
      </c>
      <c r="C27" s="830">
        <f>+'Power Cost Bridge to A-1'!N27</f>
        <v>-9692025.729682086</v>
      </c>
      <c r="D27" s="844">
        <f t="shared" si="0"/>
        <v>-0.46768949407162608</v>
      </c>
      <c r="E27" s="845" t="s">
        <v>586</v>
      </c>
      <c r="F27" s="847">
        <f>+C27</f>
        <v>-9692025.729682086</v>
      </c>
      <c r="G27" s="829"/>
      <c r="J27" s="812"/>
    </row>
    <row r="28" spans="1:10">
      <c r="A28" s="823">
        <v>19</v>
      </c>
      <c r="B28" s="832" t="s">
        <v>380</v>
      </c>
      <c r="C28" s="830">
        <f>+'BGM-3 (2) Detail '!AV32</f>
        <v>135758889.74024761</v>
      </c>
      <c r="D28" s="844">
        <f t="shared" si="0"/>
        <v>6.5510563249840592</v>
      </c>
      <c r="E28" s="845" t="s">
        <v>586</v>
      </c>
      <c r="F28" s="847">
        <f>+C28</f>
        <v>135758889.74024761</v>
      </c>
      <c r="G28" s="829"/>
      <c r="H28" s="793"/>
      <c r="J28" s="812"/>
    </row>
    <row r="29" spans="1:10">
      <c r="A29" s="823">
        <v>20</v>
      </c>
      <c r="B29" s="832" t="s">
        <v>501</v>
      </c>
      <c r="C29" s="830">
        <f>-'BGM-3 (2) Detail '!AV19</f>
        <v>-28431646.319339484</v>
      </c>
      <c r="D29" s="844">
        <f t="shared" si="0"/>
        <v>-1.3719714179041353</v>
      </c>
      <c r="E29" s="845" t="s">
        <v>585</v>
      </c>
      <c r="F29" s="829"/>
      <c r="G29" s="847">
        <f>+C29</f>
        <v>-28431646.319339484</v>
      </c>
      <c r="H29" s="794"/>
      <c r="J29" s="812"/>
    </row>
    <row r="30" spans="1:10">
      <c r="A30" s="850">
        <v>21</v>
      </c>
      <c r="B30" s="851" t="s">
        <v>502</v>
      </c>
      <c r="C30" s="830">
        <f>+'Power Cost Bridge to A-1'!N22</f>
        <v>-15588634.390200933</v>
      </c>
      <c r="D30" s="844">
        <f t="shared" si="0"/>
        <v>-0.75223082713171574</v>
      </c>
      <c r="E30" s="845" t="s">
        <v>585</v>
      </c>
      <c r="F30" s="829"/>
      <c r="G30" s="847">
        <f>+C30</f>
        <v>-15588634.390200933</v>
      </c>
      <c r="J30" s="812"/>
    </row>
    <row r="31" spans="1:10">
      <c r="A31" s="823">
        <v>22</v>
      </c>
      <c r="B31" s="832" t="s">
        <v>503</v>
      </c>
      <c r="C31" s="830">
        <f>+'Power Cost Bridge to A-1'!N26</f>
        <v>645351.73745011003</v>
      </c>
      <c r="D31" s="844">
        <f t="shared" si="0"/>
        <v>3.1141500858994021E-2</v>
      </c>
      <c r="E31" s="845" t="s">
        <v>586</v>
      </c>
      <c r="F31" s="847">
        <f>+C31</f>
        <v>645351.73745011003</v>
      </c>
      <c r="G31" s="829"/>
      <c r="J31" s="812"/>
    </row>
    <row r="32" spans="1:10">
      <c r="A32" s="823">
        <v>23</v>
      </c>
      <c r="B32" s="852" t="s">
        <v>504</v>
      </c>
      <c r="C32" s="830">
        <f>SUM('BGM-3 (5) PF Adj.'!BK28:BL28)</f>
        <v>154291379.98128799</v>
      </c>
      <c r="D32" s="844">
        <f t="shared" si="0"/>
        <v>7.4453431569076711</v>
      </c>
      <c r="E32" s="845" t="s">
        <v>586</v>
      </c>
      <c r="F32" s="847">
        <f>+C32</f>
        <v>154291379.98128799</v>
      </c>
      <c r="G32" s="829"/>
      <c r="J32" s="812"/>
    </row>
    <row r="33" spans="1:12">
      <c r="A33" s="823">
        <v>24</v>
      </c>
      <c r="B33" s="824" t="s">
        <v>505</v>
      </c>
      <c r="C33" s="830">
        <f>+'Trans Ratebase'!F62</f>
        <v>3490805.0455442886</v>
      </c>
      <c r="D33" s="844">
        <f t="shared" si="0"/>
        <v>0.16844908290465715</v>
      </c>
      <c r="E33" s="845" t="s">
        <v>586</v>
      </c>
      <c r="F33" s="847">
        <f>+C33</f>
        <v>3490805.0455442886</v>
      </c>
      <c r="G33" s="829"/>
      <c r="J33" s="812"/>
      <c r="K33" s="815"/>
      <c r="L33" s="816"/>
    </row>
    <row r="34" spans="1:12">
      <c r="A34" s="823">
        <f>+A33+1</f>
        <v>25</v>
      </c>
      <c r="B34" s="824" t="s">
        <v>1027</v>
      </c>
      <c r="C34" s="830">
        <f>+F57</f>
        <v>19055507.229382258</v>
      </c>
      <c r="D34" s="844">
        <f t="shared" si="0"/>
        <v>0.91952505946146834</v>
      </c>
      <c r="E34" s="845" t="s">
        <v>586</v>
      </c>
      <c r="F34" s="847">
        <f>+C34</f>
        <v>19055507.229382258</v>
      </c>
      <c r="G34" s="829"/>
      <c r="J34" s="812"/>
      <c r="K34" s="809"/>
      <c r="L34" s="817"/>
    </row>
    <row r="35" spans="1:12">
      <c r="A35" s="823">
        <f t="shared" ref="A35:A45" si="1">+A34+1</f>
        <v>26</v>
      </c>
      <c r="B35" s="853" t="s">
        <v>867</v>
      </c>
      <c r="C35" s="935"/>
      <c r="D35" s="935"/>
      <c r="E35" s="845"/>
      <c r="F35" s="935"/>
      <c r="G35" s="935"/>
      <c r="J35" s="812"/>
      <c r="K35" s="801"/>
      <c r="L35" s="812"/>
    </row>
    <row r="36" spans="1:12">
      <c r="A36" s="823">
        <f>+A35+1</f>
        <v>27</v>
      </c>
      <c r="B36" s="854" t="s">
        <v>506</v>
      </c>
      <c r="C36" s="855">
        <f>SUM(C13:C35)</f>
        <v>1250506970.8938575</v>
      </c>
      <c r="D36" s="856">
        <f>SUM(D13:D35)</f>
        <v>60.343316130421982</v>
      </c>
      <c r="E36" s="857"/>
      <c r="F36" s="855">
        <f>SUM(F13:F35)</f>
        <v>538396088.5836786</v>
      </c>
      <c r="G36" s="855">
        <f>SUM(G13:G35)</f>
        <v>712110882.31017888</v>
      </c>
      <c r="J36" s="812"/>
      <c r="K36" s="801"/>
      <c r="L36" s="812"/>
    </row>
    <row r="37" spans="1:12">
      <c r="A37" s="823">
        <f t="shared" si="1"/>
        <v>28</v>
      </c>
      <c r="B37" s="832" t="s">
        <v>507</v>
      </c>
      <c r="C37" s="858">
        <f>+'BGM-3 (3) Param'!M19</f>
        <v>0.95238599999999995</v>
      </c>
      <c r="D37" s="858">
        <f>+C37</f>
        <v>0.95238599999999995</v>
      </c>
      <c r="E37" s="858"/>
      <c r="F37" s="859">
        <f>+D37</f>
        <v>0.95238599999999995</v>
      </c>
      <c r="G37" s="859">
        <f>+F37</f>
        <v>0.95238599999999995</v>
      </c>
      <c r="J37" s="812"/>
      <c r="K37" s="802"/>
      <c r="L37" s="812"/>
    </row>
    <row r="38" spans="1:12">
      <c r="A38" s="823">
        <f t="shared" si="1"/>
        <v>29</v>
      </c>
      <c r="B38" s="832" t="s">
        <v>575</v>
      </c>
      <c r="C38" s="855">
        <f>+C36/C37</f>
        <v>1313025360.4041402</v>
      </c>
      <c r="D38" s="856">
        <f>+D36/C37</f>
        <v>63.360146128168608</v>
      </c>
      <c r="E38" s="857"/>
      <c r="F38" s="855">
        <f>+F36/F37</f>
        <v>565312896.85450923</v>
      </c>
      <c r="G38" s="855">
        <f>+G36/G37</f>
        <v>747712463.549631</v>
      </c>
      <c r="J38" s="812"/>
      <c r="K38" s="801"/>
      <c r="L38" s="812"/>
    </row>
    <row r="39" spans="1:12">
      <c r="A39" s="823">
        <f t="shared" si="1"/>
        <v>30</v>
      </c>
      <c r="B39" s="832" t="s">
        <v>602</v>
      </c>
      <c r="C39" s="848">
        <f>+'[39]Variable Cost Production Factor'!$F$26</f>
        <v>20723206</v>
      </c>
      <c r="D39" s="860" t="s">
        <v>775</v>
      </c>
      <c r="E39" s="860"/>
      <c r="F39" s="829"/>
      <c r="G39" s="829"/>
      <c r="J39" s="812"/>
      <c r="K39" s="801"/>
      <c r="L39" s="812"/>
    </row>
    <row r="40" spans="1:12">
      <c r="A40" s="823">
        <f t="shared" si="1"/>
        <v>31</v>
      </c>
      <c r="B40" s="861"/>
      <c r="C40" s="846">
        <f>+'BGM-3 (5) PF Adj.'!BK47</f>
        <v>19551068.153878618</v>
      </c>
      <c r="D40" s="862" t="s">
        <v>178</v>
      </c>
      <c r="E40" s="862"/>
      <c r="F40" s="862" t="s">
        <v>574</v>
      </c>
      <c r="G40" s="862" t="s">
        <v>873</v>
      </c>
      <c r="J40" s="812"/>
      <c r="K40" s="803"/>
      <c r="L40" s="812"/>
    </row>
    <row r="41" spans="1:12">
      <c r="A41" s="823">
        <f t="shared" si="1"/>
        <v>32</v>
      </c>
      <c r="B41" s="832" t="s">
        <v>601</v>
      </c>
      <c r="C41" s="826"/>
      <c r="D41" s="826"/>
      <c r="E41" s="826"/>
      <c r="F41" s="826"/>
      <c r="G41" s="826"/>
      <c r="J41" s="812"/>
      <c r="K41" s="803"/>
      <c r="L41" s="812"/>
    </row>
    <row r="42" spans="1:12">
      <c r="A42" s="823">
        <f t="shared" si="1"/>
        <v>33</v>
      </c>
      <c r="B42" s="832" t="s">
        <v>600</v>
      </c>
      <c r="C42" s="863"/>
      <c r="D42" s="864">
        <f>+F42+G42</f>
        <v>60.343316130421982</v>
      </c>
      <c r="E42" s="864"/>
      <c r="F42" s="864">
        <f>+F36/$C$39</f>
        <v>25.980347277524462</v>
      </c>
      <c r="G42" s="864">
        <f>+G36/$C$39</f>
        <v>34.362968852897517</v>
      </c>
      <c r="J42" s="812"/>
      <c r="K42" s="801"/>
      <c r="L42" s="812"/>
    </row>
    <row r="43" spans="1:12">
      <c r="A43" s="823">
        <f t="shared" si="1"/>
        <v>34</v>
      </c>
      <c r="B43" s="832" t="s">
        <v>599</v>
      </c>
      <c r="C43" s="826"/>
      <c r="D43" s="864">
        <f>+F43+G43</f>
        <v>63.360146128168594</v>
      </c>
      <c r="E43" s="864"/>
      <c r="F43" s="864">
        <f>+F38/$C$39</f>
        <v>27.27922006153436</v>
      </c>
      <c r="G43" s="864">
        <f>+G38/$C$39</f>
        <v>36.080926066634234</v>
      </c>
      <c r="J43" s="812"/>
      <c r="K43" s="801"/>
      <c r="L43" s="812"/>
    </row>
    <row r="44" spans="1:12">
      <c r="A44" s="823">
        <f t="shared" si="1"/>
        <v>35</v>
      </c>
      <c r="B44" s="832"/>
      <c r="C44" s="826"/>
      <c r="D44" s="826"/>
      <c r="E44" s="826"/>
      <c r="F44" s="826"/>
      <c r="G44" s="826"/>
      <c r="J44" s="812"/>
      <c r="K44" s="804"/>
      <c r="L44" s="812"/>
    </row>
    <row r="45" spans="1:12">
      <c r="A45" s="823">
        <f t="shared" si="1"/>
        <v>36</v>
      </c>
      <c r="B45" s="832" t="s">
        <v>986</v>
      </c>
      <c r="C45" s="826"/>
      <c r="D45" s="826"/>
      <c r="E45" s="826"/>
      <c r="F45" s="826"/>
      <c r="G45" s="826"/>
      <c r="J45" s="812"/>
      <c r="K45" s="805"/>
      <c r="L45" s="812"/>
    </row>
    <row r="46" spans="1:12">
      <c r="J46" s="812"/>
      <c r="K46" s="805"/>
      <c r="L46" s="812"/>
    </row>
    <row r="47" spans="1:12" ht="15.75" thickBot="1">
      <c r="B47" s="466"/>
      <c r="C47" s="465"/>
      <c r="D47" s="459" t="s">
        <v>223</v>
      </c>
      <c r="E47" s="459"/>
      <c r="F47" s="459" t="s">
        <v>1015</v>
      </c>
      <c r="J47" s="812"/>
      <c r="K47" s="818"/>
      <c r="L47" s="816"/>
    </row>
    <row r="48" spans="1:12">
      <c r="B48" s="464" t="s">
        <v>901</v>
      </c>
      <c r="C48" s="463"/>
      <c r="D48" s="462" t="s">
        <v>597</v>
      </c>
      <c r="E48" s="677"/>
      <c r="F48" s="498">
        <f>+'Power Cost Bridge to A-1'!N9</f>
        <v>0.97465299999999999</v>
      </c>
      <c r="J48" s="812"/>
      <c r="K48" s="819"/>
      <c r="L48" s="817"/>
    </row>
    <row r="49" spans="1:12">
      <c r="B49" s="491" t="s">
        <v>50</v>
      </c>
      <c r="C49" s="492">
        <v>407</v>
      </c>
      <c r="D49" s="799">
        <f>+'BGM-3 (5) PF Adj.'!BB23</f>
        <v>6689176.5497812955</v>
      </c>
      <c r="E49" s="678"/>
      <c r="F49" s="493">
        <f t="shared" ref="F49:F56" si="2">+D49*$F$48</f>
        <v>6519625.9917739891</v>
      </c>
      <c r="G49" s="793">
        <f>+'BGM-3 (5) PF Adj.'!BK36</f>
        <v>6689176.5497812955</v>
      </c>
      <c r="J49" s="812"/>
      <c r="K49" s="814"/>
      <c r="L49" s="812"/>
    </row>
    <row r="50" spans="1:12">
      <c r="B50" s="458" t="s">
        <v>455</v>
      </c>
      <c r="C50" s="459">
        <v>407.3</v>
      </c>
      <c r="D50" s="490">
        <f>+'BGM-3 (5) PF Adj.'!AC45</f>
        <v>687420</v>
      </c>
      <c r="E50" s="490"/>
      <c r="F50" s="461">
        <f t="shared" si="2"/>
        <v>669995.96525999997</v>
      </c>
      <c r="G50" s="793">
        <f>+'BGM-3 (5) PF Adj.'!BK37</f>
        <v>-1381851.7170492394</v>
      </c>
      <c r="J50" s="812"/>
      <c r="K50" s="814"/>
      <c r="L50" s="812"/>
    </row>
    <row r="51" spans="1:12">
      <c r="B51" s="458" t="s">
        <v>456</v>
      </c>
      <c r="C51" s="459">
        <v>407.3</v>
      </c>
      <c r="D51" s="490">
        <f>+'BGM-3 (5) PF Adj.'!AC40</f>
        <v>2885052</v>
      </c>
      <c r="E51" s="490"/>
      <c r="F51" s="461">
        <f t="shared" si="2"/>
        <v>2811924.586956</v>
      </c>
      <c r="G51" s="793">
        <f>+'BGM-3 (5) PF Adj.'!BK38</f>
        <v>-400021.52129608387</v>
      </c>
      <c r="J51" s="812"/>
      <c r="K51" s="818"/>
      <c r="L51" s="816"/>
    </row>
    <row r="52" spans="1:12">
      <c r="B52" s="460" t="s">
        <v>457</v>
      </c>
      <c r="C52" s="459">
        <v>407.3</v>
      </c>
      <c r="D52" s="490">
        <f>+'BGM-3 (5) PF Adj.'!AC49</f>
        <v>4520422.508572978</v>
      </c>
      <c r="E52" s="490"/>
      <c r="F52" s="461">
        <f t="shared" si="2"/>
        <v>4405843.359248179</v>
      </c>
      <c r="G52" s="793">
        <f>+'BGM-3 (5) PF Adj.'!BK39</f>
        <v>3786307.8400000003</v>
      </c>
      <c r="J52" s="812"/>
      <c r="K52" s="810"/>
      <c r="L52" s="817"/>
    </row>
    <row r="53" spans="1:12">
      <c r="B53" s="460" t="s">
        <v>508</v>
      </c>
      <c r="C53" s="459">
        <v>407.3</v>
      </c>
      <c r="D53" s="490">
        <f>+'BGM-3 (5) PF Adj.'!AC47</f>
        <v>561126.34087998548</v>
      </c>
      <c r="E53" s="490"/>
      <c r="F53" s="461">
        <f t="shared" si="2"/>
        <v>546903.47151770047</v>
      </c>
      <c r="G53" s="793">
        <f>+'BGM-3 (5) PF Adj.'!BK40</f>
        <v>2885052</v>
      </c>
      <c r="J53" s="812"/>
      <c r="K53" s="798"/>
      <c r="L53" s="812"/>
    </row>
    <row r="54" spans="1:12">
      <c r="B54" s="460" t="s">
        <v>509</v>
      </c>
      <c r="C54" s="459">
        <v>407.3</v>
      </c>
      <c r="D54" s="490">
        <f>+'BGM-3 (5) PF Adj.'!AC48</f>
        <v>2203436.1529896799</v>
      </c>
      <c r="E54" s="490"/>
      <c r="F54" s="461">
        <f t="shared" si="2"/>
        <v>2147585.6568198507</v>
      </c>
      <c r="G54" s="793">
        <f>+'BGM-3 (5) PF Adj.'!BK41</f>
        <v>0</v>
      </c>
      <c r="J54" s="812"/>
      <c r="K54" s="798"/>
      <c r="L54" s="812"/>
    </row>
    <row r="55" spans="1:12">
      <c r="B55" s="460" t="s">
        <v>510</v>
      </c>
      <c r="C55" s="459">
        <v>407.4</v>
      </c>
      <c r="D55" s="490">
        <f>+'BGM-3 (5) PF Adj.'!AC50+'BGM-3 (5) PF Adj.'!AC51</f>
        <v>-1781873.2383453234</v>
      </c>
      <c r="E55" s="490"/>
      <c r="F55" s="461">
        <f t="shared" si="2"/>
        <v>-1736708.0973729845</v>
      </c>
      <c r="G55" s="793">
        <f>+'BGM-3 (5) PF Adj.'!BK42</f>
        <v>4520422.508572978</v>
      </c>
      <c r="J55" s="812"/>
      <c r="K55" s="798"/>
      <c r="L55" s="812"/>
    </row>
    <row r="56" spans="1:12">
      <c r="B56" s="460" t="s">
        <v>511</v>
      </c>
      <c r="C56" s="459">
        <v>407</v>
      </c>
      <c r="D56" s="456">
        <f>+'BGM-3 (5) PF Adj.'!AC52</f>
        <v>3786307.8400000003</v>
      </c>
      <c r="E56" s="679"/>
      <c r="F56" s="455">
        <f t="shared" si="2"/>
        <v>3690336.2951795203</v>
      </c>
      <c r="G56" s="793">
        <f>+'BGM-3 (5) PF Adj.'!BK43</f>
        <v>561126.34087998548</v>
      </c>
      <c r="J56" s="812"/>
      <c r="K56" s="798"/>
      <c r="L56" s="812"/>
    </row>
    <row r="57" spans="1:12" ht="15.75" thickBot="1">
      <c r="B57" s="458" t="s">
        <v>512</v>
      </c>
      <c r="C57" s="457"/>
      <c r="D57" s="456">
        <f>SUM(D49:D56)</f>
        <v>19551068.153878618</v>
      </c>
      <c r="E57" s="679"/>
      <c r="F57" s="455">
        <f>SUM(F49:F56)</f>
        <v>19055507.229382258</v>
      </c>
      <c r="G57" s="795">
        <f>+SUM('BGM-3 (5) PF Adj.'!BK47:BL47)-F57</f>
        <v>0</v>
      </c>
      <c r="H57" s="796" t="s">
        <v>1014</v>
      </c>
      <c r="J57" s="812"/>
      <c r="K57" s="798"/>
      <c r="L57" s="812"/>
    </row>
    <row r="58" spans="1:12" ht="15.75" thickBot="1">
      <c r="B58" s="497"/>
      <c r="C58" s="494" t="s">
        <v>615</v>
      </c>
      <c r="D58" s="495">
        <f>+'BGM-3 (5) PF Adj.'!AC53-D57</f>
        <v>0</v>
      </c>
      <c r="E58" s="495"/>
      <c r="F58" s="496">
        <f>+F57/D57-F48</f>
        <v>0</v>
      </c>
      <c r="J58" s="812"/>
      <c r="K58" s="814"/>
      <c r="L58" s="812"/>
    </row>
    <row r="59" spans="1:12">
      <c r="A59" s="286"/>
      <c r="B59" s="286"/>
      <c r="C59" s="286"/>
      <c r="D59" s="286"/>
      <c r="E59" s="286"/>
      <c r="F59" s="286"/>
      <c r="J59" s="812"/>
      <c r="K59" s="814"/>
      <c r="L59" s="812"/>
    </row>
    <row r="60" spans="1:12">
      <c r="A60" s="286"/>
      <c r="B60" s="286"/>
      <c r="C60" s="286"/>
      <c r="D60" s="286"/>
      <c r="E60" s="286"/>
      <c r="F60" s="286"/>
      <c r="J60" s="812"/>
      <c r="K60" s="814"/>
      <c r="L60" s="812"/>
    </row>
    <row r="61" spans="1:12">
      <c r="B61" s="454"/>
      <c r="C61" s="453"/>
      <c r="D61" s="453"/>
      <c r="E61" s="453"/>
      <c r="F61" s="453"/>
      <c r="K61" s="814"/>
      <c r="L61" s="812"/>
    </row>
    <row r="62" spans="1:12">
      <c r="K62" s="814"/>
      <c r="L62" s="812"/>
    </row>
    <row r="63" spans="1:12">
      <c r="K63" s="814"/>
      <c r="L63" s="812"/>
    </row>
    <row r="64" spans="1:12">
      <c r="K64" s="798"/>
      <c r="L64" s="812"/>
    </row>
    <row r="65" spans="11:12">
      <c r="K65" s="798"/>
      <c r="L65" s="812"/>
    </row>
    <row r="66" spans="11:12">
      <c r="K66" s="806"/>
      <c r="L66" s="812"/>
    </row>
    <row r="67" spans="11:12">
      <c r="K67" s="798"/>
      <c r="L67" s="812"/>
    </row>
    <row r="68" spans="11:12">
      <c r="K68" s="798"/>
      <c r="L68" s="812"/>
    </row>
    <row r="69" spans="11:12">
      <c r="K69" s="798"/>
      <c r="L69" s="812"/>
    </row>
    <row r="70" spans="11:12">
      <c r="K70" s="807"/>
      <c r="L70" s="812"/>
    </row>
    <row r="71" spans="11:12">
      <c r="K71" s="807"/>
      <c r="L71" s="812"/>
    </row>
    <row r="72" spans="11:12">
      <c r="K72" s="807"/>
      <c r="L72" s="812"/>
    </row>
    <row r="73" spans="11:12">
      <c r="K73" s="807"/>
      <c r="L73" s="812"/>
    </row>
    <row r="74" spans="11:12">
      <c r="K74" s="808"/>
      <c r="L74" s="812"/>
    </row>
    <row r="75" spans="11:12">
      <c r="K75" s="808"/>
      <c r="L75" s="812"/>
    </row>
    <row r="76" spans="11:12">
      <c r="K76" s="808"/>
      <c r="L76" s="812"/>
    </row>
    <row r="77" spans="11:12">
      <c r="K77" s="808"/>
      <c r="L77" s="812"/>
    </row>
    <row r="78" spans="11:12">
      <c r="K78" s="807"/>
      <c r="L78" s="812"/>
    </row>
    <row r="79" spans="11:12">
      <c r="K79" s="807"/>
      <c r="L79" s="812"/>
    </row>
    <row r="80" spans="11:12">
      <c r="K80" s="807"/>
    </row>
    <row r="81" spans="11:11">
      <c r="K81" s="798"/>
    </row>
    <row r="82" spans="11:11">
      <c r="K82" s="798"/>
    </row>
    <row r="83" spans="11:11">
      <c r="K83" s="798"/>
    </row>
    <row r="84" spans="11:11">
      <c r="K84" s="798"/>
    </row>
    <row r="85" spans="11:11">
      <c r="K85" s="798"/>
    </row>
    <row r="86" spans="11:11">
      <c r="K86" s="798"/>
    </row>
    <row r="87" spans="11:11">
      <c r="K87" s="798"/>
    </row>
  </sheetData>
  <pageMargins left="0.7" right="0.7" top="0.75" bottom="0.75" header="0.3" footer="0.3"/>
  <pageSetup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1"/>
  <sheetViews>
    <sheetView showGridLines="0" zoomScale="90" zoomScaleNormal="90" workbookViewId="0">
      <pane xSplit="6" ySplit="6" topLeftCell="G7" activePane="bottomRight" state="frozen"/>
      <selection activeCell="AH65" sqref="AH65"/>
      <selection pane="topRight" activeCell="AH65" sqref="AH65"/>
      <selection pane="bottomLeft" activeCell="AH65" sqref="AH65"/>
      <selection pane="bottomRight" activeCell="G7" sqref="G7"/>
    </sheetView>
  </sheetViews>
  <sheetFormatPr defaultColWidth="8.83203125" defaultRowHeight="12.75"/>
  <cols>
    <col min="1" max="1" width="6" style="870" bestFit="1" customWidth="1"/>
    <col min="2" max="2" width="2.33203125" style="870" bestFit="1" customWidth="1"/>
    <col min="3" max="3" width="41" style="870" bestFit="1" customWidth="1"/>
    <col min="4" max="4" width="1.6640625" style="870" customWidth="1"/>
    <col min="5" max="5" width="16.83203125" style="870" bestFit="1" customWidth="1"/>
    <col min="6" max="6" width="6.33203125" style="870" bestFit="1" customWidth="1"/>
    <col min="7" max="7" width="16.83203125" style="870" bestFit="1" customWidth="1"/>
    <col min="8" max="8" width="16.1640625" style="870" bestFit="1" customWidth="1"/>
    <col min="9" max="9" width="17.1640625" style="870" bestFit="1" customWidth="1"/>
    <col min="10" max="11" width="15.33203125" style="870" bestFit="1" customWidth="1"/>
    <col min="12" max="13" width="14.5" style="870" bestFit="1" customWidth="1"/>
    <col min="14" max="14" width="15.6640625" style="870" bestFit="1" customWidth="1"/>
    <col min="15" max="15" width="14" style="870" bestFit="1" customWidth="1"/>
    <col min="16" max="16" width="12.83203125" style="870" bestFit="1" customWidth="1"/>
    <col min="17" max="17" width="3.33203125" style="870" customWidth="1"/>
    <col min="18" max="18" width="15.33203125" style="870" bestFit="1" customWidth="1"/>
    <col min="19" max="20" width="14" style="870" customWidth="1"/>
    <col min="21" max="21" width="6.1640625" style="870" customWidth="1"/>
    <col min="22" max="22" width="2.1640625" style="870" customWidth="1"/>
    <col min="23" max="23" width="15.33203125" style="870" bestFit="1" customWidth="1"/>
    <col min="24" max="16384" width="8.83203125" style="870"/>
  </cols>
  <sheetData>
    <row r="1" spans="1:23" s="865" customFormat="1">
      <c r="A1" s="1094" t="s">
        <v>242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4"/>
      <c r="L1" s="1094"/>
      <c r="M1" s="1094"/>
      <c r="N1" s="1094"/>
      <c r="O1" s="1094"/>
      <c r="P1" s="1094"/>
    </row>
    <row r="2" spans="1:23" s="865" customFormat="1">
      <c r="A2" s="1094" t="s">
        <v>1028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P2" s="1094"/>
    </row>
    <row r="3" spans="1:23" s="865" customFormat="1">
      <c r="A3" s="1094" t="s">
        <v>1029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</row>
    <row r="6" spans="1:23" s="868" customFormat="1" ht="42" customHeight="1">
      <c r="A6" s="866" t="s">
        <v>810</v>
      </c>
      <c r="B6" s="866"/>
      <c r="C6" s="866" t="s">
        <v>375</v>
      </c>
      <c r="D6" s="866"/>
      <c r="E6" s="866" t="s">
        <v>1030</v>
      </c>
      <c r="F6" s="866"/>
      <c r="G6" s="866" t="s">
        <v>1031</v>
      </c>
      <c r="H6" s="866" t="s">
        <v>1032</v>
      </c>
      <c r="I6" s="866" t="s">
        <v>1033</v>
      </c>
      <c r="J6" s="866" t="s">
        <v>1034</v>
      </c>
      <c r="K6" s="866" t="s">
        <v>1035</v>
      </c>
      <c r="L6" s="866" t="s">
        <v>1036</v>
      </c>
      <c r="M6" s="866" t="s">
        <v>1037</v>
      </c>
      <c r="N6" s="866" t="s">
        <v>1038</v>
      </c>
      <c r="O6" s="866" t="s">
        <v>1039</v>
      </c>
      <c r="P6" s="867" t="s">
        <v>811</v>
      </c>
      <c r="R6" s="866" t="s">
        <v>1040</v>
      </c>
      <c r="S6" s="866" t="s">
        <v>1041</v>
      </c>
      <c r="T6" s="866" t="s">
        <v>1042</v>
      </c>
      <c r="U6" s="866" t="s">
        <v>1043</v>
      </c>
      <c r="W6" s="869" t="s">
        <v>1044</v>
      </c>
    </row>
    <row r="7" spans="1:23" s="868" customFormat="1">
      <c r="C7" s="868" t="s">
        <v>1045</v>
      </c>
      <c r="E7" s="868" t="s">
        <v>1046</v>
      </c>
      <c r="G7" s="868" t="s">
        <v>1047</v>
      </c>
      <c r="H7" s="868" t="s">
        <v>1048</v>
      </c>
      <c r="I7" s="868" t="s">
        <v>1049</v>
      </c>
      <c r="J7" s="868" t="s">
        <v>1050</v>
      </c>
      <c r="K7" s="868" t="s">
        <v>1051</v>
      </c>
      <c r="L7" s="868" t="s">
        <v>1052</v>
      </c>
      <c r="M7" s="868" t="s">
        <v>1053</v>
      </c>
      <c r="N7" s="868" t="s">
        <v>1054</v>
      </c>
      <c r="O7" s="868" t="s">
        <v>1055</v>
      </c>
      <c r="P7" s="868" t="s">
        <v>1056</v>
      </c>
    </row>
    <row r="9" spans="1:23">
      <c r="A9" s="870">
        <v>1</v>
      </c>
      <c r="C9" s="865" t="s">
        <v>265</v>
      </c>
    </row>
    <row r="10" spans="1:23">
      <c r="A10" s="870">
        <f>+A9+1</f>
        <v>2</v>
      </c>
      <c r="C10" s="870" t="s">
        <v>1057</v>
      </c>
      <c r="E10" s="871">
        <f>SUM(G10:P10)</f>
        <v>9523077020.3544521</v>
      </c>
      <c r="F10" s="871"/>
      <c r="G10" s="871">
        <v>5485102021.7180748</v>
      </c>
      <c r="H10" s="871">
        <v>1193149235.1698897</v>
      </c>
      <c r="I10" s="871">
        <v>1099715628.0808852</v>
      </c>
      <c r="J10" s="871">
        <v>629824031.02399349</v>
      </c>
      <c r="K10" s="871">
        <v>491802285.14425981</v>
      </c>
      <c r="L10" s="871">
        <v>238576203.71430185</v>
      </c>
      <c r="M10" s="871">
        <v>166341625.37958828</v>
      </c>
      <c r="N10" s="871">
        <v>112036258.59686865</v>
      </c>
      <c r="O10" s="871">
        <v>103303150.15132768</v>
      </c>
      <c r="P10" s="871">
        <v>3226581.3752627322</v>
      </c>
      <c r="R10" s="871">
        <v>433452055.53208947</v>
      </c>
      <c r="S10" s="871">
        <v>2177741.5448368117</v>
      </c>
      <c r="T10" s="871">
        <v>56172488.067333527</v>
      </c>
      <c r="U10" s="872">
        <f>SUM(R10:T10)-K10</f>
        <v>0</v>
      </c>
      <c r="W10" s="872">
        <f>+R10+S10</f>
        <v>435629797.07692629</v>
      </c>
    </row>
    <row r="11" spans="1:23">
      <c r="A11" s="870">
        <f t="shared" ref="A11:A58" si="0">+A10+1</f>
        <v>3</v>
      </c>
      <c r="C11" s="870" t="s">
        <v>1058</v>
      </c>
      <c r="E11" s="871">
        <f>SUM(G11:P11)</f>
        <v>-3697506273.3020797</v>
      </c>
      <c r="F11" s="871"/>
      <c r="G11" s="871">
        <v>-2150239461.7688298</v>
      </c>
      <c r="H11" s="871">
        <v>-458745112.30684805</v>
      </c>
      <c r="I11" s="871">
        <v>-421791941.85275</v>
      </c>
      <c r="J11" s="871">
        <v>-242377332.26987153</v>
      </c>
      <c r="K11" s="871">
        <v>-187688201.84427068</v>
      </c>
      <c r="L11" s="871">
        <v>-95756891.862078503</v>
      </c>
      <c r="M11" s="871">
        <v>-62546591.001273297</v>
      </c>
      <c r="N11" s="871">
        <v>-37142243.407436922</v>
      </c>
      <c r="O11" s="871">
        <v>-39989889.132016793</v>
      </c>
      <c r="P11" s="871">
        <v>-1228607.8567040951</v>
      </c>
      <c r="R11" s="871">
        <v>-165693651.61758912</v>
      </c>
      <c r="S11" s="871">
        <v>-826227.44166301622</v>
      </c>
      <c r="T11" s="871">
        <v>-21168322.78501853</v>
      </c>
      <c r="U11" s="872">
        <f>SUM(R11:T11)-K11</f>
        <v>0</v>
      </c>
      <c r="W11" s="872">
        <f>+R11+S11</f>
        <v>-166519879.05925214</v>
      </c>
    </row>
    <row r="12" spans="1:23">
      <c r="A12" s="870">
        <f t="shared" si="0"/>
        <v>4</v>
      </c>
      <c r="C12" s="870" t="s">
        <v>1059</v>
      </c>
      <c r="E12" s="871">
        <f>SUM(G12:P12)</f>
        <v>-727608314.33511972</v>
      </c>
      <c r="F12" s="871"/>
      <c r="G12" s="871">
        <v>-421537593.17726773</v>
      </c>
      <c r="H12" s="871">
        <v>-113312995.99319904</v>
      </c>
      <c r="I12" s="871">
        <v>-74925729.159569412</v>
      </c>
      <c r="J12" s="871">
        <v>-39751145.978026435</v>
      </c>
      <c r="K12" s="871">
        <v>-32117740.96402546</v>
      </c>
      <c r="L12" s="871">
        <v>-15577053.525251105</v>
      </c>
      <c r="M12" s="871">
        <v>-9580852.7832394931</v>
      </c>
      <c r="N12" s="871">
        <v>-11790699.933250098</v>
      </c>
      <c r="O12" s="871">
        <v>-8790997.6959386319</v>
      </c>
      <c r="P12" s="871">
        <v>-223505.12535232533</v>
      </c>
      <c r="R12" s="871">
        <v>-27642847.47118549</v>
      </c>
      <c r="S12" s="871">
        <v>-168959.9843566833</v>
      </c>
      <c r="T12" s="871">
        <v>-4305933.5084832879</v>
      </c>
      <c r="U12" s="872">
        <f>SUM(R12:T12)-K12</f>
        <v>0</v>
      </c>
      <c r="W12" s="872">
        <f>+R12+S12</f>
        <v>-27811807.455542173</v>
      </c>
    </row>
    <row r="13" spans="1:23" ht="13.5" thickBot="1">
      <c r="A13" s="873">
        <f t="shared" si="0"/>
        <v>5</v>
      </c>
      <c r="B13" s="873"/>
      <c r="C13" s="873" t="s">
        <v>347</v>
      </c>
      <c r="D13" s="873"/>
      <c r="E13" s="874">
        <f>SUM(E10:E12)</f>
        <v>5097962432.7172527</v>
      </c>
      <c r="F13" s="874"/>
      <c r="G13" s="874">
        <f t="shared" ref="G13:P13" si="1">SUM(G10:G12)</f>
        <v>2913324966.7719774</v>
      </c>
      <c r="H13" s="874">
        <f t="shared" si="1"/>
        <v>621091126.86984265</v>
      </c>
      <c r="I13" s="874">
        <f t="shared" si="1"/>
        <v>602997957.06856573</v>
      </c>
      <c r="J13" s="874">
        <f t="shared" si="1"/>
        <v>347695552.77609551</v>
      </c>
      <c r="K13" s="874">
        <f t="shared" si="1"/>
        <v>271996342.33596367</v>
      </c>
      <c r="L13" s="874">
        <f t="shared" si="1"/>
        <v>127242258.32697223</v>
      </c>
      <c r="M13" s="874">
        <f t="shared" si="1"/>
        <v>94214181.595075473</v>
      </c>
      <c r="N13" s="874">
        <f t="shared" si="1"/>
        <v>63103315.256181628</v>
      </c>
      <c r="O13" s="874">
        <f t="shared" si="1"/>
        <v>54522263.32337226</v>
      </c>
      <c r="P13" s="874">
        <f t="shared" si="1"/>
        <v>1774468.3932063116</v>
      </c>
      <c r="R13" s="874">
        <f>SUM(R10:R12)</f>
        <v>240115556.44331485</v>
      </c>
      <c r="S13" s="874">
        <f>SUM(S10:S12)</f>
        <v>1182554.1188171124</v>
      </c>
      <c r="T13" s="874">
        <f>SUM(T10:T12)</f>
        <v>30698231.773831714</v>
      </c>
      <c r="U13" s="874">
        <f>SUM(U10:U12)</f>
        <v>0</v>
      </c>
      <c r="W13" s="874">
        <f>SUM(W10:W12)</f>
        <v>241298110.56213197</v>
      </c>
    </row>
    <row r="14" spans="1:23" ht="13.5" thickTop="1">
      <c r="A14" s="870">
        <f t="shared" si="0"/>
        <v>6</v>
      </c>
      <c r="E14" s="871"/>
      <c r="F14" s="871"/>
      <c r="G14" s="871"/>
      <c r="H14" s="871"/>
      <c r="I14" s="871"/>
      <c r="J14" s="871"/>
      <c r="K14" s="871"/>
      <c r="L14" s="871"/>
      <c r="M14" s="871"/>
      <c r="N14" s="871"/>
      <c r="O14" s="871"/>
      <c r="P14" s="871"/>
      <c r="R14" s="871"/>
      <c r="S14" s="871"/>
      <c r="T14" s="871"/>
      <c r="U14" s="871"/>
      <c r="W14" s="871"/>
    </row>
    <row r="15" spans="1:23">
      <c r="A15" s="870">
        <f t="shared" si="0"/>
        <v>7</v>
      </c>
      <c r="C15" s="865" t="s">
        <v>1060</v>
      </c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R15" s="871"/>
      <c r="S15" s="871"/>
      <c r="T15" s="871"/>
      <c r="U15" s="871"/>
      <c r="W15" s="871"/>
    </row>
    <row r="16" spans="1:23">
      <c r="A16" s="870">
        <f t="shared" si="0"/>
        <v>8</v>
      </c>
      <c r="C16" s="870" t="s">
        <v>1061</v>
      </c>
      <c r="E16" s="871">
        <f>SUM(G16:P16)</f>
        <v>1963503474.2598827</v>
      </c>
      <c r="F16" s="871"/>
      <c r="G16" s="871">
        <v>1066627453.9781519</v>
      </c>
      <c r="H16" s="871">
        <v>266944270.99453214</v>
      </c>
      <c r="I16" s="871">
        <v>252922819.99481931</v>
      </c>
      <c r="J16" s="871">
        <v>151834734.99688995</v>
      </c>
      <c r="K16" s="871">
        <v>111980714.99770626</v>
      </c>
      <c r="L16" s="871">
        <v>47836622.128961235</v>
      </c>
      <c r="M16" s="871">
        <v>40360091.999173291</v>
      </c>
      <c r="N16" s="871">
        <v>7513279.0699999928</v>
      </c>
      <c r="O16" s="871">
        <v>17167096.999648362</v>
      </c>
      <c r="P16" s="871">
        <v>316389.10000000003</v>
      </c>
      <c r="R16" s="871">
        <v>101394674.99792311</v>
      </c>
      <c r="S16" s="871">
        <v>248213.99999491576</v>
      </c>
      <c r="T16" s="871">
        <v>10337825.999788247</v>
      </c>
      <c r="U16" s="872">
        <f>SUM(R16:T16)-K16</f>
        <v>0</v>
      </c>
      <c r="W16" s="872">
        <f>+R16+S16</f>
        <v>101642888.99791802</v>
      </c>
    </row>
    <row r="17" spans="1:23">
      <c r="A17" s="870">
        <f t="shared" si="0"/>
        <v>9</v>
      </c>
      <c r="C17" s="870" t="s">
        <v>1062</v>
      </c>
      <c r="E17" s="871">
        <f>SUM(G17:P17)</f>
        <v>28431646.31933948</v>
      </c>
      <c r="F17" s="871"/>
      <c r="G17" s="871">
        <v>15190536.025972806</v>
      </c>
      <c r="H17" s="871">
        <v>3723995.0355565865</v>
      </c>
      <c r="I17" s="871">
        <v>3749401.8699579462</v>
      </c>
      <c r="J17" s="871">
        <v>2398862.5174212176</v>
      </c>
      <c r="K17" s="871">
        <v>1704842.1709251939</v>
      </c>
      <c r="L17" s="871">
        <v>825578.43923786469</v>
      </c>
      <c r="M17" s="871">
        <v>726003.75123401068</v>
      </c>
      <c r="N17" s="871">
        <v>0</v>
      </c>
      <c r="O17" s="871">
        <v>102759.03973458102</v>
      </c>
      <c r="P17" s="871">
        <v>9667.4692992811761</v>
      </c>
      <c r="R17" s="871">
        <v>1580999.0539625762</v>
      </c>
      <c r="S17" s="871">
        <v>4398.3788170579019</v>
      </c>
      <c r="T17" s="871">
        <v>119444.73814555988</v>
      </c>
      <c r="U17" s="872">
        <f>SUM(R17:T17)-K17</f>
        <v>0</v>
      </c>
      <c r="W17" s="872">
        <f>+R17+S17</f>
        <v>1585397.4327796341</v>
      </c>
    </row>
    <row r="18" spans="1:23">
      <c r="A18" s="870">
        <f t="shared" si="0"/>
        <v>10</v>
      </c>
      <c r="C18" s="870" t="s">
        <v>1063</v>
      </c>
      <c r="E18" s="871">
        <f>SUM(G18:P18)</f>
        <v>72413912.629883036</v>
      </c>
      <c r="F18" s="871"/>
      <c r="G18" s="871">
        <v>40045935.287944317</v>
      </c>
      <c r="H18" s="871">
        <v>11842934.229980657</v>
      </c>
      <c r="I18" s="871">
        <v>6750706.4474722017</v>
      </c>
      <c r="J18" s="871">
        <v>3837351.370847329</v>
      </c>
      <c r="K18" s="871">
        <v>3654370.6829840513</v>
      </c>
      <c r="L18" s="871">
        <v>1247801.533352368</v>
      </c>
      <c r="M18" s="871">
        <v>3844778.5370539324</v>
      </c>
      <c r="N18" s="871">
        <v>878719.9249349609</v>
      </c>
      <c r="O18" s="871">
        <v>285578.12052460207</v>
      </c>
      <c r="P18" s="871">
        <v>25736.494788621054</v>
      </c>
      <c r="R18" s="871">
        <v>3321807.9518691567</v>
      </c>
      <c r="S18" s="871">
        <v>16308.324843065382</v>
      </c>
      <c r="T18" s="871">
        <v>316254.40627182944</v>
      </c>
      <c r="U18" s="872">
        <f>SUM(R18:T18)-K18</f>
        <v>0</v>
      </c>
      <c r="W18" s="872">
        <f>+R18+S18</f>
        <v>3338116.276712222</v>
      </c>
    </row>
    <row r="19" spans="1:23" ht="13.5" thickBot="1">
      <c r="A19" s="873">
        <f t="shared" si="0"/>
        <v>11</v>
      </c>
      <c r="B19" s="873"/>
      <c r="C19" s="873" t="s">
        <v>1064</v>
      </c>
      <c r="D19" s="873"/>
      <c r="E19" s="874">
        <f>SUM(E16:E18)</f>
        <v>2064349033.2091053</v>
      </c>
      <c r="F19" s="874"/>
      <c r="G19" s="874">
        <f t="shared" ref="G19:P19" si="2">SUM(G16:G18)</f>
        <v>1121863925.292069</v>
      </c>
      <c r="H19" s="874">
        <f t="shared" si="2"/>
        <v>282511200.26006937</v>
      </c>
      <c r="I19" s="874">
        <f t="shared" si="2"/>
        <v>263422928.31224948</v>
      </c>
      <c r="J19" s="874">
        <f t="shared" si="2"/>
        <v>158070948.88515848</v>
      </c>
      <c r="K19" s="874">
        <f t="shared" si="2"/>
        <v>117339927.85161552</v>
      </c>
      <c r="L19" s="874">
        <f t="shared" si="2"/>
        <v>49910002.101551466</v>
      </c>
      <c r="M19" s="874">
        <f t="shared" si="2"/>
        <v>44930874.287461236</v>
      </c>
      <c r="N19" s="874">
        <f t="shared" si="2"/>
        <v>8391998.9949349537</v>
      </c>
      <c r="O19" s="874">
        <f t="shared" si="2"/>
        <v>17555434.159907546</v>
      </c>
      <c r="P19" s="874">
        <f t="shared" si="2"/>
        <v>351793.06408790225</v>
      </c>
      <c r="R19" s="874">
        <f>SUM(R16:R18)</f>
        <v>106297482.00375484</v>
      </c>
      <c r="S19" s="874">
        <f>SUM(S16:S18)</f>
        <v>268920.70365503908</v>
      </c>
      <c r="T19" s="874">
        <f>SUM(T16:T18)</f>
        <v>10773525.144205637</v>
      </c>
      <c r="U19" s="874">
        <f>SUM(U16:U18)</f>
        <v>0</v>
      </c>
      <c r="W19" s="874">
        <f>SUM(W16:W18)</f>
        <v>106566402.70740989</v>
      </c>
    </row>
    <row r="20" spans="1:23" ht="13.5" thickTop="1">
      <c r="A20" s="870">
        <f t="shared" si="0"/>
        <v>12</v>
      </c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R20" s="871"/>
      <c r="S20" s="871"/>
      <c r="T20" s="871"/>
      <c r="U20" s="871"/>
      <c r="W20" s="871"/>
    </row>
    <row r="21" spans="1:23">
      <c r="A21" s="870">
        <f t="shared" si="0"/>
        <v>13</v>
      </c>
      <c r="C21" s="865" t="s">
        <v>1065</v>
      </c>
      <c r="E21" s="871"/>
      <c r="F21" s="871"/>
      <c r="G21" s="871"/>
      <c r="H21" s="871"/>
      <c r="I21" s="871"/>
      <c r="J21" s="871"/>
      <c r="K21" s="871"/>
      <c r="L21" s="871"/>
      <c r="M21" s="871"/>
      <c r="N21" s="871"/>
      <c r="O21" s="871"/>
      <c r="P21" s="871"/>
      <c r="R21" s="871"/>
      <c r="S21" s="871"/>
      <c r="T21" s="871"/>
      <c r="U21" s="871"/>
      <c r="W21" s="871"/>
    </row>
    <row r="22" spans="1:23">
      <c r="A22" s="870">
        <f t="shared" si="0"/>
        <v>14</v>
      </c>
      <c r="C22" s="870" t="s">
        <v>1066</v>
      </c>
      <c r="E22" s="871">
        <f>SUM(G22:P22)</f>
        <v>1173152356.8006525</v>
      </c>
      <c r="F22" s="871"/>
      <c r="G22" s="871">
        <v>660615353.72867417</v>
      </c>
      <c r="H22" s="871">
        <v>151142480.35932609</v>
      </c>
      <c r="I22" s="871">
        <v>141553237.11283854</v>
      </c>
      <c r="J22" s="871">
        <v>87871028.238303736</v>
      </c>
      <c r="K22" s="871">
        <v>64706535.322549559</v>
      </c>
      <c r="L22" s="871">
        <v>30103956.412646804</v>
      </c>
      <c r="M22" s="871">
        <v>25575883.403715946</v>
      </c>
      <c r="N22" s="871">
        <v>2661257.9518310297</v>
      </c>
      <c r="O22" s="871">
        <v>8520748.105021935</v>
      </c>
      <c r="P22" s="871">
        <v>401876.16574476974</v>
      </c>
      <c r="R22" s="871">
        <v>59089912.902075648</v>
      </c>
      <c r="S22" s="871">
        <v>215355.88445301831</v>
      </c>
      <c r="T22" s="871">
        <v>5401266.536020888</v>
      </c>
      <c r="U22" s="872">
        <f>SUM(R22:T22)-K22</f>
        <v>0</v>
      </c>
      <c r="W22" s="872">
        <f>+R22+S22</f>
        <v>59305268.786528669</v>
      </c>
    </row>
    <row r="23" spans="1:23">
      <c r="A23" s="870">
        <f t="shared" si="0"/>
        <v>15</v>
      </c>
      <c r="C23" s="870" t="s">
        <v>1067</v>
      </c>
      <c r="E23" s="871">
        <f>SUM(G23:P23)</f>
        <v>413783579.47458893</v>
      </c>
      <c r="F23" s="871"/>
      <c r="G23" s="871">
        <v>239697662.60488823</v>
      </c>
      <c r="H23" s="871">
        <v>51969701.678236432</v>
      </c>
      <c r="I23" s="871">
        <v>47643407.207451634</v>
      </c>
      <c r="J23" s="871">
        <v>27369691.083581772</v>
      </c>
      <c r="K23" s="871">
        <v>21308098.10844193</v>
      </c>
      <c r="L23" s="871">
        <v>10338464.95418831</v>
      </c>
      <c r="M23" s="871">
        <v>7263002.0153667592</v>
      </c>
      <c r="N23" s="871">
        <v>3596145.0142465536</v>
      </c>
      <c r="O23" s="871">
        <v>4458183.0248321053</v>
      </c>
      <c r="P23" s="871">
        <v>139223.78335520191</v>
      </c>
      <c r="R23" s="871">
        <v>18808140.336551096</v>
      </c>
      <c r="S23" s="871">
        <v>93198.569812495683</v>
      </c>
      <c r="T23" s="871">
        <v>2406759.2020783392</v>
      </c>
      <c r="U23" s="872">
        <f>SUM(R23:T23)-K23</f>
        <v>0</v>
      </c>
      <c r="W23" s="872">
        <f>+R23+S23</f>
        <v>18901338.906363592</v>
      </c>
    </row>
    <row r="24" spans="1:23">
      <c r="A24" s="870">
        <f t="shared" si="0"/>
        <v>16</v>
      </c>
      <c r="C24" s="870" t="s">
        <v>1068</v>
      </c>
      <c r="E24" s="871">
        <f>SUM(G24:P24)</f>
        <v>86578587.631624401</v>
      </c>
      <c r="F24" s="871"/>
      <c r="G24" s="871">
        <v>49456307.339835785</v>
      </c>
      <c r="H24" s="871">
        <v>10954226.980809022</v>
      </c>
      <c r="I24" s="871">
        <v>10194232.944018891</v>
      </c>
      <c r="J24" s="871">
        <v>6126301.1176095828</v>
      </c>
      <c r="K24" s="871">
        <v>4623183.9990855884</v>
      </c>
      <c r="L24" s="871">
        <v>2178535.5738226804</v>
      </c>
      <c r="M24" s="871">
        <v>1724302.7550872003</v>
      </c>
      <c r="N24" s="871">
        <v>521051.05381380371</v>
      </c>
      <c r="O24" s="871">
        <v>771187.21857278212</v>
      </c>
      <c r="P24" s="871">
        <v>29258.64896907625</v>
      </c>
      <c r="R24" s="871">
        <v>4159114.6422085781</v>
      </c>
      <c r="S24" s="871">
        <v>17497.111483878463</v>
      </c>
      <c r="T24" s="871">
        <v>446572.24539313186</v>
      </c>
      <c r="U24" s="872">
        <f>SUM(R24:T24)-K24</f>
        <v>0</v>
      </c>
      <c r="W24" s="872">
        <f>+R24+S24</f>
        <v>4176611.7536924565</v>
      </c>
    </row>
    <row r="25" spans="1:23">
      <c r="A25" s="870">
        <f t="shared" si="0"/>
        <v>17</v>
      </c>
      <c r="C25" s="870" t="s">
        <v>378</v>
      </c>
      <c r="E25" s="871">
        <f>SUM(G25:P25)</f>
        <v>88529187.810786188</v>
      </c>
      <c r="F25" s="871"/>
      <c r="G25" s="871">
        <v>50591642.551539667</v>
      </c>
      <c r="H25" s="871">
        <v>10785621.46033035</v>
      </c>
      <c r="I25" s="871">
        <v>10471422.670407936</v>
      </c>
      <c r="J25" s="871">
        <v>6037942.6680638483</v>
      </c>
      <c r="K25" s="871">
        <v>4723380.2901275596</v>
      </c>
      <c r="L25" s="871">
        <v>2209638.4454706446</v>
      </c>
      <c r="M25" s="871">
        <v>1636086.0023882699</v>
      </c>
      <c r="N25" s="871">
        <v>1095827.0723898043</v>
      </c>
      <c r="O25" s="871">
        <v>946811.93777476216</v>
      </c>
      <c r="P25" s="871">
        <v>30814.712293345445</v>
      </c>
      <c r="R25" s="871">
        <v>4169751.243406354</v>
      </c>
      <c r="S25" s="871">
        <v>20535.764447636004</v>
      </c>
      <c r="T25" s="871">
        <v>533093.28227356938</v>
      </c>
      <c r="U25" s="872">
        <f>SUM(R25:T25)-K25</f>
        <v>0</v>
      </c>
      <c r="W25" s="872">
        <f>+R25+S25</f>
        <v>4190287.00785399</v>
      </c>
    </row>
    <row r="26" spans="1:23" ht="13.5" thickBot="1">
      <c r="A26" s="873">
        <f t="shared" si="0"/>
        <v>18</v>
      </c>
      <c r="B26" s="873"/>
      <c r="C26" s="873" t="s">
        <v>1069</v>
      </c>
      <c r="D26" s="873"/>
      <c r="E26" s="874">
        <f>SUM(E22:E25)</f>
        <v>1762043711.7176521</v>
      </c>
      <c r="F26" s="874"/>
      <c r="G26" s="874">
        <f t="shared" ref="G26:P26" si="3">SUM(G22:G25)</f>
        <v>1000360966.2249378</v>
      </c>
      <c r="H26" s="874">
        <f t="shared" si="3"/>
        <v>224852030.47870189</v>
      </c>
      <c r="I26" s="874">
        <f t="shared" si="3"/>
        <v>209862299.934717</v>
      </c>
      <c r="J26" s="874">
        <f t="shared" si="3"/>
        <v>127404963.10755894</v>
      </c>
      <c r="K26" s="874">
        <f t="shared" si="3"/>
        <v>95361197.720204636</v>
      </c>
      <c r="L26" s="874">
        <f t="shared" si="3"/>
        <v>44830595.38612844</v>
      </c>
      <c r="M26" s="874">
        <f t="shared" si="3"/>
        <v>36199274.176558174</v>
      </c>
      <c r="N26" s="874">
        <f t="shared" si="3"/>
        <v>7874281.0922811907</v>
      </c>
      <c r="O26" s="874">
        <f t="shared" si="3"/>
        <v>14696930.286201585</v>
      </c>
      <c r="P26" s="874">
        <f t="shared" si="3"/>
        <v>601173.31036239339</v>
      </c>
      <c r="R26" s="874">
        <f>SUM(R22:R25)</f>
        <v>86226919.12424168</v>
      </c>
      <c r="S26" s="874">
        <f>SUM(S22:S25)</f>
        <v>346587.33019702847</v>
      </c>
      <c r="T26" s="874">
        <f>SUM(T22:T25)</f>
        <v>8787691.2657659277</v>
      </c>
      <c r="U26" s="874">
        <f>SUM(U22:U25)</f>
        <v>0</v>
      </c>
      <c r="W26" s="874">
        <f>SUM(W22:W25)</f>
        <v>86573506.454438701</v>
      </c>
    </row>
    <row r="27" spans="1:23" ht="13.5" thickTop="1">
      <c r="A27" s="870">
        <f t="shared" si="0"/>
        <v>19</v>
      </c>
      <c r="E27" s="871"/>
      <c r="F27" s="871"/>
      <c r="G27" s="871"/>
      <c r="H27" s="871"/>
      <c r="I27" s="871"/>
      <c r="J27" s="871"/>
      <c r="K27" s="871"/>
      <c r="L27" s="871"/>
      <c r="M27" s="871"/>
      <c r="N27" s="871"/>
      <c r="O27" s="871"/>
      <c r="P27" s="871"/>
      <c r="R27" s="871"/>
      <c r="S27" s="871"/>
      <c r="T27" s="871"/>
      <c r="U27" s="871"/>
    </row>
    <row r="28" spans="1:23">
      <c r="A28" s="870">
        <f t="shared" si="0"/>
        <v>20</v>
      </c>
      <c r="C28" s="870" t="s">
        <v>1070</v>
      </c>
      <c r="E28" s="871">
        <f>SUM(G28:P28)</f>
        <v>302305321.49145293</v>
      </c>
      <c r="F28" s="871"/>
      <c r="G28" s="871">
        <f t="shared" ref="G28:P28" si="4">G19-G26</f>
        <v>121502959.06713116</v>
      </c>
      <c r="H28" s="871">
        <f t="shared" si="4"/>
        <v>57659169.781367481</v>
      </c>
      <c r="I28" s="871">
        <f t="shared" si="4"/>
        <v>53560628.377532482</v>
      </c>
      <c r="J28" s="871">
        <f t="shared" si="4"/>
        <v>30665985.777599543</v>
      </c>
      <c r="K28" s="871">
        <f t="shared" si="4"/>
        <v>21978730.131410882</v>
      </c>
      <c r="L28" s="871">
        <f>L19-L26</f>
        <v>5079406.7154230252</v>
      </c>
      <c r="M28" s="871">
        <f t="shared" si="4"/>
        <v>8731600.1109030619</v>
      </c>
      <c r="N28" s="871">
        <f t="shared" si="4"/>
        <v>517717.90265376307</v>
      </c>
      <c r="O28" s="871">
        <f>O19-O26</f>
        <v>2858503.8737059608</v>
      </c>
      <c r="P28" s="871">
        <f t="shared" si="4"/>
        <v>-249380.24627449113</v>
      </c>
      <c r="R28" s="871">
        <f>R19-R26</f>
        <v>20070562.879513159</v>
      </c>
      <c r="S28" s="871">
        <f>S19-S26</f>
        <v>-77666.62654198939</v>
      </c>
      <c r="T28" s="871">
        <f>T19-T26</f>
        <v>1985833.8784397095</v>
      </c>
      <c r="U28" s="872">
        <f>SUM(R28:T28)-K28</f>
        <v>0</v>
      </c>
      <c r="W28" s="871">
        <f>W19-W26</f>
        <v>19992896.252971187</v>
      </c>
    </row>
    <row r="29" spans="1:23" s="865" customFormat="1" ht="13.5" thickBot="1">
      <c r="A29" s="873">
        <f t="shared" si="0"/>
        <v>21</v>
      </c>
      <c r="B29" s="873"/>
      <c r="C29" s="873" t="s">
        <v>1071</v>
      </c>
      <c r="D29" s="873"/>
      <c r="E29" s="875">
        <f>IF(E13=0, 0, E28/E13)</f>
        <v>5.9299244645536139E-2</v>
      </c>
      <c r="F29" s="875"/>
      <c r="G29" s="875">
        <f t="shared" ref="G29:P29" si="5">IF(G13=0, 0, G28/G13)</f>
        <v>4.1705940961937686E-2</v>
      </c>
      <c r="H29" s="875">
        <f t="shared" si="5"/>
        <v>9.2835281791830648E-2</v>
      </c>
      <c r="I29" s="875">
        <f t="shared" si="5"/>
        <v>8.8823896913206635E-2</v>
      </c>
      <c r="J29" s="875">
        <f t="shared" si="5"/>
        <v>8.8197808492958857E-2</v>
      </c>
      <c r="K29" s="875">
        <f t="shared" si="5"/>
        <v>8.0805241506752529E-2</v>
      </c>
      <c r="L29" s="875">
        <f t="shared" si="5"/>
        <v>3.9919180798965087E-2</v>
      </c>
      <c r="M29" s="875">
        <f t="shared" si="5"/>
        <v>9.2678193060475075E-2</v>
      </c>
      <c r="N29" s="875">
        <f>IF(N13=0, 0, N28/N13)</f>
        <v>8.2042900686275302E-3</v>
      </c>
      <c r="O29" s="875">
        <f t="shared" si="5"/>
        <v>5.2428195373184286E-2</v>
      </c>
      <c r="P29" s="875">
        <f t="shared" si="5"/>
        <v>-0.14053800407449496</v>
      </c>
      <c r="R29" s="875">
        <f>IF(R13=0, 0, R28/R13)</f>
        <v>8.3587099381673372E-2</v>
      </c>
      <c r="S29" s="875">
        <f>IF(S13=0, 0, S28/S13)</f>
        <v>-6.5677016642314789E-2</v>
      </c>
      <c r="T29" s="875">
        <f>IF(T13=0, 0, T28/T13)</f>
        <v>6.4688868501296098E-2</v>
      </c>
      <c r="U29" s="870"/>
      <c r="W29" s="875">
        <f>IF(W13=0, 0, W28/W13)</f>
        <v>8.2855585592425132E-2</v>
      </c>
    </row>
    <row r="30" spans="1:23" ht="13.5" thickTop="1">
      <c r="A30" s="870">
        <f t="shared" si="0"/>
        <v>22</v>
      </c>
    </row>
    <row r="31" spans="1:23">
      <c r="A31" s="870">
        <f t="shared" si="0"/>
        <v>23</v>
      </c>
      <c r="C31" s="1095" t="s">
        <v>1072</v>
      </c>
      <c r="D31" s="1095"/>
      <c r="E31" s="1095"/>
      <c r="F31" s="1095"/>
      <c r="G31" s="1095"/>
      <c r="H31" s="1095"/>
    </row>
    <row r="32" spans="1:23" s="876" customFormat="1">
      <c r="A32" s="876">
        <f t="shared" si="0"/>
        <v>24</v>
      </c>
      <c r="C32" s="876" t="s">
        <v>1073</v>
      </c>
      <c r="E32" s="877">
        <v>7.7399999999999997E-2</v>
      </c>
      <c r="F32" s="877"/>
      <c r="G32" s="877">
        <v>7.7399999999999997E-2</v>
      </c>
      <c r="H32" s="877">
        <v>7.7399999999999997E-2</v>
      </c>
      <c r="I32" s="877">
        <v>7.7399999999999997E-2</v>
      </c>
      <c r="J32" s="877">
        <v>7.7399999999999997E-2</v>
      </c>
      <c r="K32" s="877">
        <v>7.7399999999999997E-2</v>
      </c>
      <c r="L32" s="877">
        <v>7.7399999999999997E-2</v>
      </c>
      <c r="M32" s="877">
        <v>7.7399999999999997E-2</v>
      </c>
      <c r="N32" s="877">
        <v>7.7399999999999997E-2</v>
      </c>
      <c r="O32" s="877">
        <v>7.7399999999999997E-2</v>
      </c>
      <c r="P32" s="877">
        <v>7.7399999999999997E-2</v>
      </c>
      <c r="R32" s="877">
        <v>7.7399999999999997E-2</v>
      </c>
      <c r="S32" s="877">
        <v>7.7399999999999997E-2</v>
      </c>
      <c r="T32" s="877">
        <v>7.7399999999999997E-2</v>
      </c>
      <c r="U32" s="870"/>
    </row>
    <row r="33" spans="1:23">
      <c r="A33" s="870">
        <f t="shared" si="0"/>
        <v>25</v>
      </c>
      <c r="C33" s="870" t="s">
        <v>1074</v>
      </c>
      <c r="E33" s="871">
        <f>SUM(G33:P33)</f>
        <v>394582292.2923153</v>
      </c>
      <c r="F33" s="871"/>
      <c r="G33" s="871">
        <f>G32*G13</f>
        <v>225491352.42815104</v>
      </c>
      <c r="H33" s="871">
        <f t="shared" ref="H33:P33" si="6">H32*H13</f>
        <v>48072453.219725817</v>
      </c>
      <c r="I33" s="871">
        <f t="shared" si="6"/>
        <v>46672041.877106987</v>
      </c>
      <c r="J33" s="871">
        <f t="shared" si="6"/>
        <v>26911635.78486979</v>
      </c>
      <c r="K33" s="871">
        <f t="shared" si="6"/>
        <v>21052516.896803588</v>
      </c>
      <c r="L33" s="871">
        <f t="shared" si="6"/>
        <v>9848550.7945076507</v>
      </c>
      <c r="M33" s="871">
        <f t="shared" si="6"/>
        <v>7292177.6554588415</v>
      </c>
      <c r="N33" s="871">
        <f t="shared" si="6"/>
        <v>4884196.6008284576</v>
      </c>
      <c r="O33" s="871">
        <f t="shared" si="6"/>
        <v>4220023.181229013</v>
      </c>
      <c r="P33" s="871">
        <f t="shared" si="6"/>
        <v>137343.85363416851</v>
      </c>
      <c r="R33" s="871">
        <f>R32*R13</f>
        <v>18584944.06871257</v>
      </c>
      <c r="S33" s="871">
        <f>S32*S13</f>
        <v>91529.68879644449</v>
      </c>
      <c r="T33" s="871">
        <f>T32*T13</f>
        <v>2376043.1392945745</v>
      </c>
    </row>
    <row r="34" spans="1:23">
      <c r="A34" s="870">
        <f t="shared" si="0"/>
        <v>26</v>
      </c>
      <c r="C34" s="870" t="s">
        <v>1075</v>
      </c>
      <c r="E34" s="871">
        <f>SUM(G34:P34)</f>
        <v>92276970.800862506</v>
      </c>
      <c r="F34" s="871"/>
      <c r="G34" s="871">
        <f>G33-G28</f>
        <v>103988393.36101988</v>
      </c>
      <c r="H34" s="871">
        <f t="shared" ref="H34:P34" si="7">H33-H28</f>
        <v>-9586716.5616416633</v>
      </c>
      <c r="I34" s="871">
        <f t="shared" si="7"/>
        <v>-6888586.5004254952</v>
      </c>
      <c r="J34" s="871">
        <f t="shared" si="7"/>
        <v>-3754349.9927297533</v>
      </c>
      <c r="K34" s="871">
        <f t="shared" si="7"/>
        <v>-926213.2346072942</v>
      </c>
      <c r="L34" s="871">
        <f t="shared" si="7"/>
        <v>4769144.0790846255</v>
      </c>
      <c r="M34" s="871">
        <f t="shared" si="7"/>
        <v>-1439422.4554442205</v>
      </c>
      <c r="N34" s="871">
        <f t="shared" si="7"/>
        <v>4366478.6981746946</v>
      </c>
      <c r="O34" s="871">
        <f t="shared" si="7"/>
        <v>1361519.3075230522</v>
      </c>
      <c r="P34" s="871">
        <f t="shared" si="7"/>
        <v>386724.09990865964</v>
      </c>
      <c r="R34" s="871">
        <f>R33-R28</f>
        <v>-1485618.8108005896</v>
      </c>
      <c r="S34" s="871">
        <f>S33-S28</f>
        <v>169196.31533843389</v>
      </c>
      <c r="T34" s="871">
        <f>T33-T28</f>
        <v>390209.26085486496</v>
      </c>
    </row>
    <row r="35" spans="1:23">
      <c r="A35" s="870">
        <f t="shared" si="0"/>
        <v>27</v>
      </c>
      <c r="C35" s="870" t="s">
        <v>1076</v>
      </c>
      <c r="E35" s="878">
        <f>+E34/E36</f>
        <v>0.61905099616839121</v>
      </c>
    </row>
    <row r="36" spans="1:23" ht="13.5" thickBot="1">
      <c r="A36" s="879">
        <f t="shared" si="0"/>
        <v>28</v>
      </c>
      <c r="B36" s="879"/>
      <c r="C36" s="879" t="s">
        <v>1077</v>
      </c>
      <c r="D36" s="879"/>
      <c r="E36" s="880">
        <f>SUM(G36:P36)</f>
        <v>149061985.80086249</v>
      </c>
      <c r="F36" s="880"/>
      <c r="G36" s="880">
        <f>SUM(G34,G404:G407)</f>
        <v>136750185.66688347</v>
      </c>
      <c r="H36" s="880">
        <f t="shared" ref="H36:P36" si="8">SUM(H34,H404:H407)</f>
        <v>-2692184.3143813191</v>
      </c>
      <c r="I36" s="880">
        <f t="shared" si="8"/>
        <v>-267249.50619724952</v>
      </c>
      <c r="J36" s="880">
        <f t="shared" si="8"/>
        <v>86365.746688727289</v>
      </c>
      <c r="K36" s="880">
        <f t="shared" si="8"/>
        <v>2052247.3068494156</v>
      </c>
      <c r="L36" s="880">
        <f t="shared" si="8"/>
        <v>6163007.0322122201</v>
      </c>
      <c r="M36" s="880">
        <f t="shared" si="8"/>
        <v>-398013.41572565073</v>
      </c>
      <c r="N36" s="880">
        <f t="shared" si="8"/>
        <v>5014206.0484914668</v>
      </c>
      <c r="O36" s="880">
        <f t="shared" si="8"/>
        <v>1947331.6782994824</v>
      </c>
      <c r="P36" s="880">
        <f t="shared" si="8"/>
        <v>406089.5577419175</v>
      </c>
      <c r="R36" s="874">
        <f>SUM(R34,R404:R407)</f>
        <v>-1485618.8108005896</v>
      </c>
      <c r="S36" s="874">
        <f>SUM(S34,S404:S407)</f>
        <v>169196.31533843389</v>
      </c>
      <c r="T36" s="874">
        <f>SUM(T34,T404:T407)</f>
        <v>390209.26085486496</v>
      </c>
      <c r="W36" s="872">
        <f>+R36+S36</f>
        <v>-1316422.4954621557</v>
      </c>
    </row>
    <row r="37" spans="1:23" ht="13.5" thickTop="1">
      <c r="A37" s="870">
        <f t="shared" si="0"/>
        <v>29</v>
      </c>
    </row>
    <row r="38" spans="1:23">
      <c r="A38" s="870">
        <f t="shared" si="0"/>
        <v>30</v>
      </c>
      <c r="C38" s="870" t="s">
        <v>460</v>
      </c>
      <c r="E38" s="871">
        <f>SUM(G38:P38)</f>
        <v>2213411019.0099678</v>
      </c>
      <c r="F38" s="871"/>
      <c r="G38" s="871">
        <f>G36+G19</f>
        <v>1258614110.9589524</v>
      </c>
      <c r="H38" s="871">
        <f t="shared" ref="H38:P38" si="9">H36+H19</f>
        <v>279819015.94568807</v>
      </c>
      <c r="I38" s="871">
        <f t="shared" si="9"/>
        <v>263155678.80605224</v>
      </c>
      <c r="J38" s="871">
        <f t="shared" si="9"/>
        <v>158157314.6318472</v>
      </c>
      <c r="K38" s="871">
        <f t="shared" si="9"/>
        <v>119392175.15846494</v>
      </c>
      <c r="L38" s="871">
        <f t="shared" si="9"/>
        <v>56073009.133763686</v>
      </c>
      <c r="M38" s="871">
        <f t="shared" si="9"/>
        <v>44532860.871735588</v>
      </c>
      <c r="N38" s="871">
        <f t="shared" si="9"/>
        <v>13406205.043426421</v>
      </c>
      <c r="O38" s="871">
        <f t="shared" si="9"/>
        <v>19502765.838207029</v>
      </c>
      <c r="P38" s="871">
        <f t="shared" si="9"/>
        <v>757882.62182981975</v>
      </c>
      <c r="R38" s="871">
        <f>R36+R19</f>
        <v>104811863.19295424</v>
      </c>
      <c r="S38" s="871">
        <f>S36+S19</f>
        <v>438117.01899347297</v>
      </c>
      <c r="T38" s="871">
        <f>T36+T19</f>
        <v>11163734.405060502</v>
      </c>
      <c r="W38" s="872">
        <f>+R38+S38</f>
        <v>105249980.21194771</v>
      </c>
    </row>
    <row r="39" spans="1:23">
      <c r="A39" s="870">
        <f t="shared" si="0"/>
        <v>31</v>
      </c>
      <c r="C39" s="870" t="s">
        <v>1078</v>
      </c>
      <c r="E39" s="871">
        <f>SUM(G39:P39)</f>
        <v>100845558.94922253</v>
      </c>
      <c r="F39" s="871"/>
      <c r="G39" s="871">
        <f>SUM(G17:G18)</f>
        <v>55236471.313917123</v>
      </c>
      <c r="H39" s="871">
        <f t="shared" ref="H39:P39" si="10">SUM(H17:H18)</f>
        <v>15566929.265537243</v>
      </c>
      <c r="I39" s="871">
        <f t="shared" si="10"/>
        <v>10500108.317430148</v>
      </c>
      <c r="J39" s="871">
        <f t="shared" si="10"/>
        <v>6236213.8882685471</v>
      </c>
      <c r="K39" s="871">
        <f t="shared" si="10"/>
        <v>5359212.8539092448</v>
      </c>
      <c r="L39" s="871">
        <f t="shared" si="10"/>
        <v>2073379.9725902327</v>
      </c>
      <c r="M39" s="871">
        <f t="shared" si="10"/>
        <v>4570782.2882879432</v>
      </c>
      <c r="N39" s="871">
        <f>SUM(N17:N18)</f>
        <v>878719.9249349609</v>
      </c>
      <c r="O39" s="871">
        <f t="shared" si="10"/>
        <v>388337.16025918309</v>
      </c>
      <c r="P39" s="871">
        <f t="shared" si="10"/>
        <v>35403.964087902234</v>
      </c>
      <c r="R39" s="871">
        <f>SUM(R17:R18)</f>
        <v>4902807.0058317333</v>
      </c>
      <c r="S39" s="871">
        <f>SUM(S17:S18)</f>
        <v>20706.703660123283</v>
      </c>
      <c r="T39" s="871">
        <f>SUM(T17:T18)</f>
        <v>435699.1444173893</v>
      </c>
      <c r="W39" s="872">
        <f>+R39+S39</f>
        <v>4923513.7094918564</v>
      </c>
    </row>
    <row r="40" spans="1:23" s="865" customFormat="1">
      <c r="A40" s="881">
        <f t="shared" si="0"/>
        <v>32</v>
      </c>
      <c r="B40" s="881"/>
      <c r="C40" s="881" t="s">
        <v>1079</v>
      </c>
      <c r="D40" s="881"/>
      <c r="E40" s="882">
        <f>SUM(G40:P40)</f>
        <v>2112565460.0607448</v>
      </c>
      <c r="F40" s="882"/>
      <c r="G40" s="882">
        <f>G38-G39</f>
        <v>1203377639.6450353</v>
      </c>
      <c r="H40" s="882">
        <f t="shared" ref="H40:P40" si="11">H38-H39</f>
        <v>264252086.68015084</v>
      </c>
      <c r="I40" s="882">
        <f t="shared" si="11"/>
        <v>252655570.4886221</v>
      </c>
      <c r="J40" s="882">
        <f t="shared" si="11"/>
        <v>151921100.74357864</v>
      </c>
      <c r="K40" s="882">
        <f t="shared" si="11"/>
        <v>114032962.3045557</v>
      </c>
      <c r="L40" s="882">
        <f t="shared" si="11"/>
        <v>53999629.161173455</v>
      </c>
      <c r="M40" s="882">
        <f t="shared" si="11"/>
        <v>39962078.583447643</v>
      </c>
      <c r="N40" s="882">
        <f>N38-N39</f>
        <v>12527485.11849146</v>
      </c>
      <c r="O40" s="882">
        <f t="shared" si="11"/>
        <v>19114428.677947845</v>
      </c>
      <c r="P40" s="882">
        <f t="shared" si="11"/>
        <v>722478.65774191753</v>
      </c>
      <c r="R40" s="882">
        <f>R38-R39</f>
        <v>99909056.187122509</v>
      </c>
      <c r="S40" s="882">
        <f>S38-S39</f>
        <v>417410.31533334969</v>
      </c>
      <c r="T40" s="882">
        <f>T38-T39</f>
        <v>10728035.260643113</v>
      </c>
      <c r="U40" s="870"/>
      <c r="W40" s="872">
        <f>+R40+S40</f>
        <v>100326466.50245586</v>
      </c>
    </row>
    <row r="41" spans="1:23" s="876" customFormat="1">
      <c r="A41" s="876">
        <f t="shared" si="0"/>
        <v>33</v>
      </c>
      <c r="C41" s="876" t="s">
        <v>1080</v>
      </c>
      <c r="E41" s="877">
        <f>IF(E16=0,0,(E40/E16)-1)</f>
        <v>7.591633412161336E-2</v>
      </c>
      <c r="F41" s="877"/>
      <c r="G41" s="877">
        <f t="shared" ref="G41:P41" si="12">IF(G16=0,0,(G40/G16)-1)</f>
        <v>0.12820801223224887</v>
      </c>
      <c r="H41" s="877">
        <f t="shared" si="12"/>
        <v>-1.0085192330036685E-2</v>
      </c>
      <c r="I41" s="877">
        <f t="shared" si="12"/>
        <v>-1.0566444981227052E-3</v>
      </c>
      <c r="J41" s="877">
        <f t="shared" si="12"/>
        <v>5.6881415632892285E-4</v>
      </c>
      <c r="K41" s="877">
        <f t="shared" si="12"/>
        <v>1.8326792313225315E-2</v>
      </c>
      <c r="L41" s="877">
        <f t="shared" si="12"/>
        <v>0.12883449453428297</v>
      </c>
      <c r="M41" s="877">
        <f t="shared" si="12"/>
        <v>-9.8615586836076075E-3</v>
      </c>
      <c r="N41" s="877">
        <f t="shared" si="12"/>
        <v>0.66737918314692268</v>
      </c>
      <c r="O41" s="877">
        <f t="shared" si="12"/>
        <v>0.11343395323853356</v>
      </c>
      <c r="P41" s="877">
        <f t="shared" si="12"/>
        <v>1.2835131100974007</v>
      </c>
      <c r="R41" s="877">
        <f>IF(R16=0,0,(R40/R16)-1)</f>
        <v>-1.4651842523594305E-2</v>
      </c>
      <c r="S41" s="877">
        <f>IF(S16=0,0,(S40/S16)-1)</f>
        <v>0.68165500472132767</v>
      </c>
      <c r="T41" s="877">
        <f>IF(T16=0,0,(T40/T16)-1)</f>
        <v>3.7745775645949164E-2</v>
      </c>
      <c r="U41" s="870"/>
      <c r="W41" s="877">
        <f>IF(W16=0,0,(W40/W16)-1)</f>
        <v>-1.2951447055869592E-2</v>
      </c>
    </row>
    <row r="42" spans="1:23">
      <c r="A42" s="870">
        <f t="shared" si="0"/>
        <v>34</v>
      </c>
    </row>
    <row r="43" spans="1:23">
      <c r="A43" s="870">
        <f t="shared" si="0"/>
        <v>35</v>
      </c>
      <c r="C43" s="865" t="s">
        <v>1081</v>
      </c>
    </row>
    <row r="44" spans="1:23">
      <c r="A44" s="870">
        <f t="shared" si="0"/>
        <v>36</v>
      </c>
      <c r="C44" s="870" t="s">
        <v>1066</v>
      </c>
      <c r="E44" s="871">
        <f>SUM(G44:P44)</f>
        <v>1174517317.8006523</v>
      </c>
      <c r="F44" s="871"/>
      <c r="G44" s="871">
        <f>+G22+G404+G405</f>
        <v>661725340.06366646</v>
      </c>
      <c r="H44" s="871">
        <f t="shared" ref="H44:P44" si="13">+H22+H404+H405</f>
        <v>151256842.92862242</v>
      </c>
      <c r="I44" s="871">
        <f t="shared" si="13"/>
        <v>141615059.1378386</v>
      </c>
      <c r="J44" s="871">
        <f t="shared" si="13"/>
        <v>87911666.955581486</v>
      </c>
      <c r="K44" s="871">
        <f t="shared" si="13"/>
        <v>64724225.964848109</v>
      </c>
      <c r="L44" s="871">
        <f t="shared" si="13"/>
        <v>30112155.17226927</v>
      </c>
      <c r="M44" s="871">
        <f t="shared" si="13"/>
        <v>25582930.587447003</v>
      </c>
      <c r="N44" s="871">
        <f t="shared" si="13"/>
        <v>2661712.9610307482</v>
      </c>
      <c r="O44" s="871">
        <f t="shared" si="13"/>
        <v>8525400.0805755388</v>
      </c>
      <c r="P44" s="871">
        <f t="shared" si="13"/>
        <v>401983.94877287833</v>
      </c>
      <c r="R44" s="871">
        <f>+R22+R404+R405</f>
        <v>59089912.902075648</v>
      </c>
      <c r="S44" s="871">
        <f>+S22+S404+S405</f>
        <v>215355.88445301831</v>
      </c>
      <c r="T44" s="871">
        <f>+T22+T404+T405</f>
        <v>5401266.536020888</v>
      </c>
    </row>
    <row r="45" spans="1:23">
      <c r="A45" s="870">
        <f t="shared" si="0"/>
        <v>37</v>
      </c>
      <c r="C45" s="870" t="s">
        <v>1067</v>
      </c>
      <c r="E45" s="871">
        <f>SUM(G45:P45)</f>
        <v>413783579.47458893</v>
      </c>
      <c r="F45" s="871"/>
      <c r="G45" s="871">
        <f>+G23</f>
        <v>239697662.60488823</v>
      </c>
      <c r="H45" s="871">
        <f t="shared" ref="H45:P45" si="14">+H23</f>
        <v>51969701.678236432</v>
      </c>
      <c r="I45" s="871">
        <f t="shared" si="14"/>
        <v>47643407.207451634</v>
      </c>
      <c r="J45" s="871">
        <f t="shared" si="14"/>
        <v>27369691.083581772</v>
      </c>
      <c r="K45" s="871">
        <f t="shared" si="14"/>
        <v>21308098.10844193</v>
      </c>
      <c r="L45" s="871">
        <f t="shared" si="14"/>
        <v>10338464.95418831</v>
      </c>
      <c r="M45" s="871">
        <f t="shared" si="14"/>
        <v>7263002.0153667592</v>
      </c>
      <c r="N45" s="871">
        <f t="shared" si="14"/>
        <v>3596145.0142465536</v>
      </c>
      <c r="O45" s="871">
        <f t="shared" si="14"/>
        <v>4458183.0248321053</v>
      </c>
      <c r="P45" s="871">
        <f t="shared" si="14"/>
        <v>139223.78335520191</v>
      </c>
      <c r="R45" s="871">
        <f>+R23</f>
        <v>18808140.336551096</v>
      </c>
      <c r="S45" s="871">
        <f>+S23</f>
        <v>93198.569812495683</v>
      </c>
      <c r="T45" s="871">
        <f>+T23</f>
        <v>2406759.2020783392</v>
      </c>
    </row>
    <row r="46" spans="1:23">
      <c r="A46" s="870">
        <f t="shared" si="0"/>
        <v>38</v>
      </c>
      <c r="C46" s="870" t="s">
        <v>1068</v>
      </c>
      <c r="E46" s="871">
        <f>SUM(G46:P46)</f>
        <v>92311064.631624401</v>
      </c>
      <c r="F46" s="871"/>
      <c r="G46" s="871">
        <f t="shared" ref="G46:P47" si="15">+G24+G406</f>
        <v>52713227.996624999</v>
      </c>
      <c r="H46" s="871">
        <f t="shared" si="15"/>
        <v>11680897.128782734</v>
      </c>
      <c r="I46" s="871">
        <f t="shared" si="15"/>
        <v>10876594.478297705</v>
      </c>
      <c r="J46" s="871">
        <f t="shared" si="15"/>
        <v>6537543.9184060153</v>
      </c>
      <c r="K46" s="871">
        <f t="shared" si="15"/>
        <v>4932926.2804641025</v>
      </c>
      <c r="L46" s="871">
        <f t="shared" si="15"/>
        <v>2324025.9544138014</v>
      </c>
      <c r="M46" s="871">
        <f t="shared" si="15"/>
        <v>1840400.8018998518</v>
      </c>
      <c r="N46" s="871">
        <f t="shared" si="15"/>
        <v>553283.39078638353</v>
      </c>
      <c r="O46" s="871">
        <f t="shared" si="15"/>
        <v>820943.31397020235</v>
      </c>
      <c r="P46" s="871">
        <f t="shared" si="15"/>
        <v>31221.367978619492</v>
      </c>
      <c r="R46" s="871">
        <f t="shared" ref="R46:T47" si="16">+R24+R406</f>
        <v>4159114.6422085781</v>
      </c>
      <c r="S46" s="871">
        <f t="shared" si="16"/>
        <v>17497.111483878463</v>
      </c>
      <c r="T46" s="871">
        <f t="shared" si="16"/>
        <v>446572.24539313186</v>
      </c>
    </row>
    <row r="47" spans="1:23">
      <c r="A47" s="870">
        <f t="shared" si="0"/>
        <v>39</v>
      </c>
      <c r="C47" s="870" t="s">
        <v>378</v>
      </c>
      <c r="E47" s="871">
        <f>SUM(G47:P47)</f>
        <v>138216764.81078616</v>
      </c>
      <c r="F47" s="871"/>
      <c r="G47" s="871">
        <f t="shared" si="15"/>
        <v>78986527.865621701</v>
      </c>
      <c r="H47" s="871">
        <f t="shared" si="15"/>
        <v>16839120.990320645</v>
      </c>
      <c r="I47" s="871">
        <f t="shared" si="15"/>
        <v>16348576.105357306</v>
      </c>
      <c r="J47" s="871">
        <f t="shared" si="15"/>
        <v>9426776.8894081376</v>
      </c>
      <c r="K47" s="871">
        <f t="shared" si="15"/>
        <v>7374407.9079072066</v>
      </c>
      <c r="L47" s="871">
        <f t="shared" si="15"/>
        <v>3449812.2583846515</v>
      </c>
      <c r="M47" s="871">
        <f t="shared" si="15"/>
        <v>2554349.8115631323</v>
      </c>
      <c r="N47" s="871">
        <f t="shared" si="15"/>
        <v>1710867.0765342796</v>
      </c>
      <c r="O47" s="871">
        <f t="shared" si="15"/>
        <v>1478216.237600168</v>
      </c>
      <c r="P47" s="871">
        <f t="shared" si="15"/>
        <v>48109.668088951439</v>
      </c>
      <c r="R47" s="871">
        <f t="shared" si="16"/>
        <v>4169751.243406354</v>
      </c>
      <c r="S47" s="871">
        <f t="shared" si="16"/>
        <v>20535.764447636004</v>
      </c>
      <c r="T47" s="871">
        <f t="shared" si="16"/>
        <v>533093.28227356938</v>
      </c>
    </row>
    <row r="48" spans="1:23" ht="13.5" thickBot="1">
      <c r="A48" s="873">
        <f t="shared" si="0"/>
        <v>40</v>
      </c>
      <c r="B48" s="873"/>
      <c r="C48" s="873" t="s">
        <v>1082</v>
      </c>
      <c r="D48" s="873"/>
      <c r="E48" s="874">
        <f>SUM(E44:E47)</f>
        <v>1818828726.7176518</v>
      </c>
      <c r="F48" s="874"/>
      <c r="G48" s="874">
        <f t="shared" ref="G48:P48" si="17">SUM(G44:G47)</f>
        <v>1033122758.5308013</v>
      </c>
      <c r="H48" s="874">
        <f t="shared" si="17"/>
        <v>231746562.72596225</v>
      </c>
      <c r="I48" s="874">
        <f t="shared" si="17"/>
        <v>216483636.92894527</v>
      </c>
      <c r="J48" s="874">
        <f t="shared" si="17"/>
        <v>131245678.84697741</v>
      </c>
      <c r="K48" s="874">
        <f t="shared" si="17"/>
        <v>98339658.261661336</v>
      </c>
      <c r="L48" s="874">
        <f t="shared" si="17"/>
        <v>46224458.339256033</v>
      </c>
      <c r="M48" s="874">
        <f t="shared" si="17"/>
        <v>37240683.21627675</v>
      </c>
      <c r="N48" s="874">
        <f t="shared" si="17"/>
        <v>8522008.4425979648</v>
      </c>
      <c r="O48" s="874">
        <f t="shared" si="17"/>
        <v>15282742.656978015</v>
      </c>
      <c r="P48" s="874">
        <f t="shared" si="17"/>
        <v>620538.76819565124</v>
      </c>
      <c r="R48" s="874">
        <f>SUM(R44:R47)</f>
        <v>86226919.12424168</v>
      </c>
      <c r="S48" s="874">
        <f>SUM(S44:S47)</f>
        <v>346587.33019702847</v>
      </c>
      <c r="T48" s="874">
        <f>SUM(T44:T47)</f>
        <v>8787691.2657659277</v>
      </c>
    </row>
    <row r="49" spans="1:23" ht="13.5" thickTop="1">
      <c r="A49" s="870">
        <f t="shared" si="0"/>
        <v>41</v>
      </c>
    </row>
    <row r="50" spans="1:23">
      <c r="A50" s="870">
        <f t="shared" si="0"/>
        <v>42</v>
      </c>
      <c r="C50" s="870" t="s">
        <v>1083</v>
      </c>
      <c r="E50" s="871">
        <f>SUM(G50:P50)</f>
        <v>2112565460.2002203</v>
      </c>
      <c r="F50" s="871"/>
      <c r="G50" s="871">
        <f t="shared" ref="G50:P50" si="18">+G16+G410</f>
        <v>1155396767.5863523</v>
      </c>
      <c r="H50" s="871">
        <f t="shared" si="18"/>
        <v>283606446.9368912</v>
      </c>
      <c r="I50" s="871">
        <f t="shared" si="18"/>
        <v>268709813.87247372</v>
      </c>
      <c r="J50" s="871">
        <f t="shared" si="18"/>
        <v>161311993.15601271</v>
      </c>
      <c r="K50" s="871">
        <f t="shared" si="18"/>
        <v>119185444.47748756</v>
      </c>
      <c r="L50" s="871">
        <f t="shared" si="18"/>
        <v>54188404.999420144</v>
      </c>
      <c r="M50" s="871">
        <f t="shared" si="18"/>
        <v>42879297.977316439</v>
      </c>
      <c r="N50" s="871">
        <f t="shared" si="18"/>
        <v>7968995.0103379935</v>
      </c>
      <c r="O50" s="871">
        <f t="shared" si="18"/>
        <v>18595817.083928432</v>
      </c>
      <c r="P50" s="871">
        <f t="shared" si="18"/>
        <v>722479.10000000009</v>
      </c>
      <c r="R50" s="871">
        <f>+R16+R410</f>
        <v>101394674.99792311</v>
      </c>
      <c r="S50" s="871">
        <f>+S16+S410</f>
        <v>248213.99999491576</v>
      </c>
      <c r="T50" s="871">
        <f>+T16+T410</f>
        <v>10337825.999788247</v>
      </c>
    </row>
    <row r="51" spans="1:23">
      <c r="A51" s="870">
        <f t="shared" si="0"/>
        <v>43</v>
      </c>
      <c r="C51" s="870" t="s">
        <v>1084</v>
      </c>
      <c r="E51" s="871">
        <f>SUM(G51:P51)</f>
        <v>100845558.94922253</v>
      </c>
      <c r="F51" s="871"/>
      <c r="G51" s="871">
        <f>+G39</f>
        <v>55236471.313917123</v>
      </c>
      <c r="H51" s="871">
        <f t="shared" ref="H51:P51" si="19">+H39</f>
        <v>15566929.265537243</v>
      </c>
      <c r="I51" s="871">
        <f t="shared" si="19"/>
        <v>10500108.317430148</v>
      </c>
      <c r="J51" s="871">
        <f t="shared" si="19"/>
        <v>6236213.8882685471</v>
      </c>
      <c r="K51" s="871">
        <f t="shared" si="19"/>
        <v>5359212.8539092448</v>
      </c>
      <c r="L51" s="871">
        <f t="shared" si="19"/>
        <v>2073379.9725902327</v>
      </c>
      <c r="M51" s="871">
        <f t="shared" si="19"/>
        <v>4570782.2882879432</v>
      </c>
      <c r="N51" s="871">
        <f t="shared" si="19"/>
        <v>878719.9249349609</v>
      </c>
      <c r="O51" s="871">
        <f t="shared" si="19"/>
        <v>388337.16025918309</v>
      </c>
      <c r="P51" s="871">
        <f t="shared" si="19"/>
        <v>35403.964087902234</v>
      </c>
      <c r="R51" s="871">
        <f>+R39</f>
        <v>4902807.0058317333</v>
      </c>
      <c r="S51" s="871">
        <f>+S39</f>
        <v>20706.703660123283</v>
      </c>
      <c r="T51" s="871">
        <f>+T39</f>
        <v>435699.1444173893</v>
      </c>
    </row>
    <row r="52" spans="1:23">
      <c r="A52" s="883">
        <f t="shared" si="0"/>
        <v>44</v>
      </c>
      <c r="B52" s="883"/>
      <c r="C52" s="883" t="s">
        <v>1085</v>
      </c>
      <c r="D52" s="883"/>
      <c r="E52" s="884">
        <f>SUM(E50:E51)</f>
        <v>2213411019.1494427</v>
      </c>
      <c r="F52" s="884"/>
      <c r="G52" s="884">
        <f t="shared" ref="G52:P52" si="20">SUM(G50:G51)</f>
        <v>1210633238.9002695</v>
      </c>
      <c r="H52" s="884">
        <f t="shared" si="20"/>
        <v>299173376.20242846</v>
      </c>
      <c r="I52" s="884">
        <f t="shared" si="20"/>
        <v>279209922.18990386</v>
      </c>
      <c r="J52" s="884">
        <f t="shared" si="20"/>
        <v>167548207.04428127</v>
      </c>
      <c r="K52" s="884">
        <f t="shared" si="20"/>
        <v>124544657.3313968</v>
      </c>
      <c r="L52" s="884">
        <f t="shared" si="20"/>
        <v>56261784.972010374</v>
      </c>
      <c r="M52" s="884">
        <f t="shared" si="20"/>
        <v>47450080.265604384</v>
      </c>
      <c r="N52" s="884">
        <f t="shared" si="20"/>
        <v>8847714.9352729544</v>
      </c>
      <c r="O52" s="884">
        <f t="shared" si="20"/>
        <v>18984154.244187616</v>
      </c>
      <c r="P52" s="884">
        <f t="shared" si="20"/>
        <v>757883.06408790231</v>
      </c>
      <c r="R52" s="884">
        <f>SUM(R50:R51)</f>
        <v>106297482.00375484</v>
      </c>
      <c r="S52" s="884">
        <f>SUM(S50:S51)</f>
        <v>268920.70365503908</v>
      </c>
      <c r="T52" s="884">
        <f>SUM(T50:T51)</f>
        <v>10773525.144205637</v>
      </c>
    </row>
    <row r="53" spans="1:23">
      <c r="A53" s="883">
        <f t="shared" si="0"/>
        <v>45</v>
      </c>
      <c r="B53" s="883"/>
      <c r="C53" s="883" t="s">
        <v>1086</v>
      </c>
      <c r="D53" s="883"/>
      <c r="E53" s="884">
        <f>SUM(G53:P53)</f>
        <v>149061985.94033825</v>
      </c>
      <c r="F53" s="884"/>
      <c r="G53" s="884">
        <f>+G52-G19</f>
        <v>88769313.60820055</v>
      </c>
      <c r="H53" s="884">
        <f t="shared" ref="H53:P53" si="21">+H52-H19</f>
        <v>16662175.94235909</v>
      </c>
      <c r="I53" s="884">
        <f t="shared" si="21"/>
        <v>15786993.877654374</v>
      </c>
      <c r="J53" s="884">
        <f t="shared" si="21"/>
        <v>9477258.1591227949</v>
      </c>
      <c r="K53" s="884">
        <f t="shared" si="21"/>
        <v>7204729.4797812849</v>
      </c>
      <c r="L53" s="884">
        <f t="shared" si="21"/>
        <v>6351782.8704589084</v>
      </c>
      <c r="M53" s="884">
        <f t="shared" si="21"/>
        <v>2519205.9781431481</v>
      </c>
      <c r="N53" s="884">
        <f t="shared" si="21"/>
        <v>455715.94033800066</v>
      </c>
      <c r="O53" s="884">
        <f t="shared" si="21"/>
        <v>1428720.0842800699</v>
      </c>
      <c r="P53" s="884">
        <f t="shared" si="21"/>
        <v>406090.00000000006</v>
      </c>
      <c r="R53" s="884">
        <f>+R52-R19</f>
        <v>0</v>
      </c>
      <c r="S53" s="884">
        <f>+S52-S19</f>
        <v>0</v>
      </c>
      <c r="T53" s="884">
        <f>+T52-T19</f>
        <v>0</v>
      </c>
    </row>
    <row r="54" spans="1:23" ht="13.5" thickBot="1">
      <c r="A54" s="885">
        <f t="shared" si="0"/>
        <v>46</v>
      </c>
      <c r="B54" s="885"/>
      <c r="C54" s="886" t="s">
        <v>1087</v>
      </c>
      <c r="D54" s="885"/>
      <c r="E54" s="887">
        <f>SUM(G54:P54)</f>
        <v>0.13947574305348098</v>
      </c>
      <c r="F54" s="887"/>
      <c r="G54" s="887">
        <f>+G53-G36</f>
        <v>-47980872.058682919</v>
      </c>
      <c r="H54" s="887">
        <f t="shared" ref="H54:P54" si="22">+H53-H36</f>
        <v>19354360.25674041</v>
      </c>
      <c r="I54" s="887">
        <f t="shared" si="22"/>
        <v>16054243.383851623</v>
      </c>
      <c r="J54" s="887">
        <f t="shared" si="22"/>
        <v>9390892.4124340676</v>
      </c>
      <c r="K54" s="887">
        <f t="shared" si="22"/>
        <v>5152482.1729318695</v>
      </c>
      <c r="L54" s="887">
        <f t="shared" si="22"/>
        <v>188775.83824668825</v>
      </c>
      <c r="M54" s="887">
        <f t="shared" si="22"/>
        <v>2917219.3938687989</v>
      </c>
      <c r="N54" s="887">
        <f t="shared" si="22"/>
        <v>-4558490.1081534661</v>
      </c>
      <c r="O54" s="887">
        <f t="shared" si="22"/>
        <v>-518611.59401941253</v>
      </c>
      <c r="P54" s="887">
        <f t="shared" si="22"/>
        <v>0.44225808256305754</v>
      </c>
      <c r="R54" s="887">
        <f>+R53-R36</f>
        <v>1485618.8108005896</v>
      </c>
      <c r="S54" s="887">
        <f>+S53-S36</f>
        <v>-169196.31533843389</v>
      </c>
      <c r="T54" s="887">
        <f>+T53-T36</f>
        <v>-390209.26085486496</v>
      </c>
    </row>
    <row r="55" spans="1:23" ht="13.5" thickTop="1">
      <c r="A55" s="870">
        <f t="shared" si="0"/>
        <v>47</v>
      </c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R55" s="871"/>
      <c r="S55" s="871"/>
      <c r="T55" s="871"/>
    </row>
    <row r="56" spans="1:23" s="865" customFormat="1">
      <c r="A56" s="881">
        <f t="shared" si="0"/>
        <v>48</v>
      </c>
      <c r="B56" s="881"/>
      <c r="C56" s="881" t="s">
        <v>1088</v>
      </c>
      <c r="D56" s="881"/>
      <c r="E56" s="888">
        <f>+E16/E40</f>
        <v>0.92944029966457187</v>
      </c>
      <c r="F56" s="888"/>
      <c r="G56" s="888">
        <f>+G16/G40</f>
        <v>0.88636137056093123</v>
      </c>
      <c r="H56" s="888">
        <f t="shared" ref="H56:O56" si="23">+H16/H40</f>
        <v>1.0101879396609643</v>
      </c>
      <c r="I56" s="888">
        <f t="shared" si="23"/>
        <v>1.0010577621767072</v>
      </c>
      <c r="J56" s="888">
        <f t="shared" si="23"/>
        <v>0.99943150920928048</v>
      </c>
      <c r="K56" s="888">
        <f t="shared" si="23"/>
        <v>0.98200303433871727</v>
      </c>
      <c r="L56" s="888">
        <f t="shared" si="23"/>
        <v>0.88586945636575753</v>
      </c>
      <c r="M56" s="888">
        <f t="shared" si="23"/>
        <v>1.009959777615034</v>
      </c>
      <c r="N56" s="888">
        <f t="shared" si="23"/>
        <v>0.59974360367907031</v>
      </c>
      <c r="O56" s="888">
        <f t="shared" si="23"/>
        <v>0.89812242306011991</v>
      </c>
      <c r="P56" s="888">
        <f>+P16/P40</f>
        <v>0.43792172489754011</v>
      </c>
      <c r="R56" s="888">
        <f>+R16/R40</f>
        <v>1.0148697111903264</v>
      </c>
      <c r="S56" s="888">
        <f>+S16/S40</f>
        <v>0.59465229026908117</v>
      </c>
      <c r="T56" s="888">
        <f>+T16/T40</f>
        <v>0.96362714594289334</v>
      </c>
      <c r="U56" s="870"/>
      <c r="W56" s="888">
        <f>+W16/W40</f>
        <v>1.0131213880180854</v>
      </c>
    </row>
    <row r="57" spans="1:23" s="865" customFormat="1">
      <c r="A57" s="881">
        <f t="shared" si="0"/>
        <v>49</v>
      </c>
      <c r="B57" s="881"/>
      <c r="C57" s="881" t="s">
        <v>1089</v>
      </c>
      <c r="D57" s="881"/>
      <c r="E57" s="888">
        <f>+E56/$E$56</f>
        <v>1</v>
      </c>
      <c r="F57" s="888"/>
      <c r="G57" s="888">
        <f>+G56/$E$56</f>
        <v>0.95365067652092605</v>
      </c>
      <c r="H57" s="888">
        <f t="shared" ref="H57:O57" si="24">+H56/$E$56</f>
        <v>1.0868777048138902</v>
      </c>
      <c r="I57" s="888">
        <f t="shared" si="24"/>
        <v>1.0770543977251488</v>
      </c>
      <c r="J57" s="888">
        <f t="shared" si="24"/>
        <v>1.0753046855940807</v>
      </c>
      <c r="K57" s="888">
        <f t="shared" si="24"/>
        <v>1.0565531048020136</v>
      </c>
      <c r="L57" s="888">
        <f t="shared" si="24"/>
        <v>0.95312141800335237</v>
      </c>
      <c r="M57" s="888">
        <f t="shared" si="24"/>
        <v>1.0866322215418474</v>
      </c>
      <c r="N57" s="888">
        <f t="shared" si="24"/>
        <v>0.64527393948327116</v>
      </c>
      <c r="O57" s="888">
        <f t="shared" si="24"/>
        <v>0.96630458501126504</v>
      </c>
      <c r="P57" s="888">
        <f>+P56/$E$56</f>
        <v>0.47116713688397505</v>
      </c>
      <c r="R57" s="888">
        <f>+R56/$E$56</f>
        <v>1.0919148992749566</v>
      </c>
      <c r="S57" s="888">
        <f>+S56/$E$56</f>
        <v>0.63979611222333144</v>
      </c>
      <c r="T57" s="888">
        <f>+T56/$E$56</f>
        <v>1.0367821863229507</v>
      </c>
      <c r="U57" s="870"/>
      <c r="W57" s="888">
        <f>+W56/$E$56</f>
        <v>1.0900338498166191</v>
      </c>
    </row>
    <row r="58" spans="1:23" s="865" customFormat="1" ht="13.5" thickBot="1">
      <c r="A58" s="873">
        <f t="shared" si="0"/>
        <v>50</v>
      </c>
      <c r="B58" s="873"/>
      <c r="C58" s="873" t="s">
        <v>1090</v>
      </c>
      <c r="D58" s="873"/>
      <c r="E58" s="889">
        <f>+E52/E38</f>
        <v>1.0000000000630136</v>
      </c>
      <c r="F58" s="889"/>
      <c r="G58" s="889">
        <f>+G52/G38</f>
        <v>0.96187801198087175</v>
      </c>
      <c r="H58" s="889">
        <f t="shared" ref="H58:P58" si="25">+H52/H38</f>
        <v>1.069167423062116</v>
      </c>
      <c r="I58" s="889">
        <f t="shared" si="25"/>
        <v>1.0610066385672936</v>
      </c>
      <c r="J58" s="889">
        <f t="shared" si="25"/>
        <v>1.0593769085817741</v>
      </c>
      <c r="K58" s="889">
        <f t="shared" si="25"/>
        <v>1.0431559452375598</v>
      </c>
      <c r="L58" s="889">
        <f t="shared" si="25"/>
        <v>1.0033666079485115</v>
      </c>
      <c r="M58" s="889">
        <f t="shared" si="25"/>
        <v>1.0655071184910179</v>
      </c>
      <c r="N58" s="889">
        <f>+N52/N38</f>
        <v>0.65997162557284106</v>
      </c>
      <c r="O58" s="889">
        <f t="shared" si="25"/>
        <v>0.97340830534900735</v>
      </c>
      <c r="P58" s="889">
        <f t="shared" si="25"/>
        <v>1.000000583544298</v>
      </c>
      <c r="R58" s="889">
        <f>+R52/R38</f>
        <v>1.0141741475205497</v>
      </c>
      <c r="S58" s="889">
        <f>+S52/S38</f>
        <v>0.61381021963688065</v>
      </c>
      <c r="T58" s="889">
        <f>+T52/T38</f>
        <v>0.96504670868217868</v>
      </c>
      <c r="U58" s="870"/>
      <c r="W58" s="889">
        <f>+W52/W38</f>
        <v>0</v>
      </c>
    </row>
    <row r="59" spans="1:23" ht="13.5" thickTop="1"/>
    <row r="60" spans="1:23">
      <c r="A60" s="1094" t="str">
        <f>A1</f>
        <v>Puget Sound Energy</v>
      </c>
      <c r="B60" s="1094"/>
      <c r="C60" s="1094"/>
      <c r="D60" s="1094"/>
      <c r="E60" s="1094"/>
      <c r="F60" s="1094"/>
      <c r="G60" s="1094"/>
      <c r="H60" s="1094"/>
      <c r="I60" s="1094"/>
      <c r="J60" s="1094"/>
      <c r="K60" s="1094"/>
      <c r="L60" s="1094"/>
      <c r="M60" s="1094"/>
      <c r="N60" s="1094"/>
      <c r="O60" s="1094"/>
      <c r="P60" s="1094"/>
    </row>
    <row r="61" spans="1:23">
      <c r="A61" s="1094" t="str">
        <f>A2</f>
        <v>ELECTRIC COST OF SERVICE SUMMARY</v>
      </c>
      <c r="B61" s="1094"/>
      <c r="C61" s="1094"/>
      <c r="D61" s="1094"/>
      <c r="E61" s="1094"/>
      <c r="F61" s="1094"/>
      <c r="G61" s="1094"/>
      <c r="H61" s="1094"/>
      <c r="I61" s="1094"/>
      <c r="J61" s="1094"/>
      <c r="K61" s="1094"/>
      <c r="L61" s="1094"/>
      <c r="M61" s="1094"/>
      <c r="N61" s="1094"/>
      <c r="O61" s="1094"/>
      <c r="P61" s="1094"/>
    </row>
    <row r="62" spans="1:23">
      <c r="A62" s="1094" t="s">
        <v>1029</v>
      </c>
      <c r="B62" s="1094"/>
      <c r="C62" s="1094"/>
      <c r="D62" s="1094"/>
      <c r="E62" s="1094"/>
      <c r="F62" s="1094"/>
      <c r="G62" s="1094"/>
      <c r="H62" s="1094"/>
      <c r="I62" s="1094"/>
      <c r="J62" s="1094"/>
      <c r="K62" s="1094"/>
      <c r="L62" s="1094"/>
      <c r="M62" s="1094"/>
      <c r="N62" s="1094"/>
      <c r="O62" s="1094"/>
      <c r="P62" s="1094"/>
    </row>
    <row r="63" spans="1:23">
      <c r="A63" s="1094" t="s">
        <v>1091</v>
      </c>
      <c r="B63" s="1094"/>
      <c r="C63" s="1094"/>
      <c r="D63" s="1094"/>
      <c r="E63" s="1094"/>
      <c r="F63" s="1094"/>
      <c r="G63" s="1094"/>
      <c r="H63" s="1094"/>
      <c r="I63" s="1094"/>
      <c r="J63" s="1094"/>
      <c r="K63" s="1094"/>
      <c r="L63" s="1094"/>
      <c r="M63" s="1094"/>
      <c r="N63" s="1094"/>
      <c r="O63" s="1094"/>
      <c r="P63" s="1094"/>
    </row>
    <row r="65" spans="1:21" s="868" customFormat="1" ht="49.5" customHeight="1">
      <c r="A65" s="866"/>
      <c r="B65" s="866"/>
      <c r="C65" s="866"/>
      <c r="D65" s="866"/>
      <c r="E65" s="866" t="s">
        <v>1092</v>
      </c>
      <c r="F65" s="866"/>
      <c r="G65" s="866" t="str">
        <f>+G6</f>
        <v>Residential
Sch 7</v>
      </c>
      <c r="H65" s="866" t="str">
        <f t="shared" ref="H65:P65" si="26">+H6</f>
        <v>Sec Volt
Sch 24
(kW&lt; 50)</v>
      </c>
      <c r="I65" s="866" t="str">
        <f t="shared" si="26"/>
        <v>Sec Volt
Sch 25
(kW &gt; 50 &amp; &lt; 350)</v>
      </c>
      <c r="J65" s="866" t="str">
        <f t="shared" si="26"/>
        <v>Sec Volt
Sch 26
(kW &gt; 350)</v>
      </c>
      <c r="K65" s="866" t="str">
        <f t="shared" si="26"/>
        <v>Pri Volt
Sch 31/35/43</v>
      </c>
      <c r="L65" s="866" t="str">
        <f t="shared" si="26"/>
        <v>Campus
Sch 40</v>
      </c>
      <c r="M65" s="866" t="str">
        <f t="shared" si="26"/>
        <v>High Volt
Sch 46/49</v>
      </c>
      <c r="N65" s="866" t="str">
        <f t="shared" si="26"/>
        <v>Choice /
Retail Wheeling
Sch 448/449</v>
      </c>
      <c r="O65" s="866" t="str">
        <f t="shared" si="26"/>
        <v>Lighting
Sch 50-59</v>
      </c>
      <c r="P65" s="869" t="str">
        <f t="shared" si="26"/>
        <v>Firm Resale</v>
      </c>
      <c r="R65" s="866" t="s">
        <v>1040</v>
      </c>
      <c r="S65" s="866" t="s">
        <v>1041</v>
      </c>
      <c r="T65" s="866" t="s">
        <v>1042</v>
      </c>
      <c r="U65" s="866" t="s">
        <v>1043</v>
      </c>
    </row>
    <row r="66" spans="1:21" s="868" customFormat="1">
      <c r="C66" s="868" t="s">
        <v>1045</v>
      </c>
      <c r="E66" s="868" t="s">
        <v>1046</v>
      </c>
      <c r="G66" s="868" t="s">
        <v>1047</v>
      </c>
      <c r="H66" s="868" t="s">
        <v>1048</v>
      </c>
      <c r="I66" s="868" t="s">
        <v>1049</v>
      </c>
      <c r="J66" s="868" t="s">
        <v>1050</v>
      </c>
      <c r="K66" s="868" t="s">
        <v>1051</v>
      </c>
      <c r="L66" s="868" t="s">
        <v>1052</v>
      </c>
      <c r="M66" s="868" t="s">
        <v>1053</v>
      </c>
      <c r="N66" s="868" t="s">
        <v>1054</v>
      </c>
      <c r="O66" s="868" t="s">
        <v>1055</v>
      </c>
      <c r="P66" s="868" t="s">
        <v>1056</v>
      </c>
      <c r="R66" s="868" t="s">
        <v>1051</v>
      </c>
    </row>
    <row r="68" spans="1:21">
      <c r="A68" s="890">
        <v>1</v>
      </c>
      <c r="C68" s="865" t="s">
        <v>245</v>
      </c>
    </row>
    <row r="69" spans="1:21">
      <c r="A69" s="890">
        <f t="shared" ref="A69:A93" si="27">+A68+1</f>
        <v>2</v>
      </c>
      <c r="B69" s="870" t="str">
        <f>IF(OR((C68="~"),(C69="~")),"~","")</f>
        <v/>
      </c>
      <c r="C69" s="870" t="s">
        <v>1093</v>
      </c>
      <c r="E69" s="871">
        <f t="shared" ref="E69:E74" si="28">SUM(G69:P69)</f>
        <v>575937930.28124881</v>
      </c>
      <c r="F69" s="871"/>
      <c r="G69" s="871">
        <v>350934861.17234683</v>
      </c>
      <c r="H69" s="871">
        <v>70690369.359818339</v>
      </c>
      <c r="I69" s="871">
        <v>65909885.900170356</v>
      </c>
      <c r="J69" s="871">
        <v>37431934.223375306</v>
      </c>
      <c r="K69" s="871">
        <v>25652817.04658404</v>
      </c>
      <c r="L69" s="871">
        <v>13266070.104220878</v>
      </c>
      <c r="M69" s="871">
        <v>9816006.8202376496</v>
      </c>
      <c r="N69" s="871">
        <v>0</v>
      </c>
      <c r="O69" s="871">
        <v>2012360.5695456429</v>
      </c>
      <c r="P69" s="871">
        <v>223625.08494985764</v>
      </c>
      <c r="R69" s="871">
        <v>25652226.454013612</v>
      </c>
      <c r="S69" s="871">
        <v>590.59257042666729</v>
      </c>
      <c r="T69" s="871">
        <v>0</v>
      </c>
      <c r="U69" s="871">
        <f t="shared" ref="U69:U74" si="29">SUM(R69:T69,-K69)</f>
        <v>0</v>
      </c>
    </row>
    <row r="70" spans="1:21">
      <c r="A70" s="890">
        <f t="shared" si="27"/>
        <v>3</v>
      </c>
      <c r="B70" s="870" t="str">
        <f>IF(OR((C68="~"),(C70="~")),"~","")</f>
        <v/>
      </c>
      <c r="C70" s="870" t="s">
        <v>1094</v>
      </c>
      <c r="E70" s="871">
        <f t="shared" si="28"/>
        <v>1727813790.8437476</v>
      </c>
      <c r="F70" s="871"/>
      <c r="G70" s="871">
        <v>879919768.967098</v>
      </c>
      <c r="H70" s="871">
        <v>231056489.62487572</v>
      </c>
      <c r="I70" s="871">
        <v>237895631.16654468</v>
      </c>
      <c r="J70" s="871">
        <v>156942446.74563214</v>
      </c>
      <c r="K70" s="871">
        <v>112486671.65561765</v>
      </c>
      <c r="L70" s="871">
        <v>53628675.594138809</v>
      </c>
      <c r="M70" s="871">
        <v>49010428.084830888</v>
      </c>
      <c r="N70" s="871">
        <v>0</v>
      </c>
      <c r="O70" s="871">
        <v>6313971.0114949495</v>
      </c>
      <c r="P70" s="871">
        <v>559707.99351464235</v>
      </c>
      <c r="R70" s="871">
        <v>102452535.78009577</v>
      </c>
      <c r="S70" s="871">
        <v>355800.05242238386</v>
      </c>
      <c r="T70" s="871">
        <v>9678335.8230994903</v>
      </c>
      <c r="U70" s="871">
        <f t="shared" si="29"/>
        <v>0</v>
      </c>
    </row>
    <row r="71" spans="1:21">
      <c r="A71" s="890">
        <f t="shared" si="27"/>
        <v>4</v>
      </c>
      <c r="B71" s="870" t="str">
        <f>IF(OR((C68="~"),(C71="~")),"~","")</f>
        <v/>
      </c>
      <c r="C71" s="870" t="s">
        <v>1095</v>
      </c>
      <c r="E71" s="871">
        <f t="shared" si="28"/>
        <v>0</v>
      </c>
      <c r="F71" s="871"/>
      <c r="G71" s="871">
        <v>0</v>
      </c>
      <c r="H71" s="871">
        <v>0</v>
      </c>
      <c r="I71" s="871">
        <v>0</v>
      </c>
      <c r="J71" s="871">
        <v>0</v>
      </c>
      <c r="K71" s="871">
        <v>0</v>
      </c>
      <c r="L71" s="871">
        <v>0</v>
      </c>
      <c r="M71" s="871">
        <v>0</v>
      </c>
      <c r="N71" s="871">
        <v>0</v>
      </c>
      <c r="O71" s="871">
        <v>0</v>
      </c>
      <c r="P71" s="871">
        <v>0</v>
      </c>
      <c r="R71" s="871">
        <v>0</v>
      </c>
      <c r="S71" s="871">
        <v>0</v>
      </c>
      <c r="T71" s="871">
        <v>0</v>
      </c>
      <c r="U71" s="871">
        <f t="shared" si="29"/>
        <v>0</v>
      </c>
    </row>
    <row r="72" spans="1:21">
      <c r="A72" s="890">
        <f t="shared" si="27"/>
        <v>5</v>
      </c>
      <c r="B72" s="870" t="str">
        <f>IF(OR((C68="~"),(C72="~")),"~","")</f>
        <v>~</v>
      </c>
      <c r="C72" s="870" t="s">
        <v>1096</v>
      </c>
      <c r="E72" s="871">
        <f t="shared" si="28"/>
        <v>0</v>
      </c>
      <c r="F72" s="871"/>
      <c r="G72" s="871">
        <v>0</v>
      </c>
      <c r="H72" s="871">
        <v>0</v>
      </c>
      <c r="I72" s="871">
        <v>0</v>
      </c>
      <c r="J72" s="871">
        <v>0</v>
      </c>
      <c r="K72" s="871">
        <v>0</v>
      </c>
      <c r="L72" s="871">
        <v>0</v>
      </c>
      <c r="M72" s="871">
        <v>0</v>
      </c>
      <c r="N72" s="871">
        <v>0</v>
      </c>
      <c r="O72" s="871">
        <v>0</v>
      </c>
      <c r="P72" s="871">
        <v>0</v>
      </c>
      <c r="R72" s="871">
        <v>0</v>
      </c>
      <c r="S72" s="871">
        <v>0</v>
      </c>
      <c r="T72" s="871">
        <v>0</v>
      </c>
      <c r="U72" s="871">
        <f t="shared" si="29"/>
        <v>0</v>
      </c>
    </row>
    <row r="73" spans="1:21">
      <c r="A73" s="890">
        <f t="shared" si="27"/>
        <v>6</v>
      </c>
      <c r="B73" s="870" t="str">
        <f>IF(OR((C68="~"),(C73="~")),"~","")</f>
        <v>~</v>
      </c>
      <c r="C73" s="870" t="s">
        <v>1096</v>
      </c>
      <c r="E73" s="871">
        <f t="shared" si="28"/>
        <v>0</v>
      </c>
      <c r="F73" s="871"/>
      <c r="G73" s="871">
        <v>0</v>
      </c>
      <c r="H73" s="871">
        <v>0</v>
      </c>
      <c r="I73" s="871">
        <v>0</v>
      </c>
      <c r="J73" s="871">
        <v>0</v>
      </c>
      <c r="K73" s="871">
        <v>0</v>
      </c>
      <c r="L73" s="871">
        <v>0</v>
      </c>
      <c r="M73" s="871">
        <v>0</v>
      </c>
      <c r="N73" s="871">
        <v>0</v>
      </c>
      <c r="O73" s="871">
        <v>0</v>
      </c>
      <c r="P73" s="871">
        <v>0</v>
      </c>
      <c r="R73" s="871">
        <v>0</v>
      </c>
      <c r="S73" s="871">
        <v>0</v>
      </c>
      <c r="T73" s="871">
        <v>0</v>
      </c>
      <c r="U73" s="871">
        <f t="shared" si="29"/>
        <v>0</v>
      </c>
    </row>
    <row r="74" spans="1:21">
      <c r="A74" s="890">
        <f t="shared" si="27"/>
        <v>7</v>
      </c>
      <c r="B74" s="870" t="str">
        <f>IF(OR((C68="~"),(C74="~")),"~","")</f>
        <v>~</v>
      </c>
      <c r="C74" s="870" t="s">
        <v>1096</v>
      </c>
      <c r="E74" s="871">
        <f t="shared" si="28"/>
        <v>0</v>
      </c>
      <c r="F74" s="871"/>
      <c r="G74" s="871">
        <v>0</v>
      </c>
      <c r="H74" s="871">
        <v>0</v>
      </c>
      <c r="I74" s="871">
        <v>0</v>
      </c>
      <c r="J74" s="871">
        <v>0</v>
      </c>
      <c r="K74" s="871">
        <v>0</v>
      </c>
      <c r="L74" s="871">
        <v>0</v>
      </c>
      <c r="M74" s="871">
        <v>0</v>
      </c>
      <c r="N74" s="871">
        <v>0</v>
      </c>
      <c r="O74" s="871">
        <v>0</v>
      </c>
      <c r="P74" s="871">
        <v>0</v>
      </c>
      <c r="R74" s="871">
        <v>0</v>
      </c>
      <c r="S74" s="871">
        <v>0</v>
      </c>
      <c r="T74" s="871">
        <v>0</v>
      </c>
      <c r="U74" s="871">
        <f t="shared" si="29"/>
        <v>0</v>
      </c>
    </row>
    <row r="75" spans="1:21">
      <c r="A75" s="891">
        <f t="shared" si="27"/>
        <v>8</v>
      </c>
      <c r="B75" s="881" t="str">
        <f>IF(OR((C68="~"),(C75="~")),"~","")</f>
        <v/>
      </c>
      <c r="C75" s="881" t="str">
        <f>IF(C68="~","~","Sub-total")</f>
        <v>Sub-total</v>
      </c>
      <c r="D75" s="881"/>
      <c r="E75" s="882">
        <f>SUM(E69:E74)</f>
        <v>2303751721.1249962</v>
      </c>
      <c r="F75" s="882"/>
      <c r="G75" s="882">
        <f t="shared" ref="G75:P75" si="30">SUM(G69:G74)</f>
        <v>1230854630.1394448</v>
      </c>
      <c r="H75" s="882">
        <f t="shared" si="30"/>
        <v>301746858.98469406</v>
      </c>
      <c r="I75" s="882">
        <f t="shared" si="30"/>
        <v>303805517.066715</v>
      </c>
      <c r="J75" s="882">
        <f t="shared" si="30"/>
        <v>194374380.96900743</v>
      </c>
      <c r="K75" s="882">
        <f t="shared" si="30"/>
        <v>138139488.70220169</v>
      </c>
      <c r="L75" s="882">
        <f t="shared" si="30"/>
        <v>66894745.698359683</v>
      </c>
      <c r="M75" s="882">
        <f t="shared" si="30"/>
        <v>58826434.905068539</v>
      </c>
      <c r="N75" s="882">
        <f t="shared" si="30"/>
        <v>0</v>
      </c>
      <c r="O75" s="882">
        <f t="shared" si="30"/>
        <v>8326331.5810405929</v>
      </c>
      <c r="P75" s="882">
        <f t="shared" si="30"/>
        <v>783333.07846450002</v>
      </c>
      <c r="R75" s="882">
        <f>SUM(R69:R74)</f>
        <v>128104762.23410939</v>
      </c>
      <c r="S75" s="882">
        <f>SUM(S69:S74)</f>
        <v>356390.6449928105</v>
      </c>
      <c r="T75" s="882">
        <f>SUM(T69:T74)</f>
        <v>9678335.8230994903</v>
      </c>
      <c r="U75" s="882">
        <f>SUM(U69:U74)</f>
        <v>0</v>
      </c>
    </row>
    <row r="76" spans="1:21">
      <c r="A76" s="890">
        <f t="shared" si="27"/>
        <v>9</v>
      </c>
      <c r="B76" s="870" t="str">
        <f>IF(OR((C68="~"),(C76="~")),"~","")</f>
        <v/>
      </c>
    </row>
    <row r="77" spans="1:21">
      <c r="A77" s="890">
        <f t="shared" si="27"/>
        <v>10</v>
      </c>
      <c r="C77" s="865" t="s">
        <v>604</v>
      </c>
    </row>
    <row r="78" spans="1:21">
      <c r="A78" s="890">
        <f t="shared" si="27"/>
        <v>11</v>
      </c>
      <c r="B78" s="870" t="str">
        <f>IF(OR((C77="~"),(C78="~")),"~","")</f>
        <v/>
      </c>
      <c r="C78" s="870" t="s">
        <v>1093</v>
      </c>
      <c r="E78" s="871">
        <f t="shared" ref="E78:E83" si="31">SUM(G78:P78)</f>
        <v>212420865.97660729</v>
      </c>
      <c r="F78" s="871"/>
      <c r="G78" s="871">
        <v>122762257.41249268</v>
      </c>
      <c r="H78" s="871">
        <v>24728547.317709535</v>
      </c>
      <c r="I78" s="871">
        <v>23056262.782998528</v>
      </c>
      <c r="J78" s="871">
        <v>13094249.825242473</v>
      </c>
      <c r="K78" s="871">
        <v>8973738.656535849</v>
      </c>
      <c r="L78" s="871">
        <v>4640669.5178303542</v>
      </c>
      <c r="M78" s="871">
        <v>3433785.8370730407</v>
      </c>
      <c r="N78" s="871">
        <v>10949173.439108411</v>
      </c>
      <c r="O78" s="871">
        <v>703953.79193743994</v>
      </c>
      <c r="P78" s="871">
        <v>78227.395679059438</v>
      </c>
      <c r="R78" s="871">
        <v>8973532.0584312472</v>
      </c>
      <c r="S78" s="871">
        <v>206.59810460100664</v>
      </c>
      <c r="T78" s="871">
        <v>0</v>
      </c>
      <c r="U78" s="871">
        <f t="shared" ref="U78:U83" si="32">SUM(R78:T78,-K78)</f>
        <v>0</v>
      </c>
    </row>
    <row r="79" spans="1:21">
      <c r="A79" s="890">
        <f t="shared" si="27"/>
        <v>12</v>
      </c>
      <c r="B79" s="870" t="str">
        <f>IF(OR((C77="~"),(C79="~")),"~","")</f>
        <v/>
      </c>
      <c r="C79" s="870" t="s">
        <v>1094</v>
      </c>
      <c r="E79" s="871">
        <f t="shared" si="31"/>
        <v>636733908.81012177</v>
      </c>
      <c r="F79" s="871"/>
      <c r="G79" s="871">
        <v>299482259.39748108</v>
      </c>
      <c r="H79" s="871">
        <v>78640487.4645973</v>
      </c>
      <c r="I79" s="871">
        <v>80968201.460206807</v>
      </c>
      <c r="J79" s="871">
        <v>53415641.066825777</v>
      </c>
      <c r="K79" s="871">
        <v>38285038.895161606</v>
      </c>
      <c r="L79" s="871">
        <v>18252615.183632486</v>
      </c>
      <c r="M79" s="871">
        <v>16680786.424553838</v>
      </c>
      <c r="N79" s="871">
        <v>48669410.034937657</v>
      </c>
      <c r="O79" s="871">
        <v>2148971.2709971084</v>
      </c>
      <c r="P79" s="871">
        <v>190497.61172812511</v>
      </c>
      <c r="R79" s="871">
        <v>34869902.891761988</v>
      </c>
      <c r="S79" s="871">
        <v>121097.18107399638</v>
      </c>
      <c r="T79" s="871">
        <v>3294038.8223256241</v>
      </c>
      <c r="U79" s="871">
        <f t="shared" si="32"/>
        <v>0</v>
      </c>
    </row>
    <row r="80" spans="1:21">
      <c r="A80" s="890">
        <f t="shared" si="27"/>
        <v>13</v>
      </c>
      <c r="B80" s="870" t="str">
        <f>IF(OR((C77="~"),(C80="~")),"~","")</f>
        <v/>
      </c>
      <c r="C80" s="870" t="s">
        <v>1095</v>
      </c>
      <c r="E80" s="871">
        <f t="shared" si="31"/>
        <v>0</v>
      </c>
      <c r="F80" s="871"/>
      <c r="G80" s="871">
        <v>0</v>
      </c>
      <c r="H80" s="871">
        <v>0</v>
      </c>
      <c r="I80" s="871">
        <v>0</v>
      </c>
      <c r="J80" s="871">
        <v>0</v>
      </c>
      <c r="K80" s="871">
        <v>0</v>
      </c>
      <c r="L80" s="871">
        <v>0</v>
      </c>
      <c r="M80" s="871">
        <v>0</v>
      </c>
      <c r="N80" s="871">
        <v>0</v>
      </c>
      <c r="O80" s="871">
        <v>0</v>
      </c>
      <c r="P80" s="871">
        <v>0</v>
      </c>
      <c r="R80" s="871">
        <v>0</v>
      </c>
      <c r="S80" s="871">
        <v>0</v>
      </c>
      <c r="T80" s="871">
        <v>0</v>
      </c>
      <c r="U80" s="871">
        <f t="shared" si="32"/>
        <v>0</v>
      </c>
    </row>
    <row r="81" spans="1:21">
      <c r="A81" s="890">
        <f t="shared" si="27"/>
        <v>14</v>
      </c>
      <c r="B81" s="870" t="str">
        <f>IF(OR((C77="~"),(C81="~")),"~","")</f>
        <v>~</v>
      </c>
      <c r="C81" s="870" t="s">
        <v>1096</v>
      </c>
      <c r="E81" s="871">
        <f t="shared" si="31"/>
        <v>0</v>
      </c>
      <c r="F81" s="871"/>
      <c r="G81" s="871">
        <v>0</v>
      </c>
      <c r="H81" s="871">
        <v>0</v>
      </c>
      <c r="I81" s="871">
        <v>0</v>
      </c>
      <c r="J81" s="871">
        <v>0</v>
      </c>
      <c r="K81" s="871">
        <v>0</v>
      </c>
      <c r="L81" s="871">
        <v>0</v>
      </c>
      <c r="M81" s="871">
        <v>0</v>
      </c>
      <c r="N81" s="871">
        <v>0</v>
      </c>
      <c r="O81" s="871">
        <v>0</v>
      </c>
      <c r="P81" s="871">
        <v>0</v>
      </c>
      <c r="R81" s="871">
        <v>0</v>
      </c>
      <c r="S81" s="871">
        <v>0</v>
      </c>
      <c r="T81" s="871">
        <v>0</v>
      </c>
      <c r="U81" s="871">
        <f t="shared" si="32"/>
        <v>0</v>
      </c>
    </row>
    <row r="82" spans="1:21">
      <c r="A82" s="890">
        <f t="shared" si="27"/>
        <v>15</v>
      </c>
      <c r="B82" s="870" t="str">
        <f>IF(OR((C77="~"),(C82="~")),"~","")</f>
        <v>~</v>
      </c>
      <c r="C82" s="870" t="s">
        <v>1096</v>
      </c>
      <c r="E82" s="871">
        <f t="shared" si="31"/>
        <v>0</v>
      </c>
      <c r="F82" s="871"/>
      <c r="G82" s="871">
        <v>0</v>
      </c>
      <c r="H82" s="871">
        <v>0</v>
      </c>
      <c r="I82" s="871">
        <v>0</v>
      </c>
      <c r="J82" s="871">
        <v>0</v>
      </c>
      <c r="K82" s="871">
        <v>0</v>
      </c>
      <c r="L82" s="871">
        <v>0</v>
      </c>
      <c r="M82" s="871">
        <v>0</v>
      </c>
      <c r="N82" s="871">
        <v>0</v>
      </c>
      <c r="O82" s="871">
        <v>0</v>
      </c>
      <c r="P82" s="871">
        <v>0</v>
      </c>
      <c r="R82" s="871">
        <v>0</v>
      </c>
      <c r="S82" s="871">
        <v>0</v>
      </c>
      <c r="T82" s="871">
        <v>0</v>
      </c>
      <c r="U82" s="871">
        <f t="shared" si="32"/>
        <v>0</v>
      </c>
    </row>
    <row r="83" spans="1:21">
      <c r="A83" s="890">
        <f t="shared" si="27"/>
        <v>16</v>
      </c>
      <c r="B83" s="870" t="str">
        <f>IF(OR((C77="~"),(C83="~")),"~","")</f>
        <v>~</v>
      </c>
      <c r="C83" s="870" t="s">
        <v>1096</v>
      </c>
      <c r="E83" s="871">
        <f t="shared" si="31"/>
        <v>0</v>
      </c>
      <c r="F83" s="871"/>
      <c r="G83" s="871">
        <v>0</v>
      </c>
      <c r="H83" s="871">
        <v>0</v>
      </c>
      <c r="I83" s="871">
        <v>0</v>
      </c>
      <c r="J83" s="871">
        <v>0</v>
      </c>
      <c r="K83" s="871">
        <v>0</v>
      </c>
      <c r="L83" s="871">
        <v>0</v>
      </c>
      <c r="M83" s="871">
        <v>0</v>
      </c>
      <c r="N83" s="871">
        <v>0</v>
      </c>
      <c r="O83" s="871">
        <v>0</v>
      </c>
      <c r="P83" s="871">
        <v>0</v>
      </c>
      <c r="R83" s="871">
        <v>0</v>
      </c>
      <c r="S83" s="871">
        <v>0</v>
      </c>
      <c r="T83" s="871">
        <v>0</v>
      </c>
      <c r="U83" s="871">
        <f t="shared" si="32"/>
        <v>0</v>
      </c>
    </row>
    <row r="84" spans="1:21">
      <c r="A84" s="891">
        <f t="shared" si="27"/>
        <v>17</v>
      </c>
      <c r="B84" s="881" t="str">
        <f>IF(OR((C77="~"),(C84="~")),"~","")</f>
        <v/>
      </c>
      <c r="C84" s="881" t="str">
        <f>IF(C77="~","~","Sub-total")</f>
        <v>Sub-total</v>
      </c>
      <c r="D84" s="881"/>
      <c r="E84" s="882">
        <f>SUM(E78:E83)</f>
        <v>849154774.7867291</v>
      </c>
      <c r="F84" s="882"/>
      <c r="G84" s="882">
        <f t="shared" ref="G84:P84" si="33">SUM(G78:G83)</f>
        <v>422244516.80997378</v>
      </c>
      <c r="H84" s="882">
        <f t="shared" si="33"/>
        <v>103369034.78230684</v>
      </c>
      <c r="I84" s="882">
        <f t="shared" si="33"/>
        <v>104024464.24320534</v>
      </c>
      <c r="J84" s="882">
        <f t="shared" si="33"/>
        <v>66509890.892068252</v>
      </c>
      <c r="K84" s="882">
        <f t="shared" si="33"/>
        <v>47258777.551697455</v>
      </c>
      <c r="L84" s="882">
        <f t="shared" si="33"/>
        <v>22893284.701462839</v>
      </c>
      <c r="M84" s="882">
        <f t="shared" si="33"/>
        <v>20114572.261626877</v>
      </c>
      <c r="N84" s="882">
        <f t="shared" si="33"/>
        <v>59618583.474046066</v>
      </c>
      <c r="O84" s="882">
        <f t="shared" si="33"/>
        <v>2852925.0629345486</v>
      </c>
      <c r="P84" s="882">
        <f t="shared" si="33"/>
        <v>268725.00740718457</v>
      </c>
      <c r="R84" s="882">
        <f>SUM(R78:R83)</f>
        <v>43843434.950193234</v>
      </c>
      <c r="S84" s="882">
        <f>SUM(S78:S83)</f>
        <v>121303.7791785974</v>
      </c>
      <c r="T84" s="882">
        <f>SUM(T78:T83)</f>
        <v>3294038.8223256241</v>
      </c>
      <c r="U84" s="882">
        <f>SUM(U78:U83)</f>
        <v>0</v>
      </c>
    </row>
    <row r="85" spans="1:21">
      <c r="A85" s="890">
        <f t="shared" si="27"/>
        <v>18</v>
      </c>
      <c r="B85" s="870" t="str">
        <f>IF(OR((C77="~"),(C85="~")),"~","")</f>
        <v/>
      </c>
    </row>
    <row r="86" spans="1:21">
      <c r="A86" s="890">
        <f t="shared" si="27"/>
        <v>19</v>
      </c>
      <c r="C86" s="865" t="s">
        <v>605</v>
      </c>
    </row>
    <row r="87" spans="1:21">
      <c r="A87" s="890">
        <f t="shared" si="27"/>
        <v>20</v>
      </c>
      <c r="B87" s="870" t="str">
        <f>IF(OR((C86="~"),(C87="~")),"~","")</f>
        <v/>
      </c>
      <c r="C87" s="870" t="s">
        <v>1093</v>
      </c>
      <c r="E87" s="871">
        <f t="shared" ref="E87:E92" si="34">SUM(G87:P87)</f>
        <v>1552700879.0364532</v>
      </c>
      <c r="F87" s="871"/>
      <c r="G87" s="871">
        <v>966046915.08743072</v>
      </c>
      <c r="H87" s="871">
        <v>193525430.19120401</v>
      </c>
      <c r="I87" s="871">
        <v>177705603.01865795</v>
      </c>
      <c r="J87" s="871">
        <v>81950077.578496456</v>
      </c>
      <c r="K87" s="871">
        <v>78100937.463575095</v>
      </c>
      <c r="L87" s="871">
        <v>35941084.04237771</v>
      </c>
      <c r="M87" s="871">
        <v>14981413.072013181</v>
      </c>
      <c r="N87" s="871">
        <v>2938357.2188248145</v>
      </c>
      <c r="O87" s="871">
        <v>931196.34608718159</v>
      </c>
      <c r="P87" s="871">
        <v>579865.01778601401</v>
      </c>
      <c r="R87" s="871">
        <v>61811785.024840266</v>
      </c>
      <c r="S87" s="871">
        <v>690700.20033564023</v>
      </c>
      <c r="T87" s="871">
        <v>15598452.238399185</v>
      </c>
      <c r="U87" s="871">
        <f t="shared" ref="U87:U92" si="35">SUM(R87:T87,-K87)</f>
        <v>0</v>
      </c>
    </row>
    <row r="88" spans="1:21">
      <c r="A88" s="890">
        <f t="shared" si="27"/>
        <v>21</v>
      </c>
      <c r="B88" s="870" t="str">
        <f>IF(OR((C86="~"),(C88="~")),"~","")</f>
        <v/>
      </c>
      <c r="C88" s="870" t="s">
        <v>1094</v>
      </c>
      <c r="E88" s="871">
        <f t="shared" si="34"/>
        <v>0</v>
      </c>
      <c r="F88" s="871"/>
      <c r="G88" s="871">
        <v>0</v>
      </c>
      <c r="H88" s="871">
        <v>0</v>
      </c>
      <c r="I88" s="871">
        <v>0</v>
      </c>
      <c r="J88" s="871">
        <v>0</v>
      </c>
      <c r="K88" s="871">
        <v>0</v>
      </c>
      <c r="L88" s="871">
        <v>0</v>
      </c>
      <c r="M88" s="871">
        <v>0</v>
      </c>
      <c r="N88" s="871">
        <v>0</v>
      </c>
      <c r="O88" s="871">
        <v>0</v>
      </c>
      <c r="P88" s="871">
        <v>0</v>
      </c>
      <c r="R88" s="871">
        <v>0</v>
      </c>
      <c r="S88" s="871">
        <v>0</v>
      </c>
      <c r="T88" s="871">
        <v>0</v>
      </c>
      <c r="U88" s="871">
        <f t="shared" si="35"/>
        <v>0</v>
      </c>
    </row>
    <row r="89" spans="1:21">
      <c r="A89" s="890">
        <f t="shared" si="27"/>
        <v>22</v>
      </c>
      <c r="B89" s="870" t="str">
        <f>IF(OR((C86="~"),(C89="~")),"~","")</f>
        <v/>
      </c>
      <c r="C89" s="870" t="s">
        <v>1095</v>
      </c>
      <c r="E89" s="871">
        <f t="shared" si="34"/>
        <v>392355057.76907527</v>
      </c>
      <c r="F89" s="871"/>
      <c r="G89" s="871">
        <v>294178904.73512906</v>
      </c>
      <c r="H89" s="871">
        <v>22449802.911637794</v>
      </c>
      <c r="I89" s="871">
        <v>17462372.739987426</v>
      </c>
      <c r="J89" s="871">
        <v>4861203.3365233745</v>
      </c>
      <c r="K89" s="871">
        <v>8497138.6184894182</v>
      </c>
      <c r="L89" s="871">
        <v>1513143.8847720013</v>
      </c>
      <c r="M89" s="871">
        <v>291761.35636688489</v>
      </c>
      <c r="N89" s="871">
        <v>546374.56331074645</v>
      </c>
      <c r="O89" s="871">
        <v>42411810.333309948</v>
      </c>
      <c r="P89" s="871">
        <v>142545.28954861374</v>
      </c>
      <c r="R89" s="871">
        <v>6355574.2341719437</v>
      </c>
      <c r="S89" s="871">
        <v>14159.494310064609</v>
      </c>
      <c r="T89" s="871">
        <v>2127404.8900074111</v>
      </c>
      <c r="U89" s="871">
        <f t="shared" si="35"/>
        <v>0</v>
      </c>
    </row>
    <row r="90" spans="1:21">
      <c r="A90" s="890">
        <f t="shared" si="27"/>
        <v>23</v>
      </c>
      <c r="B90" s="870" t="str">
        <f>IF(OR((C86="~"),(C90="~")),"~","")</f>
        <v>~</v>
      </c>
      <c r="C90" s="870" t="s">
        <v>1096</v>
      </c>
      <c r="E90" s="871">
        <f t="shared" si="34"/>
        <v>0</v>
      </c>
      <c r="F90" s="871"/>
      <c r="G90" s="871">
        <v>0</v>
      </c>
      <c r="H90" s="871">
        <v>0</v>
      </c>
      <c r="I90" s="871">
        <v>0</v>
      </c>
      <c r="J90" s="871">
        <v>0</v>
      </c>
      <c r="K90" s="871">
        <v>0</v>
      </c>
      <c r="L90" s="871">
        <v>0</v>
      </c>
      <c r="M90" s="871">
        <v>0</v>
      </c>
      <c r="N90" s="871">
        <v>0</v>
      </c>
      <c r="O90" s="871">
        <v>0</v>
      </c>
      <c r="P90" s="871">
        <v>0</v>
      </c>
      <c r="R90" s="871">
        <v>0</v>
      </c>
      <c r="S90" s="871">
        <v>0</v>
      </c>
      <c r="T90" s="871">
        <v>0</v>
      </c>
      <c r="U90" s="871">
        <f t="shared" si="35"/>
        <v>0</v>
      </c>
    </row>
    <row r="91" spans="1:21">
      <c r="A91" s="890">
        <f t="shared" si="27"/>
        <v>24</v>
      </c>
      <c r="B91" s="870" t="str">
        <f>IF(OR((C86="~"),(C91="~")),"~","")</f>
        <v>~</v>
      </c>
      <c r="C91" s="870" t="s">
        <v>1096</v>
      </c>
      <c r="E91" s="871">
        <f t="shared" si="34"/>
        <v>0</v>
      </c>
      <c r="F91" s="871"/>
      <c r="G91" s="871">
        <v>0</v>
      </c>
      <c r="H91" s="871">
        <v>0</v>
      </c>
      <c r="I91" s="871">
        <v>0</v>
      </c>
      <c r="J91" s="871">
        <v>0</v>
      </c>
      <c r="K91" s="871">
        <v>0</v>
      </c>
      <c r="L91" s="871">
        <v>0</v>
      </c>
      <c r="M91" s="871">
        <v>0</v>
      </c>
      <c r="N91" s="871">
        <v>0</v>
      </c>
      <c r="O91" s="871">
        <v>0</v>
      </c>
      <c r="P91" s="871">
        <v>0</v>
      </c>
      <c r="R91" s="871">
        <v>0</v>
      </c>
      <c r="S91" s="871">
        <v>0</v>
      </c>
      <c r="T91" s="871">
        <v>0</v>
      </c>
      <c r="U91" s="871">
        <f t="shared" si="35"/>
        <v>0</v>
      </c>
    </row>
    <row r="92" spans="1:21">
      <c r="A92" s="890">
        <f t="shared" si="27"/>
        <v>25</v>
      </c>
      <c r="B92" s="870" t="str">
        <f>IF(OR((C86="~"),(C92="~")),"~","")</f>
        <v>~</v>
      </c>
      <c r="C92" s="870" t="s">
        <v>1096</v>
      </c>
      <c r="E92" s="871">
        <f t="shared" si="34"/>
        <v>0</v>
      </c>
      <c r="F92" s="871"/>
      <c r="G92" s="871">
        <v>0</v>
      </c>
      <c r="H92" s="871">
        <v>0</v>
      </c>
      <c r="I92" s="871">
        <v>0</v>
      </c>
      <c r="J92" s="871">
        <v>0</v>
      </c>
      <c r="K92" s="871">
        <v>0</v>
      </c>
      <c r="L92" s="871">
        <v>0</v>
      </c>
      <c r="M92" s="871">
        <v>0</v>
      </c>
      <c r="N92" s="871">
        <v>0</v>
      </c>
      <c r="O92" s="871">
        <v>0</v>
      </c>
      <c r="P92" s="871">
        <v>0</v>
      </c>
      <c r="R92" s="871">
        <v>0</v>
      </c>
      <c r="S92" s="871">
        <v>0</v>
      </c>
      <c r="T92" s="871">
        <v>0</v>
      </c>
      <c r="U92" s="871">
        <f t="shared" si="35"/>
        <v>0</v>
      </c>
    </row>
    <row r="93" spans="1:21">
      <c r="A93" s="891">
        <f t="shared" si="27"/>
        <v>26</v>
      </c>
      <c r="B93" s="881" t="str">
        <f>IF(OR((C86="~"),(C93="~")),"~","")</f>
        <v/>
      </c>
      <c r="C93" s="881" t="str">
        <f>IF(C86="~","~","Sub-total")</f>
        <v>Sub-total</v>
      </c>
      <c r="D93" s="881"/>
      <c r="E93" s="882">
        <f>SUM(E87:E92)</f>
        <v>1945055936.8055286</v>
      </c>
      <c r="F93" s="882"/>
      <c r="G93" s="882">
        <f t="shared" ref="G93:P93" si="36">SUM(G87:G92)</f>
        <v>1260225819.8225598</v>
      </c>
      <c r="H93" s="882">
        <f t="shared" si="36"/>
        <v>215975233.10284179</v>
      </c>
      <c r="I93" s="882">
        <f t="shared" si="36"/>
        <v>195167975.75864539</v>
      </c>
      <c r="J93" s="882">
        <f t="shared" si="36"/>
        <v>86811280.915019825</v>
      </c>
      <c r="K93" s="882">
        <f t="shared" si="36"/>
        <v>86598076.082064509</v>
      </c>
      <c r="L93" s="882">
        <f t="shared" si="36"/>
        <v>37454227.927149713</v>
      </c>
      <c r="M93" s="882">
        <f t="shared" si="36"/>
        <v>15273174.428380065</v>
      </c>
      <c r="N93" s="882">
        <f t="shared" si="36"/>
        <v>3484731.7821355611</v>
      </c>
      <c r="O93" s="882">
        <f t="shared" si="36"/>
        <v>43343006.679397129</v>
      </c>
      <c r="P93" s="882">
        <f t="shared" si="36"/>
        <v>722410.30733462772</v>
      </c>
      <c r="R93" s="882">
        <f>SUM(R87:R92)</f>
        <v>68167359.259012207</v>
      </c>
      <c r="S93" s="882">
        <f>SUM(S87:S92)</f>
        <v>704859.69464570482</v>
      </c>
      <c r="T93" s="882">
        <f>SUM(T87:T92)</f>
        <v>17725857.128406595</v>
      </c>
      <c r="U93" s="882">
        <f>SUM(U87:U92)</f>
        <v>0</v>
      </c>
    </row>
    <row r="94" spans="1:21" hidden="1">
      <c r="A94" s="890"/>
      <c r="B94" s="870" t="str">
        <f>IF(OR((C86="~"),(C94="~")),"~","")</f>
        <v/>
      </c>
    </row>
    <row r="95" spans="1:21" hidden="1">
      <c r="A95" s="890"/>
      <c r="B95" s="870" t="s">
        <v>1096</v>
      </c>
      <c r="C95" s="865"/>
    </row>
    <row r="96" spans="1:21" hidden="1">
      <c r="A96" s="890"/>
      <c r="B96" s="870" t="str">
        <f>IF(OR((B95="~"),(C96="~")),"~","")</f>
        <v>~</v>
      </c>
      <c r="C96" s="870" t="s">
        <v>1096</v>
      </c>
      <c r="E96" s="871">
        <f t="shared" ref="E96:E101" si="37">SUM(G96:P96)</f>
        <v>0</v>
      </c>
      <c r="F96" s="871"/>
      <c r="G96" s="871">
        <v>0</v>
      </c>
      <c r="H96" s="871">
        <v>0</v>
      </c>
      <c r="I96" s="871">
        <v>0</v>
      </c>
      <c r="J96" s="871">
        <v>0</v>
      </c>
      <c r="K96" s="871">
        <v>0</v>
      </c>
      <c r="L96" s="871">
        <v>0</v>
      </c>
      <c r="M96" s="871">
        <v>0</v>
      </c>
      <c r="N96" s="871">
        <v>0</v>
      </c>
      <c r="O96" s="871">
        <v>0</v>
      </c>
      <c r="P96" s="871">
        <v>0</v>
      </c>
      <c r="R96" s="871">
        <v>0</v>
      </c>
      <c r="S96" s="871">
        <v>0</v>
      </c>
      <c r="T96" s="871">
        <v>0</v>
      </c>
      <c r="U96" s="871">
        <v>0</v>
      </c>
    </row>
    <row r="97" spans="1:21" hidden="1">
      <c r="A97" s="890"/>
      <c r="B97" s="870" t="str">
        <f>IF(OR((B95="~"),(C97="~")),"~","")</f>
        <v>~</v>
      </c>
      <c r="C97" s="870" t="s">
        <v>1096</v>
      </c>
      <c r="E97" s="871">
        <f t="shared" si="37"/>
        <v>0</v>
      </c>
      <c r="F97" s="871"/>
      <c r="G97" s="871">
        <v>0</v>
      </c>
      <c r="H97" s="871">
        <v>0</v>
      </c>
      <c r="I97" s="871">
        <v>0</v>
      </c>
      <c r="J97" s="871">
        <v>0</v>
      </c>
      <c r="K97" s="871">
        <v>0</v>
      </c>
      <c r="L97" s="871">
        <v>0</v>
      </c>
      <c r="M97" s="871">
        <v>0</v>
      </c>
      <c r="N97" s="871">
        <v>0</v>
      </c>
      <c r="O97" s="871">
        <v>0</v>
      </c>
      <c r="P97" s="871">
        <v>0</v>
      </c>
      <c r="R97" s="871">
        <v>0</v>
      </c>
      <c r="S97" s="871">
        <v>0</v>
      </c>
      <c r="T97" s="871">
        <v>0</v>
      </c>
      <c r="U97" s="871">
        <v>0</v>
      </c>
    </row>
    <row r="98" spans="1:21" hidden="1">
      <c r="A98" s="890"/>
      <c r="B98" s="870" t="str">
        <f>IF(OR((B95="~"),(C98="~")),"~","")</f>
        <v>~</v>
      </c>
      <c r="C98" s="870" t="s">
        <v>1096</v>
      </c>
      <c r="E98" s="871">
        <f t="shared" si="37"/>
        <v>0</v>
      </c>
      <c r="F98" s="871"/>
      <c r="G98" s="871">
        <v>0</v>
      </c>
      <c r="H98" s="871">
        <v>0</v>
      </c>
      <c r="I98" s="871">
        <v>0</v>
      </c>
      <c r="J98" s="871">
        <v>0</v>
      </c>
      <c r="K98" s="871">
        <v>0</v>
      </c>
      <c r="L98" s="871">
        <v>0</v>
      </c>
      <c r="M98" s="871">
        <v>0</v>
      </c>
      <c r="N98" s="871">
        <v>0</v>
      </c>
      <c r="O98" s="871">
        <v>0</v>
      </c>
      <c r="P98" s="871">
        <v>0</v>
      </c>
      <c r="R98" s="871">
        <v>0</v>
      </c>
      <c r="S98" s="871">
        <v>0</v>
      </c>
      <c r="T98" s="871">
        <v>0</v>
      </c>
      <c r="U98" s="871">
        <v>0</v>
      </c>
    </row>
    <row r="99" spans="1:21" hidden="1">
      <c r="A99" s="890"/>
      <c r="B99" s="870" t="str">
        <f>IF(OR((B95="~"),(C99="~")),"~","")</f>
        <v>~</v>
      </c>
      <c r="C99" s="870" t="s">
        <v>1096</v>
      </c>
      <c r="E99" s="871">
        <f t="shared" si="37"/>
        <v>0</v>
      </c>
      <c r="F99" s="871"/>
      <c r="G99" s="871">
        <v>0</v>
      </c>
      <c r="H99" s="871">
        <v>0</v>
      </c>
      <c r="I99" s="871">
        <v>0</v>
      </c>
      <c r="J99" s="871">
        <v>0</v>
      </c>
      <c r="K99" s="871">
        <v>0</v>
      </c>
      <c r="L99" s="871">
        <v>0</v>
      </c>
      <c r="M99" s="871">
        <v>0</v>
      </c>
      <c r="N99" s="871">
        <v>0</v>
      </c>
      <c r="O99" s="871">
        <v>0</v>
      </c>
      <c r="P99" s="871">
        <v>0</v>
      </c>
      <c r="R99" s="871">
        <v>0</v>
      </c>
      <c r="S99" s="871">
        <v>0</v>
      </c>
      <c r="T99" s="871">
        <v>0</v>
      </c>
      <c r="U99" s="871">
        <v>0</v>
      </c>
    </row>
    <row r="100" spans="1:21" hidden="1">
      <c r="A100" s="890"/>
      <c r="B100" s="870" t="str">
        <f>IF(OR((B95="~"),(C100="~")),"~","")</f>
        <v>~</v>
      </c>
      <c r="C100" s="870" t="s">
        <v>1096</v>
      </c>
      <c r="E100" s="871">
        <f t="shared" si="37"/>
        <v>0</v>
      </c>
      <c r="F100" s="871"/>
      <c r="G100" s="871">
        <v>0</v>
      </c>
      <c r="H100" s="871">
        <v>0</v>
      </c>
      <c r="I100" s="871">
        <v>0</v>
      </c>
      <c r="J100" s="871">
        <v>0</v>
      </c>
      <c r="K100" s="871">
        <v>0</v>
      </c>
      <c r="L100" s="871">
        <v>0</v>
      </c>
      <c r="M100" s="871">
        <v>0</v>
      </c>
      <c r="N100" s="871">
        <v>0</v>
      </c>
      <c r="O100" s="871">
        <v>0</v>
      </c>
      <c r="P100" s="871">
        <v>0</v>
      </c>
      <c r="R100" s="871">
        <v>0</v>
      </c>
      <c r="S100" s="871">
        <v>0</v>
      </c>
      <c r="T100" s="871">
        <v>0</v>
      </c>
      <c r="U100" s="871">
        <v>0</v>
      </c>
    </row>
    <row r="101" spans="1:21" hidden="1">
      <c r="A101" s="890"/>
      <c r="B101" s="870" t="str">
        <f>IF(OR((B95="~"),(C101="~")),"~","")</f>
        <v>~</v>
      </c>
      <c r="C101" s="870" t="s">
        <v>1096</v>
      </c>
      <c r="E101" s="871">
        <f t="shared" si="37"/>
        <v>0</v>
      </c>
      <c r="F101" s="871"/>
      <c r="G101" s="871">
        <v>0</v>
      </c>
      <c r="H101" s="871">
        <v>0</v>
      </c>
      <c r="I101" s="871">
        <v>0</v>
      </c>
      <c r="J101" s="871">
        <v>0</v>
      </c>
      <c r="K101" s="871">
        <v>0</v>
      </c>
      <c r="L101" s="871">
        <v>0</v>
      </c>
      <c r="M101" s="871">
        <v>0</v>
      </c>
      <c r="N101" s="871">
        <v>0</v>
      </c>
      <c r="O101" s="871">
        <v>0</v>
      </c>
      <c r="P101" s="871">
        <v>0</v>
      </c>
      <c r="R101" s="871">
        <v>0</v>
      </c>
      <c r="S101" s="871">
        <v>0</v>
      </c>
      <c r="T101" s="871">
        <v>0</v>
      </c>
      <c r="U101" s="871">
        <v>0</v>
      </c>
    </row>
    <row r="102" spans="1:21" hidden="1">
      <c r="A102" s="891"/>
      <c r="B102" s="881" t="str">
        <f>IF(OR((B95="~"),(C102="~")),"~","")</f>
        <v>~</v>
      </c>
      <c r="C102" s="881" t="str">
        <f>IF(B95="~","~","Sub-total")</f>
        <v>~</v>
      </c>
      <c r="D102" s="881"/>
      <c r="E102" s="882">
        <f>SUM(E96:E101)</f>
        <v>0</v>
      </c>
      <c r="F102" s="882"/>
      <c r="G102" s="882">
        <f t="shared" ref="G102:P102" si="38">SUM(G96:G101)</f>
        <v>0</v>
      </c>
      <c r="H102" s="882">
        <f t="shared" si="38"/>
        <v>0</v>
      </c>
      <c r="I102" s="882">
        <f t="shared" si="38"/>
        <v>0</v>
      </c>
      <c r="J102" s="882">
        <f t="shared" si="38"/>
        <v>0</v>
      </c>
      <c r="K102" s="882">
        <f t="shared" si="38"/>
        <v>0</v>
      </c>
      <c r="L102" s="882">
        <f t="shared" si="38"/>
        <v>0</v>
      </c>
      <c r="M102" s="882">
        <f t="shared" si="38"/>
        <v>0</v>
      </c>
      <c r="N102" s="882">
        <f t="shared" si="38"/>
        <v>0</v>
      </c>
      <c r="O102" s="882">
        <f t="shared" si="38"/>
        <v>0</v>
      </c>
      <c r="P102" s="882">
        <f t="shared" si="38"/>
        <v>0</v>
      </c>
      <c r="R102" s="882">
        <f>SUM(R96:R101)</f>
        <v>0</v>
      </c>
      <c r="S102" s="882">
        <f>SUM(S96:S101)</f>
        <v>0</v>
      </c>
      <c r="T102" s="882">
        <f>SUM(T96:T101)</f>
        <v>0</v>
      </c>
      <c r="U102" s="882">
        <f>SUM(U96:U101)</f>
        <v>0</v>
      </c>
    </row>
    <row r="103" spans="1:21" hidden="1">
      <c r="A103" s="890"/>
      <c r="B103" s="870" t="str">
        <f>IF(OR((B95="~"),(C103="~")),"~","")</f>
        <v>~</v>
      </c>
      <c r="C103" s="865"/>
    </row>
    <row r="104" spans="1:21" hidden="1">
      <c r="A104" s="890"/>
      <c r="B104" s="870" t="s">
        <v>1096</v>
      </c>
      <c r="C104" s="865"/>
    </row>
    <row r="105" spans="1:21" hidden="1">
      <c r="A105" s="890"/>
      <c r="B105" s="870" t="str">
        <f>IF(OR((B104="~"),(C105="~")),"~","")</f>
        <v>~</v>
      </c>
      <c r="C105" s="870" t="s">
        <v>1096</v>
      </c>
      <c r="E105" s="871">
        <f t="shared" ref="E105:E110" si="39">SUM(G105:P105)</f>
        <v>0</v>
      </c>
      <c r="F105" s="871"/>
      <c r="G105" s="871">
        <v>0</v>
      </c>
      <c r="H105" s="871">
        <v>0</v>
      </c>
      <c r="I105" s="871">
        <v>0</v>
      </c>
      <c r="J105" s="871">
        <v>0</v>
      </c>
      <c r="K105" s="871">
        <v>0</v>
      </c>
      <c r="L105" s="871">
        <v>0</v>
      </c>
      <c r="M105" s="871">
        <v>0</v>
      </c>
      <c r="N105" s="871">
        <v>0</v>
      </c>
      <c r="O105" s="871">
        <v>0</v>
      </c>
      <c r="P105" s="871">
        <v>0</v>
      </c>
      <c r="R105" s="871">
        <v>0</v>
      </c>
      <c r="S105" s="871">
        <v>0</v>
      </c>
      <c r="T105" s="871">
        <v>0</v>
      </c>
      <c r="U105" s="871">
        <v>0</v>
      </c>
    </row>
    <row r="106" spans="1:21" hidden="1">
      <c r="A106" s="890"/>
      <c r="B106" s="870" t="str">
        <f>IF(OR((B104="~"),(C106="~")),"~","")</f>
        <v>~</v>
      </c>
      <c r="C106" s="870" t="s">
        <v>1096</v>
      </c>
      <c r="E106" s="871">
        <f t="shared" si="39"/>
        <v>0</v>
      </c>
      <c r="F106" s="871"/>
      <c r="G106" s="871">
        <v>0</v>
      </c>
      <c r="H106" s="871">
        <v>0</v>
      </c>
      <c r="I106" s="871">
        <v>0</v>
      </c>
      <c r="J106" s="871">
        <v>0</v>
      </c>
      <c r="K106" s="871">
        <v>0</v>
      </c>
      <c r="L106" s="871">
        <v>0</v>
      </c>
      <c r="M106" s="871">
        <v>0</v>
      </c>
      <c r="N106" s="871">
        <v>0</v>
      </c>
      <c r="O106" s="871">
        <v>0</v>
      </c>
      <c r="P106" s="871">
        <v>0</v>
      </c>
      <c r="R106" s="871">
        <v>0</v>
      </c>
      <c r="S106" s="871">
        <v>0</v>
      </c>
      <c r="T106" s="871">
        <v>0</v>
      </c>
      <c r="U106" s="871">
        <v>0</v>
      </c>
    </row>
    <row r="107" spans="1:21" hidden="1">
      <c r="A107" s="890"/>
      <c r="B107" s="870" t="str">
        <f>IF(OR((B104="~"),(C107="~")),"~","")</f>
        <v>~</v>
      </c>
      <c r="C107" s="870" t="s">
        <v>1096</v>
      </c>
      <c r="E107" s="871">
        <f t="shared" si="39"/>
        <v>0</v>
      </c>
      <c r="F107" s="871"/>
      <c r="G107" s="871">
        <v>0</v>
      </c>
      <c r="H107" s="871">
        <v>0</v>
      </c>
      <c r="I107" s="871">
        <v>0</v>
      </c>
      <c r="J107" s="871">
        <v>0</v>
      </c>
      <c r="K107" s="871">
        <v>0</v>
      </c>
      <c r="L107" s="871">
        <v>0</v>
      </c>
      <c r="M107" s="871">
        <v>0</v>
      </c>
      <c r="N107" s="871">
        <v>0</v>
      </c>
      <c r="O107" s="871">
        <v>0</v>
      </c>
      <c r="P107" s="871">
        <v>0</v>
      </c>
      <c r="R107" s="871">
        <v>0</v>
      </c>
      <c r="S107" s="871">
        <v>0</v>
      </c>
      <c r="T107" s="871">
        <v>0</v>
      </c>
      <c r="U107" s="871">
        <v>0</v>
      </c>
    </row>
    <row r="108" spans="1:21" hidden="1">
      <c r="A108" s="890"/>
      <c r="B108" s="870" t="str">
        <f>IF(OR((B104="~"),(C108="~")),"~","")</f>
        <v>~</v>
      </c>
      <c r="C108" s="870" t="s">
        <v>1096</v>
      </c>
      <c r="E108" s="871">
        <f t="shared" si="39"/>
        <v>0</v>
      </c>
      <c r="F108" s="871"/>
      <c r="G108" s="871">
        <v>0</v>
      </c>
      <c r="H108" s="871">
        <v>0</v>
      </c>
      <c r="I108" s="871">
        <v>0</v>
      </c>
      <c r="J108" s="871">
        <v>0</v>
      </c>
      <c r="K108" s="871">
        <v>0</v>
      </c>
      <c r="L108" s="871">
        <v>0</v>
      </c>
      <c r="M108" s="871">
        <v>0</v>
      </c>
      <c r="N108" s="871">
        <v>0</v>
      </c>
      <c r="O108" s="871">
        <v>0</v>
      </c>
      <c r="P108" s="871">
        <v>0</v>
      </c>
      <c r="R108" s="871">
        <v>0</v>
      </c>
      <c r="S108" s="871">
        <v>0</v>
      </c>
      <c r="T108" s="871">
        <v>0</v>
      </c>
      <c r="U108" s="871">
        <v>0</v>
      </c>
    </row>
    <row r="109" spans="1:21" hidden="1">
      <c r="A109" s="890"/>
      <c r="B109" s="870" t="str">
        <f>IF(OR((B104="~"),(C109="~")),"~","")</f>
        <v>~</v>
      </c>
      <c r="C109" s="870" t="s">
        <v>1096</v>
      </c>
      <c r="E109" s="871">
        <f t="shared" si="39"/>
        <v>0</v>
      </c>
      <c r="F109" s="871"/>
      <c r="G109" s="871">
        <v>0</v>
      </c>
      <c r="H109" s="871">
        <v>0</v>
      </c>
      <c r="I109" s="871">
        <v>0</v>
      </c>
      <c r="J109" s="871">
        <v>0</v>
      </c>
      <c r="K109" s="871">
        <v>0</v>
      </c>
      <c r="L109" s="871">
        <v>0</v>
      </c>
      <c r="M109" s="871">
        <v>0</v>
      </c>
      <c r="N109" s="871">
        <v>0</v>
      </c>
      <c r="O109" s="871">
        <v>0</v>
      </c>
      <c r="P109" s="871">
        <v>0</v>
      </c>
      <c r="R109" s="871">
        <v>0</v>
      </c>
      <c r="S109" s="871">
        <v>0</v>
      </c>
      <c r="T109" s="871">
        <v>0</v>
      </c>
      <c r="U109" s="871">
        <v>0</v>
      </c>
    </row>
    <row r="110" spans="1:21" hidden="1">
      <c r="A110" s="890"/>
      <c r="B110" s="870" t="str">
        <f>IF(OR((B104="~"),(C110="~")),"~","")</f>
        <v>~</v>
      </c>
      <c r="C110" s="870" t="s">
        <v>1096</v>
      </c>
      <c r="E110" s="871">
        <f t="shared" si="39"/>
        <v>0</v>
      </c>
      <c r="F110" s="871"/>
      <c r="G110" s="871">
        <v>0</v>
      </c>
      <c r="H110" s="871">
        <v>0</v>
      </c>
      <c r="I110" s="871">
        <v>0</v>
      </c>
      <c r="J110" s="871">
        <v>0</v>
      </c>
      <c r="K110" s="871">
        <v>0</v>
      </c>
      <c r="L110" s="871">
        <v>0</v>
      </c>
      <c r="M110" s="871">
        <v>0</v>
      </c>
      <c r="N110" s="871">
        <v>0</v>
      </c>
      <c r="O110" s="871">
        <v>0</v>
      </c>
      <c r="P110" s="871">
        <v>0</v>
      </c>
      <c r="R110" s="871">
        <v>0</v>
      </c>
      <c r="S110" s="871">
        <v>0</v>
      </c>
      <c r="T110" s="871">
        <v>0</v>
      </c>
      <c r="U110" s="871">
        <v>0</v>
      </c>
    </row>
    <row r="111" spans="1:21" hidden="1">
      <c r="A111" s="891"/>
      <c r="B111" s="881" t="str">
        <f>IF(OR((B104="~"),(C111="~")),"~","")</f>
        <v>~</v>
      </c>
      <c r="C111" s="881" t="str">
        <f>IF(B104="~","~","Sub-total")</f>
        <v>~</v>
      </c>
      <c r="D111" s="881"/>
      <c r="E111" s="882">
        <f>SUM(E105:E110)</f>
        <v>0</v>
      </c>
      <c r="F111" s="882"/>
      <c r="G111" s="882">
        <f t="shared" ref="G111:P111" si="40">SUM(G105:G110)</f>
        <v>0</v>
      </c>
      <c r="H111" s="882">
        <f t="shared" si="40"/>
        <v>0</v>
      </c>
      <c r="I111" s="882">
        <f t="shared" si="40"/>
        <v>0</v>
      </c>
      <c r="J111" s="882">
        <f t="shared" si="40"/>
        <v>0</v>
      </c>
      <c r="K111" s="882">
        <f t="shared" si="40"/>
        <v>0</v>
      </c>
      <c r="L111" s="882">
        <f t="shared" si="40"/>
        <v>0</v>
      </c>
      <c r="M111" s="882">
        <f t="shared" si="40"/>
        <v>0</v>
      </c>
      <c r="N111" s="882">
        <f t="shared" si="40"/>
        <v>0</v>
      </c>
      <c r="O111" s="882">
        <f t="shared" si="40"/>
        <v>0</v>
      </c>
      <c r="P111" s="882">
        <f t="shared" si="40"/>
        <v>0</v>
      </c>
      <c r="R111" s="882">
        <f>SUM(R105:R110)</f>
        <v>0</v>
      </c>
      <c r="S111" s="882">
        <f>SUM(S105:S110)</f>
        <v>0</v>
      </c>
      <c r="T111" s="882">
        <f>SUM(T105:T110)</f>
        <v>0</v>
      </c>
      <c r="U111" s="882">
        <f>SUM(U105:U110)</f>
        <v>0</v>
      </c>
    </row>
    <row r="112" spans="1:21" hidden="1">
      <c r="A112" s="890"/>
      <c r="B112" s="870" t="str">
        <f>IF(OR((B104="~"),(C112="~")),"~","")</f>
        <v>~</v>
      </c>
      <c r="C112" s="865"/>
    </row>
    <row r="113" spans="1:21" hidden="1">
      <c r="A113" s="890"/>
      <c r="B113" s="870" t="s">
        <v>1096</v>
      </c>
      <c r="C113" s="865"/>
    </row>
    <row r="114" spans="1:21" hidden="1">
      <c r="A114" s="890"/>
      <c r="B114" s="870" t="str">
        <f>IF(OR((B113="~"),(C114="~")),"~","")</f>
        <v>~</v>
      </c>
      <c r="C114" s="870" t="s">
        <v>1096</v>
      </c>
      <c r="E114" s="871">
        <f t="shared" ref="E114:E119" si="41">SUM(G114:P114)</f>
        <v>0</v>
      </c>
      <c r="F114" s="871"/>
      <c r="G114" s="871">
        <v>0</v>
      </c>
      <c r="H114" s="871">
        <v>0</v>
      </c>
      <c r="I114" s="871">
        <v>0</v>
      </c>
      <c r="J114" s="871">
        <v>0</v>
      </c>
      <c r="K114" s="871">
        <v>0</v>
      </c>
      <c r="L114" s="871">
        <v>0</v>
      </c>
      <c r="M114" s="871">
        <v>0</v>
      </c>
      <c r="N114" s="871">
        <v>0</v>
      </c>
      <c r="O114" s="871">
        <v>0</v>
      </c>
      <c r="P114" s="871">
        <v>0</v>
      </c>
      <c r="R114" s="871">
        <v>0</v>
      </c>
      <c r="S114" s="871">
        <v>0</v>
      </c>
      <c r="T114" s="871">
        <v>0</v>
      </c>
      <c r="U114" s="871">
        <v>0</v>
      </c>
    </row>
    <row r="115" spans="1:21" hidden="1">
      <c r="A115" s="890"/>
      <c r="B115" s="870" t="str">
        <f>IF(OR((B113="~"),(C115="~")),"~","")</f>
        <v>~</v>
      </c>
      <c r="C115" s="870" t="s">
        <v>1096</v>
      </c>
      <c r="E115" s="871">
        <f t="shared" si="41"/>
        <v>0</v>
      </c>
      <c r="F115" s="871"/>
      <c r="G115" s="871">
        <v>0</v>
      </c>
      <c r="H115" s="871">
        <v>0</v>
      </c>
      <c r="I115" s="871">
        <v>0</v>
      </c>
      <c r="J115" s="871">
        <v>0</v>
      </c>
      <c r="K115" s="871">
        <v>0</v>
      </c>
      <c r="L115" s="871">
        <v>0</v>
      </c>
      <c r="M115" s="871">
        <v>0</v>
      </c>
      <c r="N115" s="871">
        <v>0</v>
      </c>
      <c r="O115" s="871">
        <v>0</v>
      </c>
      <c r="P115" s="871">
        <v>0</v>
      </c>
      <c r="R115" s="871">
        <v>0</v>
      </c>
      <c r="S115" s="871">
        <v>0</v>
      </c>
      <c r="T115" s="871">
        <v>0</v>
      </c>
      <c r="U115" s="871">
        <v>0</v>
      </c>
    </row>
    <row r="116" spans="1:21" hidden="1">
      <c r="A116" s="890"/>
      <c r="B116" s="870" t="str">
        <f>IF(OR((B113="~"),(C116="~")),"~","")</f>
        <v>~</v>
      </c>
      <c r="C116" s="870" t="s">
        <v>1096</v>
      </c>
      <c r="E116" s="871">
        <f t="shared" si="41"/>
        <v>0</v>
      </c>
      <c r="F116" s="871"/>
      <c r="G116" s="871">
        <v>0</v>
      </c>
      <c r="H116" s="871">
        <v>0</v>
      </c>
      <c r="I116" s="871">
        <v>0</v>
      </c>
      <c r="J116" s="871">
        <v>0</v>
      </c>
      <c r="K116" s="871">
        <v>0</v>
      </c>
      <c r="L116" s="871">
        <v>0</v>
      </c>
      <c r="M116" s="871">
        <v>0</v>
      </c>
      <c r="N116" s="871">
        <v>0</v>
      </c>
      <c r="O116" s="871">
        <v>0</v>
      </c>
      <c r="P116" s="871">
        <v>0</v>
      </c>
      <c r="R116" s="871">
        <v>0</v>
      </c>
      <c r="S116" s="871">
        <v>0</v>
      </c>
      <c r="T116" s="871">
        <v>0</v>
      </c>
      <c r="U116" s="871">
        <v>0</v>
      </c>
    </row>
    <row r="117" spans="1:21" hidden="1">
      <c r="A117" s="890"/>
      <c r="B117" s="870" t="str">
        <f>IF(OR((B113="~"),(C117="~")),"~","")</f>
        <v>~</v>
      </c>
      <c r="C117" s="870" t="s">
        <v>1096</v>
      </c>
      <c r="E117" s="871">
        <f t="shared" si="41"/>
        <v>0</v>
      </c>
      <c r="F117" s="871"/>
      <c r="G117" s="871">
        <v>0</v>
      </c>
      <c r="H117" s="871">
        <v>0</v>
      </c>
      <c r="I117" s="871">
        <v>0</v>
      </c>
      <c r="J117" s="871">
        <v>0</v>
      </c>
      <c r="K117" s="871">
        <v>0</v>
      </c>
      <c r="L117" s="871">
        <v>0</v>
      </c>
      <c r="M117" s="871">
        <v>0</v>
      </c>
      <c r="N117" s="871">
        <v>0</v>
      </c>
      <c r="O117" s="871">
        <v>0</v>
      </c>
      <c r="P117" s="871">
        <v>0</v>
      </c>
      <c r="R117" s="871">
        <v>0</v>
      </c>
      <c r="S117" s="871">
        <v>0</v>
      </c>
      <c r="T117" s="871">
        <v>0</v>
      </c>
      <c r="U117" s="871">
        <v>0</v>
      </c>
    </row>
    <row r="118" spans="1:21" hidden="1">
      <c r="A118" s="890"/>
      <c r="B118" s="870" t="str">
        <f>IF(OR((B113="~"),(C118="~")),"~","")</f>
        <v>~</v>
      </c>
      <c r="C118" s="870" t="s">
        <v>1096</v>
      </c>
      <c r="E118" s="871">
        <f t="shared" si="41"/>
        <v>0</v>
      </c>
      <c r="F118" s="871"/>
      <c r="G118" s="871">
        <v>0</v>
      </c>
      <c r="H118" s="871">
        <v>0</v>
      </c>
      <c r="I118" s="871">
        <v>0</v>
      </c>
      <c r="J118" s="871">
        <v>0</v>
      </c>
      <c r="K118" s="871">
        <v>0</v>
      </c>
      <c r="L118" s="871">
        <v>0</v>
      </c>
      <c r="M118" s="871">
        <v>0</v>
      </c>
      <c r="N118" s="871">
        <v>0</v>
      </c>
      <c r="O118" s="871">
        <v>0</v>
      </c>
      <c r="P118" s="871">
        <v>0</v>
      </c>
      <c r="R118" s="871">
        <v>0</v>
      </c>
      <c r="S118" s="871">
        <v>0</v>
      </c>
      <c r="T118" s="871">
        <v>0</v>
      </c>
      <c r="U118" s="871">
        <v>0</v>
      </c>
    </row>
    <row r="119" spans="1:21" hidden="1">
      <c r="A119" s="890"/>
      <c r="B119" s="870" t="str">
        <f>IF(OR((B113="~"),(C119="~")),"~","")</f>
        <v>~</v>
      </c>
      <c r="C119" s="870" t="s">
        <v>1096</v>
      </c>
      <c r="E119" s="871">
        <f t="shared" si="41"/>
        <v>0</v>
      </c>
      <c r="F119" s="871"/>
      <c r="G119" s="871">
        <v>0</v>
      </c>
      <c r="H119" s="871">
        <v>0</v>
      </c>
      <c r="I119" s="871">
        <v>0</v>
      </c>
      <c r="J119" s="871">
        <v>0</v>
      </c>
      <c r="K119" s="871">
        <v>0</v>
      </c>
      <c r="L119" s="871">
        <v>0</v>
      </c>
      <c r="M119" s="871">
        <v>0</v>
      </c>
      <c r="N119" s="871">
        <v>0</v>
      </c>
      <c r="O119" s="871">
        <v>0</v>
      </c>
      <c r="P119" s="871">
        <v>0</v>
      </c>
      <c r="R119" s="871">
        <v>0</v>
      </c>
      <c r="S119" s="871">
        <v>0</v>
      </c>
      <c r="T119" s="871">
        <v>0</v>
      </c>
      <c r="U119" s="871">
        <v>0</v>
      </c>
    </row>
    <row r="120" spans="1:21" hidden="1">
      <c r="A120" s="891"/>
      <c r="B120" s="881" t="str">
        <f>IF(OR((B113="~"),(C120="~")),"~","")</f>
        <v>~</v>
      </c>
      <c r="C120" s="881" t="str">
        <f>IF(B113="~","~","Sub-total")</f>
        <v>~</v>
      </c>
      <c r="D120" s="881"/>
      <c r="E120" s="882">
        <f>SUM(E114:E119)</f>
        <v>0</v>
      </c>
      <c r="F120" s="882"/>
      <c r="G120" s="882">
        <f t="shared" ref="G120:P120" si="42">SUM(G114:G119)</f>
        <v>0</v>
      </c>
      <c r="H120" s="882">
        <f t="shared" si="42"/>
        <v>0</v>
      </c>
      <c r="I120" s="882">
        <f t="shared" si="42"/>
        <v>0</v>
      </c>
      <c r="J120" s="882">
        <f t="shared" si="42"/>
        <v>0</v>
      </c>
      <c r="K120" s="882">
        <f t="shared" si="42"/>
        <v>0</v>
      </c>
      <c r="L120" s="882">
        <f t="shared" si="42"/>
        <v>0</v>
      </c>
      <c r="M120" s="882">
        <f t="shared" si="42"/>
        <v>0</v>
      </c>
      <c r="N120" s="882">
        <f t="shared" si="42"/>
        <v>0</v>
      </c>
      <c r="O120" s="882">
        <f t="shared" si="42"/>
        <v>0</v>
      </c>
      <c r="P120" s="882">
        <f t="shared" si="42"/>
        <v>0</v>
      </c>
      <c r="R120" s="882">
        <f>SUM(R114:R119)</f>
        <v>0</v>
      </c>
      <c r="S120" s="882">
        <f>SUM(S114:S119)</f>
        <v>0</v>
      </c>
      <c r="T120" s="882">
        <f>SUM(T114:T119)</f>
        <v>0</v>
      </c>
      <c r="U120" s="882">
        <f>SUM(U114:U119)</f>
        <v>0</v>
      </c>
    </row>
    <row r="121" spans="1:21" hidden="1">
      <c r="A121" s="890"/>
      <c r="B121" s="870" t="str">
        <f>IF(OR((B113="~"),(C121="~")),"~","")</f>
        <v>~</v>
      </c>
      <c r="C121" s="865"/>
    </row>
    <row r="122" spans="1:21" hidden="1">
      <c r="A122" s="890"/>
      <c r="B122" s="870" t="s">
        <v>1096</v>
      </c>
      <c r="C122" s="865"/>
    </row>
    <row r="123" spans="1:21" hidden="1">
      <c r="A123" s="890"/>
      <c r="B123" s="870" t="str">
        <f>IF(OR((B122="~"),(C123="~")),"~","")</f>
        <v>~</v>
      </c>
      <c r="C123" s="870" t="s">
        <v>1096</v>
      </c>
      <c r="E123" s="871">
        <f t="shared" ref="E123:E128" si="43">SUM(G123:P123)</f>
        <v>0</v>
      </c>
      <c r="F123" s="871"/>
      <c r="G123" s="871">
        <v>0</v>
      </c>
      <c r="H123" s="871">
        <v>0</v>
      </c>
      <c r="I123" s="871">
        <v>0</v>
      </c>
      <c r="J123" s="871">
        <v>0</v>
      </c>
      <c r="K123" s="871">
        <v>0</v>
      </c>
      <c r="L123" s="871">
        <v>0</v>
      </c>
      <c r="M123" s="871">
        <v>0</v>
      </c>
      <c r="N123" s="871">
        <v>0</v>
      </c>
      <c r="O123" s="871">
        <v>0</v>
      </c>
      <c r="P123" s="871">
        <v>0</v>
      </c>
      <c r="R123" s="871">
        <v>0</v>
      </c>
      <c r="S123" s="871">
        <v>0</v>
      </c>
      <c r="T123" s="871">
        <v>0</v>
      </c>
      <c r="U123" s="871">
        <v>0</v>
      </c>
    </row>
    <row r="124" spans="1:21" hidden="1">
      <c r="A124" s="890"/>
      <c r="B124" s="870" t="str">
        <f>IF(OR((B122="~"),(C124="~")),"~","")</f>
        <v>~</v>
      </c>
      <c r="C124" s="870" t="s">
        <v>1096</v>
      </c>
      <c r="E124" s="871">
        <f t="shared" si="43"/>
        <v>0</v>
      </c>
      <c r="F124" s="871"/>
      <c r="G124" s="871">
        <v>0</v>
      </c>
      <c r="H124" s="871">
        <v>0</v>
      </c>
      <c r="I124" s="871">
        <v>0</v>
      </c>
      <c r="J124" s="871">
        <v>0</v>
      </c>
      <c r="K124" s="871">
        <v>0</v>
      </c>
      <c r="L124" s="871">
        <v>0</v>
      </c>
      <c r="M124" s="871">
        <v>0</v>
      </c>
      <c r="N124" s="871">
        <v>0</v>
      </c>
      <c r="O124" s="871">
        <v>0</v>
      </c>
      <c r="P124" s="871">
        <v>0</v>
      </c>
      <c r="R124" s="871">
        <v>0</v>
      </c>
      <c r="S124" s="871">
        <v>0</v>
      </c>
      <c r="T124" s="871">
        <v>0</v>
      </c>
      <c r="U124" s="871">
        <v>0</v>
      </c>
    </row>
    <row r="125" spans="1:21" hidden="1">
      <c r="A125" s="890"/>
      <c r="B125" s="870" t="str">
        <f>IF(OR((B122="~"),(C125="~")),"~","")</f>
        <v>~</v>
      </c>
      <c r="C125" s="870" t="s">
        <v>1096</v>
      </c>
      <c r="E125" s="871">
        <f t="shared" si="43"/>
        <v>0</v>
      </c>
      <c r="F125" s="871"/>
      <c r="G125" s="871">
        <v>0</v>
      </c>
      <c r="H125" s="871">
        <v>0</v>
      </c>
      <c r="I125" s="871">
        <v>0</v>
      </c>
      <c r="J125" s="871">
        <v>0</v>
      </c>
      <c r="K125" s="871">
        <v>0</v>
      </c>
      <c r="L125" s="871">
        <v>0</v>
      </c>
      <c r="M125" s="871">
        <v>0</v>
      </c>
      <c r="N125" s="871">
        <v>0</v>
      </c>
      <c r="O125" s="871">
        <v>0</v>
      </c>
      <c r="P125" s="871">
        <v>0</v>
      </c>
      <c r="R125" s="871">
        <v>0</v>
      </c>
      <c r="S125" s="871">
        <v>0</v>
      </c>
      <c r="T125" s="871">
        <v>0</v>
      </c>
      <c r="U125" s="871">
        <v>0</v>
      </c>
    </row>
    <row r="126" spans="1:21" hidden="1">
      <c r="A126" s="890"/>
      <c r="B126" s="870" t="str">
        <f>IF(OR((B122="~"),(C126="~")),"~","")</f>
        <v>~</v>
      </c>
      <c r="C126" s="870" t="s">
        <v>1096</v>
      </c>
      <c r="E126" s="871">
        <f t="shared" si="43"/>
        <v>0</v>
      </c>
      <c r="F126" s="871"/>
      <c r="G126" s="871">
        <v>0</v>
      </c>
      <c r="H126" s="871">
        <v>0</v>
      </c>
      <c r="I126" s="871">
        <v>0</v>
      </c>
      <c r="J126" s="871">
        <v>0</v>
      </c>
      <c r="K126" s="871">
        <v>0</v>
      </c>
      <c r="L126" s="871">
        <v>0</v>
      </c>
      <c r="M126" s="871">
        <v>0</v>
      </c>
      <c r="N126" s="871">
        <v>0</v>
      </c>
      <c r="O126" s="871">
        <v>0</v>
      </c>
      <c r="P126" s="871">
        <v>0</v>
      </c>
      <c r="R126" s="871">
        <v>0</v>
      </c>
      <c r="S126" s="871">
        <v>0</v>
      </c>
      <c r="T126" s="871">
        <v>0</v>
      </c>
      <c r="U126" s="871">
        <v>0</v>
      </c>
    </row>
    <row r="127" spans="1:21" hidden="1">
      <c r="A127" s="890"/>
      <c r="B127" s="870" t="str">
        <f>IF(OR((B122="~"),(C127="~")),"~","")</f>
        <v>~</v>
      </c>
      <c r="C127" s="870" t="s">
        <v>1096</v>
      </c>
      <c r="E127" s="871">
        <f t="shared" si="43"/>
        <v>0</v>
      </c>
      <c r="F127" s="871"/>
      <c r="G127" s="871">
        <v>0</v>
      </c>
      <c r="H127" s="871">
        <v>0</v>
      </c>
      <c r="I127" s="871">
        <v>0</v>
      </c>
      <c r="J127" s="871">
        <v>0</v>
      </c>
      <c r="K127" s="871">
        <v>0</v>
      </c>
      <c r="L127" s="871">
        <v>0</v>
      </c>
      <c r="M127" s="871">
        <v>0</v>
      </c>
      <c r="N127" s="871">
        <v>0</v>
      </c>
      <c r="O127" s="871">
        <v>0</v>
      </c>
      <c r="P127" s="871">
        <v>0</v>
      </c>
      <c r="R127" s="871">
        <v>0</v>
      </c>
      <c r="S127" s="871">
        <v>0</v>
      </c>
      <c r="T127" s="871">
        <v>0</v>
      </c>
      <c r="U127" s="871">
        <v>0</v>
      </c>
    </row>
    <row r="128" spans="1:21" hidden="1">
      <c r="A128" s="890"/>
      <c r="B128" s="870" t="str">
        <f>IF(OR((B122="~"),(C128="~")),"~","")</f>
        <v>~</v>
      </c>
      <c r="C128" s="870" t="s">
        <v>1096</v>
      </c>
      <c r="E128" s="871">
        <f t="shared" si="43"/>
        <v>0</v>
      </c>
      <c r="F128" s="871"/>
      <c r="G128" s="871">
        <v>0</v>
      </c>
      <c r="H128" s="871">
        <v>0</v>
      </c>
      <c r="I128" s="871">
        <v>0</v>
      </c>
      <c r="J128" s="871">
        <v>0</v>
      </c>
      <c r="K128" s="871">
        <v>0</v>
      </c>
      <c r="L128" s="871">
        <v>0</v>
      </c>
      <c r="M128" s="871">
        <v>0</v>
      </c>
      <c r="N128" s="871">
        <v>0</v>
      </c>
      <c r="O128" s="871">
        <v>0</v>
      </c>
      <c r="P128" s="871">
        <v>0</v>
      </c>
      <c r="R128" s="871">
        <v>0</v>
      </c>
      <c r="S128" s="871">
        <v>0</v>
      </c>
      <c r="T128" s="871">
        <v>0</v>
      </c>
      <c r="U128" s="871">
        <v>0</v>
      </c>
    </row>
    <row r="129" spans="1:21" hidden="1">
      <c r="A129" s="891"/>
      <c r="B129" s="881" t="str">
        <f>IF(OR((B122="~"),(C129="~")),"~","")</f>
        <v>~</v>
      </c>
      <c r="C129" s="881" t="str">
        <f>IF(B122="~","~","Sub-total")</f>
        <v>~</v>
      </c>
      <c r="D129" s="881"/>
      <c r="E129" s="882">
        <f>SUM(E123:E128)</f>
        <v>0</v>
      </c>
      <c r="F129" s="882"/>
      <c r="G129" s="882">
        <f t="shared" ref="G129:P129" si="44">SUM(G123:G128)</f>
        <v>0</v>
      </c>
      <c r="H129" s="882">
        <f t="shared" si="44"/>
        <v>0</v>
      </c>
      <c r="I129" s="882">
        <f t="shared" si="44"/>
        <v>0</v>
      </c>
      <c r="J129" s="882">
        <f t="shared" si="44"/>
        <v>0</v>
      </c>
      <c r="K129" s="882">
        <f t="shared" si="44"/>
        <v>0</v>
      </c>
      <c r="L129" s="882">
        <f t="shared" si="44"/>
        <v>0</v>
      </c>
      <c r="M129" s="882">
        <f t="shared" si="44"/>
        <v>0</v>
      </c>
      <c r="N129" s="882">
        <f t="shared" si="44"/>
        <v>0</v>
      </c>
      <c r="O129" s="882">
        <f t="shared" si="44"/>
        <v>0</v>
      </c>
      <c r="P129" s="882">
        <f t="shared" si="44"/>
        <v>0</v>
      </c>
      <c r="R129" s="882">
        <f>SUM(R123:R128)</f>
        <v>0</v>
      </c>
      <c r="S129" s="882">
        <f>SUM(S123:S128)</f>
        <v>0</v>
      </c>
      <c r="T129" s="882">
        <f>SUM(T123:T128)</f>
        <v>0</v>
      </c>
      <c r="U129" s="882">
        <f>SUM(U123:U128)</f>
        <v>0</v>
      </c>
    </row>
    <row r="130" spans="1:21" hidden="1">
      <c r="A130" s="890"/>
      <c r="B130" s="870" t="str">
        <f>IF(OR((B122="~"),(C130="~")),"~","")</f>
        <v>~</v>
      </c>
      <c r="C130" s="865"/>
    </row>
    <row r="131" spans="1:21" hidden="1">
      <c r="A131" s="890"/>
      <c r="B131" s="870" t="s">
        <v>1096</v>
      </c>
      <c r="C131" s="865"/>
    </row>
    <row r="132" spans="1:21" hidden="1">
      <c r="A132" s="890"/>
      <c r="B132" s="870" t="str">
        <f>IF(OR((B131="~"),(C132="~")),"~","")</f>
        <v>~</v>
      </c>
      <c r="C132" s="870" t="s">
        <v>1096</v>
      </c>
      <c r="E132" s="871">
        <f t="shared" ref="E132:E137" si="45">SUM(G132:P132)</f>
        <v>0</v>
      </c>
      <c r="F132" s="871"/>
      <c r="G132" s="871">
        <v>0</v>
      </c>
      <c r="H132" s="871">
        <v>0</v>
      </c>
      <c r="I132" s="871">
        <v>0</v>
      </c>
      <c r="J132" s="871">
        <v>0</v>
      </c>
      <c r="K132" s="871">
        <v>0</v>
      </c>
      <c r="L132" s="871">
        <v>0</v>
      </c>
      <c r="M132" s="871">
        <v>0</v>
      </c>
      <c r="N132" s="871">
        <v>0</v>
      </c>
      <c r="O132" s="871">
        <v>0</v>
      </c>
      <c r="P132" s="871">
        <v>0</v>
      </c>
      <c r="R132" s="871">
        <v>0</v>
      </c>
      <c r="S132" s="871">
        <v>0</v>
      </c>
      <c r="T132" s="871">
        <v>0</v>
      </c>
      <c r="U132" s="871">
        <v>0</v>
      </c>
    </row>
    <row r="133" spans="1:21" hidden="1">
      <c r="A133" s="890"/>
      <c r="B133" s="870" t="str">
        <f>IF(OR((B131="~"),(C133="~")),"~","")</f>
        <v>~</v>
      </c>
      <c r="C133" s="870" t="s">
        <v>1096</v>
      </c>
      <c r="E133" s="871">
        <f t="shared" si="45"/>
        <v>0</v>
      </c>
      <c r="F133" s="871"/>
      <c r="G133" s="871">
        <v>0</v>
      </c>
      <c r="H133" s="871">
        <v>0</v>
      </c>
      <c r="I133" s="871">
        <v>0</v>
      </c>
      <c r="J133" s="871">
        <v>0</v>
      </c>
      <c r="K133" s="871">
        <v>0</v>
      </c>
      <c r="L133" s="871">
        <v>0</v>
      </c>
      <c r="M133" s="871">
        <v>0</v>
      </c>
      <c r="N133" s="871">
        <v>0</v>
      </c>
      <c r="O133" s="871">
        <v>0</v>
      </c>
      <c r="P133" s="871">
        <v>0</v>
      </c>
      <c r="R133" s="871">
        <v>0</v>
      </c>
      <c r="S133" s="871">
        <v>0</v>
      </c>
      <c r="T133" s="871">
        <v>0</v>
      </c>
      <c r="U133" s="871">
        <v>0</v>
      </c>
    </row>
    <row r="134" spans="1:21" hidden="1">
      <c r="A134" s="890"/>
      <c r="B134" s="870" t="str">
        <f>IF(OR((B131="~"),(C134="~")),"~","")</f>
        <v>~</v>
      </c>
      <c r="C134" s="870" t="s">
        <v>1096</v>
      </c>
      <c r="E134" s="871">
        <f t="shared" si="45"/>
        <v>0</v>
      </c>
      <c r="F134" s="871"/>
      <c r="G134" s="871">
        <v>0</v>
      </c>
      <c r="H134" s="871">
        <v>0</v>
      </c>
      <c r="I134" s="871">
        <v>0</v>
      </c>
      <c r="J134" s="871">
        <v>0</v>
      </c>
      <c r="K134" s="871">
        <v>0</v>
      </c>
      <c r="L134" s="871">
        <v>0</v>
      </c>
      <c r="M134" s="871">
        <v>0</v>
      </c>
      <c r="N134" s="871">
        <v>0</v>
      </c>
      <c r="O134" s="871">
        <v>0</v>
      </c>
      <c r="P134" s="871">
        <v>0</v>
      </c>
      <c r="R134" s="871">
        <v>0</v>
      </c>
      <c r="S134" s="871">
        <v>0</v>
      </c>
      <c r="T134" s="871">
        <v>0</v>
      </c>
      <c r="U134" s="871">
        <v>0</v>
      </c>
    </row>
    <row r="135" spans="1:21" hidden="1">
      <c r="A135" s="890"/>
      <c r="B135" s="870" t="str">
        <f>IF(OR((B131="~"),(C135="~")),"~","")</f>
        <v>~</v>
      </c>
      <c r="C135" s="870" t="s">
        <v>1096</v>
      </c>
      <c r="E135" s="871">
        <f t="shared" si="45"/>
        <v>0</v>
      </c>
      <c r="F135" s="871"/>
      <c r="G135" s="871">
        <v>0</v>
      </c>
      <c r="H135" s="871">
        <v>0</v>
      </c>
      <c r="I135" s="871">
        <v>0</v>
      </c>
      <c r="J135" s="871">
        <v>0</v>
      </c>
      <c r="K135" s="871">
        <v>0</v>
      </c>
      <c r="L135" s="871">
        <v>0</v>
      </c>
      <c r="M135" s="871">
        <v>0</v>
      </c>
      <c r="N135" s="871">
        <v>0</v>
      </c>
      <c r="O135" s="871">
        <v>0</v>
      </c>
      <c r="P135" s="871">
        <v>0</v>
      </c>
      <c r="R135" s="871">
        <v>0</v>
      </c>
      <c r="S135" s="871">
        <v>0</v>
      </c>
      <c r="T135" s="871">
        <v>0</v>
      </c>
      <c r="U135" s="871">
        <v>0</v>
      </c>
    </row>
    <row r="136" spans="1:21" hidden="1">
      <c r="A136" s="890"/>
      <c r="B136" s="870" t="str">
        <f>IF(OR((B131="~"),(C136="~")),"~","")</f>
        <v>~</v>
      </c>
      <c r="C136" s="870" t="s">
        <v>1096</v>
      </c>
      <c r="E136" s="871">
        <f t="shared" si="45"/>
        <v>0</v>
      </c>
      <c r="F136" s="871"/>
      <c r="G136" s="871">
        <v>0</v>
      </c>
      <c r="H136" s="871">
        <v>0</v>
      </c>
      <c r="I136" s="871">
        <v>0</v>
      </c>
      <c r="J136" s="871">
        <v>0</v>
      </c>
      <c r="K136" s="871">
        <v>0</v>
      </c>
      <c r="L136" s="871">
        <v>0</v>
      </c>
      <c r="M136" s="871">
        <v>0</v>
      </c>
      <c r="N136" s="871">
        <v>0</v>
      </c>
      <c r="O136" s="871">
        <v>0</v>
      </c>
      <c r="P136" s="871">
        <v>0</v>
      </c>
      <c r="R136" s="871">
        <v>0</v>
      </c>
      <c r="S136" s="871">
        <v>0</v>
      </c>
      <c r="T136" s="871">
        <v>0</v>
      </c>
      <c r="U136" s="871">
        <v>0</v>
      </c>
    </row>
    <row r="137" spans="1:21" hidden="1">
      <c r="A137" s="890"/>
      <c r="B137" s="870" t="str">
        <f>IF(OR((B131="~"),(C137="~")),"~","")</f>
        <v>~</v>
      </c>
      <c r="C137" s="870" t="s">
        <v>1096</v>
      </c>
      <c r="E137" s="871">
        <f t="shared" si="45"/>
        <v>0</v>
      </c>
      <c r="F137" s="871"/>
      <c r="G137" s="871">
        <v>0</v>
      </c>
      <c r="H137" s="871">
        <v>0</v>
      </c>
      <c r="I137" s="871">
        <v>0</v>
      </c>
      <c r="J137" s="871">
        <v>0</v>
      </c>
      <c r="K137" s="871">
        <v>0</v>
      </c>
      <c r="L137" s="871">
        <v>0</v>
      </c>
      <c r="M137" s="871">
        <v>0</v>
      </c>
      <c r="N137" s="871">
        <v>0</v>
      </c>
      <c r="O137" s="871">
        <v>0</v>
      </c>
      <c r="P137" s="871">
        <v>0</v>
      </c>
      <c r="R137" s="871">
        <v>0</v>
      </c>
      <c r="S137" s="871">
        <v>0</v>
      </c>
      <c r="T137" s="871">
        <v>0</v>
      </c>
      <c r="U137" s="871">
        <v>0</v>
      </c>
    </row>
    <row r="138" spans="1:21" hidden="1">
      <c r="A138" s="891"/>
      <c r="B138" s="881" t="str">
        <f>IF(OR((B131="~"),(C138="~")),"~","")</f>
        <v>~</v>
      </c>
      <c r="C138" s="881" t="str">
        <f>IF(B131="~","~","Sub-total")</f>
        <v>~</v>
      </c>
      <c r="D138" s="881"/>
      <c r="E138" s="882">
        <f>SUM(E132:E137)</f>
        <v>0</v>
      </c>
      <c r="F138" s="882"/>
      <c r="G138" s="882">
        <f t="shared" ref="G138:P138" si="46">SUM(G132:G137)</f>
        <v>0</v>
      </c>
      <c r="H138" s="882">
        <f t="shared" si="46"/>
        <v>0</v>
      </c>
      <c r="I138" s="882">
        <f t="shared" si="46"/>
        <v>0</v>
      </c>
      <c r="J138" s="882">
        <f t="shared" si="46"/>
        <v>0</v>
      </c>
      <c r="K138" s="882">
        <f t="shared" si="46"/>
        <v>0</v>
      </c>
      <c r="L138" s="882">
        <f t="shared" si="46"/>
        <v>0</v>
      </c>
      <c r="M138" s="882">
        <f t="shared" si="46"/>
        <v>0</v>
      </c>
      <c r="N138" s="882">
        <f t="shared" si="46"/>
        <v>0</v>
      </c>
      <c r="O138" s="882">
        <f t="shared" si="46"/>
        <v>0</v>
      </c>
      <c r="P138" s="882">
        <f t="shared" si="46"/>
        <v>0</v>
      </c>
      <c r="R138" s="882">
        <f>SUM(R132:R137)</f>
        <v>0</v>
      </c>
      <c r="S138" s="882">
        <f>SUM(S132:S137)</f>
        <v>0</v>
      </c>
      <c r="T138" s="882">
        <f>SUM(T132:T137)</f>
        <v>0</v>
      </c>
      <c r="U138" s="882">
        <f>SUM(U132:U137)</f>
        <v>0</v>
      </c>
    </row>
    <row r="139" spans="1:21" hidden="1">
      <c r="A139" s="890"/>
      <c r="B139" s="870" t="str">
        <f>IF(OR((B131="~"),(C139="~")),"~","")</f>
        <v>~</v>
      </c>
      <c r="C139" s="865"/>
    </row>
    <row r="140" spans="1:21" hidden="1">
      <c r="A140" s="890"/>
      <c r="B140" s="870" t="s">
        <v>1096</v>
      </c>
      <c r="C140" s="865"/>
    </row>
    <row r="141" spans="1:21" hidden="1">
      <c r="A141" s="890"/>
      <c r="B141" s="870" t="str">
        <f>IF(OR((B140="~"),(C141="~")),"~","")</f>
        <v>~</v>
      </c>
      <c r="C141" s="870" t="s">
        <v>1096</v>
      </c>
      <c r="E141" s="871">
        <f t="shared" ref="E141:E146" si="47">SUM(G141:P141)</f>
        <v>0</v>
      </c>
      <c r="F141" s="871"/>
      <c r="G141" s="871">
        <v>0</v>
      </c>
      <c r="H141" s="871">
        <v>0</v>
      </c>
      <c r="I141" s="871">
        <v>0</v>
      </c>
      <c r="J141" s="871">
        <v>0</v>
      </c>
      <c r="K141" s="871">
        <v>0</v>
      </c>
      <c r="L141" s="871">
        <v>0</v>
      </c>
      <c r="M141" s="871">
        <v>0</v>
      </c>
      <c r="N141" s="871">
        <v>0</v>
      </c>
      <c r="O141" s="871">
        <v>0</v>
      </c>
      <c r="P141" s="871">
        <v>0</v>
      </c>
      <c r="R141" s="871">
        <v>0</v>
      </c>
      <c r="S141" s="871">
        <v>0</v>
      </c>
      <c r="T141" s="871">
        <v>0</v>
      </c>
      <c r="U141" s="871">
        <v>0</v>
      </c>
    </row>
    <row r="142" spans="1:21" hidden="1">
      <c r="A142" s="890"/>
      <c r="B142" s="870" t="str">
        <f>IF(OR((B140="~"),(C142="~")),"~","")</f>
        <v>~</v>
      </c>
      <c r="C142" s="870" t="s">
        <v>1096</v>
      </c>
      <c r="E142" s="871">
        <f t="shared" si="47"/>
        <v>0</v>
      </c>
      <c r="F142" s="871"/>
      <c r="G142" s="871">
        <v>0</v>
      </c>
      <c r="H142" s="871">
        <v>0</v>
      </c>
      <c r="I142" s="871">
        <v>0</v>
      </c>
      <c r="J142" s="871">
        <v>0</v>
      </c>
      <c r="K142" s="871">
        <v>0</v>
      </c>
      <c r="L142" s="871">
        <v>0</v>
      </c>
      <c r="M142" s="871">
        <v>0</v>
      </c>
      <c r="N142" s="871">
        <v>0</v>
      </c>
      <c r="O142" s="871">
        <v>0</v>
      </c>
      <c r="P142" s="871">
        <v>0</v>
      </c>
      <c r="R142" s="871">
        <v>0</v>
      </c>
      <c r="S142" s="871">
        <v>0</v>
      </c>
      <c r="T142" s="871">
        <v>0</v>
      </c>
      <c r="U142" s="871">
        <v>0</v>
      </c>
    </row>
    <row r="143" spans="1:21" hidden="1">
      <c r="A143" s="890"/>
      <c r="B143" s="870" t="str">
        <f>IF(OR((B140="~"),(C143="~")),"~","")</f>
        <v>~</v>
      </c>
      <c r="C143" s="870" t="s">
        <v>1096</v>
      </c>
      <c r="E143" s="871">
        <f t="shared" si="47"/>
        <v>0</v>
      </c>
      <c r="F143" s="871"/>
      <c r="G143" s="871">
        <v>0</v>
      </c>
      <c r="H143" s="871">
        <v>0</v>
      </c>
      <c r="I143" s="871">
        <v>0</v>
      </c>
      <c r="J143" s="871">
        <v>0</v>
      </c>
      <c r="K143" s="871">
        <v>0</v>
      </c>
      <c r="L143" s="871">
        <v>0</v>
      </c>
      <c r="M143" s="871">
        <v>0</v>
      </c>
      <c r="N143" s="871">
        <v>0</v>
      </c>
      <c r="O143" s="871">
        <v>0</v>
      </c>
      <c r="P143" s="871">
        <v>0</v>
      </c>
      <c r="R143" s="871">
        <v>0</v>
      </c>
      <c r="S143" s="871">
        <v>0</v>
      </c>
      <c r="T143" s="871">
        <v>0</v>
      </c>
      <c r="U143" s="871">
        <v>0</v>
      </c>
    </row>
    <row r="144" spans="1:21" hidden="1">
      <c r="A144" s="890"/>
      <c r="B144" s="870" t="str">
        <f>IF(OR((B140="~"),(C144="~")),"~","")</f>
        <v>~</v>
      </c>
      <c r="C144" s="870" t="s">
        <v>1096</v>
      </c>
      <c r="E144" s="871">
        <f t="shared" si="47"/>
        <v>0</v>
      </c>
      <c r="F144" s="871"/>
      <c r="G144" s="871">
        <v>0</v>
      </c>
      <c r="H144" s="871">
        <v>0</v>
      </c>
      <c r="I144" s="871">
        <v>0</v>
      </c>
      <c r="J144" s="871">
        <v>0</v>
      </c>
      <c r="K144" s="871">
        <v>0</v>
      </c>
      <c r="L144" s="871">
        <v>0</v>
      </c>
      <c r="M144" s="871">
        <v>0</v>
      </c>
      <c r="N144" s="871">
        <v>0</v>
      </c>
      <c r="O144" s="871">
        <v>0</v>
      </c>
      <c r="P144" s="871">
        <v>0</v>
      </c>
      <c r="R144" s="871">
        <v>0</v>
      </c>
      <c r="S144" s="871">
        <v>0</v>
      </c>
      <c r="T144" s="871">
        <v>0</v>
      </c>
      <c r="U144" s="871">
        <v>0</v>
      </c>
    </row>
    <row r="145" spans="1:21" hidden="1">
      <c r="A145" s="890"/>
      <c r="B145" s="870" t="str">
        <f>IF(OR((B140="~"),(C145="~")),"~","")</f>
        <v>~</v>
      </c>
      <c r="C145" s="870" t="s">
        <v>1096</v>
      </c>
      <c r="E145" s="871">
        <f t="shared" si="47"/>
        <v>0</v>
      </c>
      <c r="F145" s="871"/>
      <c r="G145" s="871">
        <v>0</v>
      </c>
      <c r="H145" s="871">
        <v>0</v>
      </c>
      <c r="I145" s="871">
        <v>0</v>
      </c>
      <c r="J145" s="871">
        <v>0</v>
      </c>
      <c r="K145" s="871">
        <v>0</v>
      </c>
      <c r="L145" s="871">
        <v>0</v>
      </c>
      <c r="M145" s="871">
        <v>0</v>
      </c>
      <c r="N145" s="871">
        <v>0</v>
      </c>
      <c r="O145" s="871">
        <v>0</v>
      </c>
      <c r="P145" s="871">
        <v>0</v>
      </c>
      <c r="R145" s="871">
        <v>0</v>
      </c>
      <c r="S145" s="871">
        <v>0</v>
      </c>
      <c r="T145" s="871">
        <v>0</v>
      </c>
      <c r="U145" s="871">
        <v>0</v>
      </c>
    </row>
    <row r="146" spans="1:21" hidden="1">
      <c r="A146" s="890"/>
      <c r="B146" s="870" t="str">
        <f>IF(OR((B140="~"),(C146="~")),"~","")</f>
        <v>~</v>
      </c>
      <c r="C146" s="870" t="s">
        <v>1096</v>
      </c>
      <c r="E146" s="871">
        <f t="shared" si="47"/>
        <v>0</v>
      </c>
      <c r="F146" s="871"/>
      <c r="G146" s="871">
        <v>0</v>
      </c>
      <c r="H146" s="871">
        <v>0</v>
      </c>
      <c r="I146" s="871">
        <v>0</v>
      </c>
      <c r="J146" s="871">
        <v>0</v>
      </c>
      <c r="K146" s="871">
        <v>0</v>
      </c>
      <c r="L146" s="871">
        <v>0</v>
      </c>
      <c r="M146" s="871">
        <v>0</v>
      </c>
      <c r="N146" s="871">
        <v>0</v>
      </c>
      <c r="O146" s="871">
        <v>0</v>
      </c>
      <c r="P146" s="871">
        <v>0</v>
      </c>
      <c r="R146" s="871">
        <v>0</v>
      </c>
      <c r="S146" s="871">
        <v>0</v>
      </c>
      <c r="T146" s="871">
        <v>0</v>
      </c>
      <c r="U146" s="871">
        <v>0</v>
      </c>
    </row>
    <row r="147" spans="1:21" hidden="1">
      <c r="A147" s="891"/>
      <c r="B147" s="881" t="str">
        <f>IF(OR((B140="~"),(C147="~")),"~","")</f>
        <v>~</v>
      </c>
      <c r="C147" s="881" t="str">
        <f>IF(B140="~","~","Sub-total")</f>
        <v>~</v>
      </c>
      <c r="D147" s="881"/>
      <c r="E147" s="882">
        <f>SUM(E141:E146)</f>
        <v>0</v>
      </c>
      <c r="F147" s="882"/>
      <c r="G147" s="882">
        <f t="shared" ref="G147:P147" si="48">SUM(G141:G146)</f>
        <v>0</v>
      </c>
      <c r="H147" s="882">
        <f t="shared" si="48"/>
        <v>0</v>
      </c>
      <c r="I147" s="882">
        <f t="shared" si="48"/>
        <v>0</v>
      </c>
      <c r="J147" s="882">
        <f t="shared" si="48"/>
        <v>0</v>
      </c>
      <c r="K147" s="882">
        <f t="shared" si="48"/>
        <v>0</v>
      </c>
      <c r="L147" s="882">
        <f t="shared" si="48"/>
        <v>0</v>
      </c>
      <c r="M147" s="882">
        <f t="shared" si="48"/>
        <v>0</v>
      </c>
      <c r="N147" s="882">
        <f t="shared" si="48"/>
        <v>0</v>
      </c>
      <c r="O147" s="882">
        <f t="shared" si="48"/>
        <v>0</v>
      </c>
      <c r="P147" s="882">
        <f t="shared" si="48"/>
        <v>0</v>
      </c>
      <c r="R147" s="882">
        <f>SUM(R141:R146)</f>
        <v>0</v>
      </c>
      <c r="S147" s="882">
        <f>SUM(S141:S146)</f>
        <v>0</v>
      </c>
      <c r="T147" s="882">
        <f>SUM(T141:T146)</f>
        <v>0</v>
      </c>
      <c r="U147" s="882">
        <f>SUM(U141:U146)</f>
        <v>0</v>
      </c>
    </row>
    <row r="148" spans="1:21" hidden="1">
      <c r="A148" s="890"/>
      <c r="B148" s="870" t="str">
        <f>IF(OR((B140="~"),(C148="~")),"~","")</f>
        <v>~</v>
      </c>
      <c r="C148" s="865"/>
    </row>
    <row r="149" spans="1:21" hidden="1">
      <c r="A149" s="890"/>
      <c r="B149" s="870" t="s">
        <v>1096</v>
      </c>
      <c r="C149" s="865"/>
    </row>
    <row r="150" spans="1:21" hidden="1">
      <c r="A150" s="890"/>
      <c r="B150" s="870" t="str">
        <f>IF(OR((B149="~"),(C150="~")),"~","")</f>
        <v>~</v>
      </c>
      <c r="C150" s="870" t="s">
        <v>1096</v>
      </c>
      <c r="E150" s="871">
        <f t="shared" ref="E150:E155" si="49">SUM(G150:P150)</f>
        <v>0</v>
      </c>
      <c r="F150" s="871"/>
      <c r="G150" s="871">
        <v>0</v>
      </c>
      <c r="H150" s="871">
        <v>0</v>
      </c>
      <c r="I150" s="871">
        <v>0</v>
      </c>
      <c r="J150" s="871">
        <v>0</v>
      </c>
      <c r="K150" s="871">
        <v>0</v>
      </c>
      <c r="L150" s="871">
        <v>0</v>
      </c>
      <c r="M150" s="871">
        <v>0</v>
      </c>
      <c r="N150" s="871">
        <v>0</v>
      </c>
      <c r="O150" s="871">
        <v>0</v>
      </c>
      <c r="P150" s="871">
        <v>0</v>
      </c>
      <c r="R150" s="871">
        <v>0</v>
      </c>
      <c r="S150" s="871">
        <v>0</v>
      </c>
      <c r="T150" s="871">
        <v>0</v>
      </c>
      <c r="U150" s="871">
        <v>0</v>
      </c>
    </row>
    <row r="151" spans="1:21" hidden="1">
      <c r="A151" s="890"/>
      <c r="B151" s="870" t="str">
        <f>IF(OR((B149="~"),(C151="~")),"~","")</f>
        <v>~</v>
      </c>
      <c r="C151" s="870" t="s">
        <v>1096</v>
      </c>
      <c r="E151" s="871">
        <f t="shared" si="49"/>
        <v>0</v>
      </c>
      <c r="F151" s="871"/>
      <c r="G151" s="871">
        <v>0</v>
      </c>
      <c r="H151" s="871">
        <v>0</v>
      </c>
      <c r="I151" s="871">
        <v>0</v>
      </c>
      <c r="J151" s="871">
        <v>0</v>
      </c>
      <c r="K151" s="871">
        <v>0</v>
      </c>
      <c r="L151" s="871">
        <v>0</v>
      </c>
      <c r="M151" s="871">
        <v>0</v>
      </c>
      <c r="N151" s="871">
        <v>0</v>
      </c>
      <c r="O151" s="871">
        <v>0</v>
      </c>
      <c r="P151" s="871">
        <v>0</v>
      </c>
      <c r="R151" s="871">
        <v>0</v>
      </c>
      <c r="S151" s="871">
        <v>0</v>
      </c>
      <c r="T151" s="871">
        <v>0</v>
      </c>
      <c r="U151" s="871">
        <v>0</v>
      </c>
    </row>
    <row r="152" spans="1:21" hidden="1">
      <c r="A152" s="890"/>
      <c r="B152" s="870" t="str">
        <f>IF(OR((B149="~"),(C152="~")),"~","")</f>
        <v>~</v>
      </c>
      <c r="C152" s="870" t="s">
        <v>1096</v>
      </c>
      <c r="E152" s="871">
        <f t="shared" si="49"/>
        <v>0</v>
      </c>
      <c r="F152" s="871"/>
      <c r="G152" s="871">
        <v>0</v>
      </c>
      <c r="H152" s="871">
        <v>0</v>
      </c>
      <c r="I152" s="871">
        <v>0</v>
      </c>
      <c r="J152" s="871">
        <v>0</v>
      </c>
      <c r="K152" s="871">
        <v>0</v>
      </c>
      <c r="L152" s="871">
        <v>0</v>
      </c>
      <c r="M152" s="871">
        <v>0</v>
      </c>
      <c r="N152" s="871">
        <v>0</v>
      </c>
      <c r="O152" s="871">
        <v>0</v>
      </c>
      <c r="P152" s="871">
        <v>0</v>
      </c>
      <c r="R152" s="871">
        <v>0</v>
      </c>
      <c r="S152" s="871">
        <v>0</v>
      </c>
      <c r="T152" s="871">
        <v>0</v>
      </c>
      <c r="U152" s="871">
        <v>0</v>
      </c>
    </row>
    <row r="153" spans="1:21" hidden="1">
      <c r="A153" s="890"/>
      <c r="B153" s="870" t="str">
        <f>IF(OR((B149="~"),(C153="~")),"~","")</f>
        <v>~</v>
      </c>
      <c r="C153" s="870" t="s">
        <v>1096</v>
      </c>
      <c r="E153" s="871">
        <f t="shared" si="49"/>
        <v>0</v>
      </c>
      <c r="F153" s="871"/>
      <c r="G153" s="871">
        <v>0</v>
      </c>
      <c r="H153" s="871">
        <v>0</v>
      </c>
      <c r="I153" s="871">
        <v>0</v>
      </c>
      <c r="J153" s="871">
        <v>0</v>
      </c>
      <c r="K153" s="871">
        <v>0</v>
      </c>
      <c r="L153" s="871">
        <v>0</v>
      </c>
      <c r="M153" s="871">
        <v>0</v>
      </c>
      <c r="N153" s="871">
        <v>0</v>
      </c>
      <c r="O153" s="871">
        <v>0</v>
      </c>
      <c r="P153" s="871">
        <v>0</v>
      </c>
      <c r="R153" s="871">
        <v>0</v>
      </c>
      <c r="S153" s="871">
        <v>0</v>
      </c>
      <c r="T153" s="871">
        <v>0</v>
      </c>
      <c r="U153" s="871">
        <v>0</v>
      </c>
    </row>
    <row r="154" spans="1:21" hidden="1">
      <c r="A154" s="890"/>
      <c r="B154" s="870" t="str">
        <f>IF(OR((B149="~"),(C154="~")),"~","")</f>
        <v>~</v>
      </c>
      <c r="C154" s="870" t="s">
        <v>1096</v>
      </c>
      <c r="E154" s="871">
        <f t="shared" si="49"/>
        <v>0</v>
      </c>
      <c r="F154" s="871"/>
      <c r="G154" s="871">
        <v>0</v>
      </c>
      <c r="H154" s="871">
        <v>0</v>
      </c>
      <c r="I154" s="871">
        <v>0</v>
      </c>
      <c r="J154" s="871">
        <v>0</v>
      </c>
      <c r="K154" s="871">
        <v>0</v>
      </c>
      <c r="L154" s="871">
        <v>0</v>
      </c>
      <c r="M154" s="871">
        <v>0</v>
      </c>
      <c r="N154" s="871">
        <v>0</v>
      </c>
      <c r="O154" s="871">
        <v>0</v>
      </c>
      <c r="P154" s="871">
        <v>0</v>
      </c>
      <c r="R154" s="871">
        <v>0</v>
      </c>
      <c r="S154" s="871">
        <v>0</v>
      </c>
      <c r="T154" s="871">
        <v>0</v>
      </c>
      <c r="U154" s="871">
        <v>0</v>
      </c>
    </row>
    <row r="155" spans="1:21" hidden="1">
      <c r="A155" s="890"/>
      <c r="B155" s="870" t="str">
        <f>IF(OR((B149="~"),(C155="~")),"~","")</f>
        <v>~</v>
      </c>
      <c r="C155" s="870" t="s">
        <v>1096</v>
      </c>
      <c r="E155" s="871">
        <f t="shared" si="49"/>
        <v>0</v>
      </c>
      <c r="F155" s="871"/>
      <c r="G155" s="871">
        <v>0</v>
      </c>
      <c r="H155" s="871">
        <v>0</v>
      </c>
      <c r="I155" s="871">
        <v>0</v>
      </c>
      <c r="J155" s="871">
        <v>0</v>
      </c>
      <c r="K155" s="871">
        <v>0</v>
      </c>
      <c r="L155" s="871">
        <v>0</v>
      </c>
      <c r="M155" s="871">
        <v>0</v>
      </c>
      <c r="N155" s="871">
        <v>0</v>
      </c>
      <c r="O155" s="871">
        <v>0</v>
      </c>
      <c r="P155" s="871">
        <v>0</v>
      </c>
      <c r="R155" s="871">
        <v>0</v>
      </c>
      <c r="S155" s="871">
        <v>0</v>
      </c>
      <c r="T155" s="871">
        <v>0</v>
      </c>
      <c r="U155" s="871">
        <v>0</v>
      </c>
    </row>
    <row r="156" spans="1:21" hidden="1">
      <c r="A156" s="891"/>
      <c r="B156" s="881" t="str">
        <f>IF(OR((B149="~"),(C156="~")),"~","")</f>
        <v>~</v>
      </c>
      <c r="C156" s="881" t="str">
        <f>IF(B149="~","~","Sub-total")</f>
        <v>~</v>
      </c>
      <c r="D156" s="881"/>
      <c r="E156" s="882">
        <f>SUM(E150:E155)</f>
        <v>0</v>
      </c>
      <c r="F156" s="882"/>
      <c r="G156" s="882">
        <f t="shared" ref="G156:P156" si="50">SUM(G150:G155)</f>
        <v>0</v>
      </c>
      <c r="H156" s="882">
        <f t="shared" si="50"/>
        <v>0</v>
      </c>
      <c r="I156" s="882">
        <f t="shared" si="50"/>
        <v>0</v>
      </c>
      <c r="J156" s="882">
        <f t="shared" si="50"/>
        <v>0</v>
      </c>
      <c r="K156" s="882">
        <f t="shared" si="50"/>
        <v>0</v>
      </c>
      <c r="L156" s="882">
        <f t="shared" si="50"/>
        <v>0</v>
      </c>
      <c r="M156" s="882">
        <f t="shared" si="50"/>
        <v>0</v>
      </c>
      <c r="N156" s="882">
        <f t="shared" si="50"/>
        <v>0</v>
      </c>
      <c r="O156" s="882">
        <f t="shared" si="50"/>
        <v>0</v>
      </c>
      <c r="P156" s="882">
        <f t="shared" si="50"/>
        <v>0</v>
      </c>
      <c r="R156" s="882">
        <f>SUM(R150:R155)</f>
        <v>0</v>
      </c>
      <c r="S156" s="882">
        <f>SUM(S150:S155)</f>
        <v>0</v>
      </c>
      <c r="T156" s="882">
        <f>SUM(T150:T155)</f>
        <v>0</v>
      </c>
      <c r="U156" s="882">
        <f>SUM(U150:U155)</f>
        <v>0</v>
      </c>
    </row>
    <row r="157" spans="1:21" hidden="1">
      <c r="A157" s="890"/>
      <c r="B157" s="870" t="str">
        <f>IF(OR((B149="~"),(C157="~")),"~","")</f>
        <v>~</v>
      </c>
      <c r="C157" s="865"/>
    </row>
    <row r="158" spans="1:21">
      <c r="A158" s="890">
        <f>+A93+1</f>
        <v>27</v>
      </c>
    </row>
    <row r="159" spans="1:21">
      <c r="A159" s="890">
        <f>+A158+1</f>
        <v>28</v>
      </c>
      <c r="C159" s="865" t="s">
        <v>94</v>
      </c>
    </row>
    <row r="160" spans="1:21">
      <c r="A160" s="890">
        <f>+A159+1</f>
        <v>29</v>
      </c>
      <c r="B160" s="870" t="str">
        <f>IF(OR((C159="~"),(C160="~")),"~","")</f>
        <v/>
      </c>
      <c r="C160" s="870" t="s">
        <v>1093</v>
      </c>
      <c r="E160" s="871">
        <f t="shared" ref="E160:E165" si="51">SUM(G160:P160)</f>
        <v>2341059675.2943091</v>
      </c>
      <c r="F160" s="871"/>
      <c r="G160" s="871">
        <v>1439744033.6722703</v>
      </c>
      <c r="H160" s="871">
        <v>288944346.86873186</v>
      </c>
      <c r="I160" s="871">
        <v>266671751.70182684</v>
      </c>
      <c r="J160" s="871">
        <v>132476261.62711424</v>
      </c>
      <c r="K160" s="871">
        <v>112727493.16669497</v>
      </c>
      <c r="L160" s="871">
        <v>53847823.664428942</v>
      </c>
      <c r="M160" s="871">
        <v>28231205.729323871</v>
      </c>
      <c r="N160" s="871">
        <v>13887530.657933226</v>
      </c>
      <c r="O160" s="871">
        <v>3647510.7075702646</v>
      </c>
      <c r="P160" s="871">
        <v>881717.49841493112</v>
      </c>
      <c r="R160" s="871">
        <v>96437543.537285119</v>
      </c>
      <c r="S160" s="871">
        <v>691497.3910106679</v>
      </c>
      <c r="T160" s="871">
        <v>15598452.238399185</v>
      </c>
      <c r="U160" s="871">
        <f t="shared" ref="U160:U165" si="52">SUM(R160:T160,-K160)</f>
        <v>0</v>
      </c>
    </row>
    <row r="161" spans="1:23">
      <c r="A161" s="890">
        <f t="shared" ref="A161:A168" si="53">+A160+1</f>
        <v>30</v>
      </c>
      <c r="B161" s="870" t="str">
        <f>IF(OR((C159="~"),(C161="~")),"~","")</f>
        <v/>
      </c>
      <c r="C161" s="870" t="s">
        <v>1094</v>
      </c>
      <c r="E161" s="871">
        <f t="shared" si="51"/>
        <v>2364547699.6538696</v>
      </c>
      <c r="F161" s="871"/>
      <c r="G161" s="871">
        <v>1179402028.3645792</v>
      </c>
      <c r="H161" s="871">
        <v>309696977.08947301</v>
      </c>
      <c r="I161" s="871">
        <v>318863832.62675148</v>
      </c>
      <c r="J161" s="871">
        <v>210358087.81245792</v>
      </c>
      <c r="K161" s="871">
        <v>150771710.55077925</v>
      </c>
      <c r="L161" s="871">
        <v>71881290.777771294</v>
      </c>
      <c r="M161" s="871">
        <v>65691214.509384722</v>
      </c>
      <c r="N161" s="871">
        <v>48669410.034937657</v>
      </c>
      <c r="O161" s="871">
        <v>8462942.2824920584</v>
      </c>
      <c r="P161" s="871">
        <v>750205.60524276749</v>
      </c>
      <c r="R161" s="871">
        <v>137322438.67185777</v>
      </c>
      <c r="S161" s="871">
        <v>476897.23349638027</v>
      </c>
      <c r="T161" s="871">
        <v>12972374.645425115</v>
      </c>
      <c r="U161" s="871">
        <f t="shared" si="52"/>
        <v>0</v>
      </c>
    </row>
    <row r="162" spans="1:23">
      <c r="A162" s="890">
        <f t="shared" si="53"/>
        <v>31</v>
      </c>
      <c r="B162" s="870" t="str">
        <f>IF(OR((C159="~"),(C162="~")),"~","")</f>
        <v/>
      </c>
      <c r="C162" s="870" t="s">
        <v>1095</v>
      </c>
      <c r="E162" s="871">
        <f t="shared" si="51"/>
        <v>392355057.76907527</v>
      </c>
      <c r="F162" s="871"/>
      <c r="G162" s="871">
        <v>294178904.73512906</v>
      </c>
      <c r="H162" s="871">
        <v>22449802.911637794</v>
      </c>
      <c r="I162" s="871">
        <v>17462372.739987426</v>
      </c>
      <c r="J162" s="871">
        <v>4861203.3365233745</v>
      </c>
      <c r="K162" s="871">
        <v>8497138.6184894182</v>
      </c>
      <c r="L162" s="871">
        <v>1513143.8847720013</v>
      </c>
      <c r="M162" s="871">
        <v>291761.35636688489</v>
      </c>
      <c r="N162" s="871">
        <v>546374.56331074645</v>
      </c>
      <c r="O162" s="871">
        <v>42411810.333309948</v>
      </c>
      <c r="P162" s="871">
        <v>142545.28954861374</v>
      </c>
      <c r="R162" s="871">
        <v>6355574.2341719437</v>
      </c>
      <c r="S162" s="871">
        <v>14159.494310064609</v>
      </c>
      <c r="T162" s="871">
        <v>2127404.8900074111</v>
      </c>
      <c r="U162" s="871">
        <f t="shared" si="52"/>
        <v>0</v>
      </c>
    </row>
    <row r="163" spans="1:23">
      <c r="A163" s="890">
        <f t="shared" si="53"/>
        <v>32</v>
      </c>
      <c r="B163" s="870" t="str">
        <f>IF(OR((C159="~"),(C163="~")),"~","")</f>
        <v>~</v>
      </c>
      <c r="C163" s="870" t="s">
        <v>1096</v>
      </c>
      <c r="E163" s="871">
        <f t="shared" si="51"/>
        <v>0</v>
      </c>
      <c r="F163" s="871"/>
      <c r="G163" s="871">
        <v>0</v>
      </c>
      <c r="H163" s="871">
        <v>0</v>
      </c>
      <c r="I163" s="871">
        <v>0</v>
      </c>
      <c r="J163" s="871">
        <v>0</v>
      </c>
      <c r="K163" s="871">
        <v>0</v>
      </c>
      <c r="L163" s="871">
        <v>0</v>
      </c>
      <c r="M163" s="871">
        <v>0</v>
      </c>
      <c r="N163" s="871">
        <v>0</v>
      </c>
      <c r="O163" s="871">
        <v>0</v>
      </c>
      <c r="P163" s="871">
        <v>0</v>
      </c>
      <c r="R163" s="871">
        <v>0</v>
      </c>
      <c r="S163" s="871">
        <v>0</v>
      </c>
      <c r="T163" s="871">
        <v>0</v>
      </c>
      <c r="U163" s="871">
        <f t="shared" si="52"/>
        <v>0</v>
      </c>
    </row>
    <row r="164" spans="1:23">
      <c r="A164" s="890">
        <f t="shared" si="53"/>
        <v>33</v>
      </c>
      <c r="B164" s="870" t="str">
        <f>IF(OR((C159="~"),(C164="~")),"~","")</f>
        <v>~</v>
      </c>
      <c r="C164" s="870" t="s">
        <v>1096</v>
      </c>
      <c r="E164" s="871">
        <f t="shared" si="51"/>
        <v>0</v>
      </c>
      <c r="F164" s="871"/>
      <c r="G164" s="871">
        <v>0</v>
      </c>
      <c r="H164" s="871">
        <v>0</v>
      </c>
      <c r="I164" s="871">
        <v>0</v>
      </c>
      <c r="J164" s="871">
        <v>0</v>
      </c>
      <c r="K164" s="871">
        <v>0</v>
      </c>
      <c r="L164" s="871">
        <v>0</v>
      </c>
      <c r="M164" s="871">
        <v>0</v>
      </c>
      <c r="N164" s="871">
        <v>0</v>
      </c>
      <c r="O164" s="871">
        <v>0</v>
      </c>
      <c r="P164" s="871">
        <v>0</v>
      </c>
      <c r="R164" s="871">
        <v>0</v>
      </c>
      <c r="S164" s="871">
        <v>0</v>
      </c>
      <c r="T164" s="871">
        <v>0</v>
      </c>
      <c r="U164" s="871">
        <f t="shared" si="52"/>
        <v>0</v>
      </c>
    </row>
    <row r="165" spans="1:23">
      <c r="A165" s="890">
        <f t="shared" si="53"/>
        <v>34</v>
      </c>
      <c r="B165" s="870" t="str">
        <f>IF(OR((C159="~"),(C165="~")),"~","")</f>
        <v>~</v>
      </c>
      <c r="C165" s="870" t="s">
        <v>1096</v>
      </c>
      <c r="E165" s="871">
        <f t="shared" si="51"/>
        <v>0</v>
      </c>
      <c r="F165" s="871"/>
      <c r="G165" s="871">
        <v>0</v>
      </c>
      <c r="H165" s="871">
        <v>0</v>
      </c>
      <c r="I165" s="871">
        <v>0</v>
      </c>
      <c r="J165" s="871">
        <v>0</v>
      </c>
      <c r="K165" s="871">
        <v>0</v>
      </c>
      <c r="L165" s="871">
        <v>0</v>
      </c>
      <c r="M165" s="871">
        <v>0</v>
      </c>
      <c r="N165" s="871">
        <v>0</v>
      </c>
      <c r="O165" s="871">
        <v>0</v>
      </c>
      <c r="P165" s="871">
        <v>0</v>
      </c>
      <c r="R165" s="871">
        <v>0</v>
      </c>
      <c r="S165" s="871">
        <v>0</v>
      </c>
      <c r="T165" s="871">
        <v>0</v>
      </c>
      <c r="U165" s="871">
        <f t="shared" si="52"/>
        <v>0</v>
      </c>
    </row>
    <row r="166" spans="1:23">
      <c r="A166" s="891">
        <f t="shared" si="53"/>
        <v>35</v>
      </c>
      <c r="B166" s="881"/>
      <c r="C166" s="881" t="str">
        <f>IF(C159="~","~","Sub-total")</f>
        <v>Sub-total</v>
      </c>
      <c r="D166" s="881"/>
      <c r="E166" s="882">
        <f>SUM(E160:E165)</f>
        <v>5097962432.7172546</v>
      </c>
      <c r="F166" s="882"/>
      <c r="G166" s="882">
        <f t="shared" ref="G166:P166" si="54">SUM(G160:G165)</f>
        <v>2913324966.7719784</v>
      </c>
      <c r="H166" s="882">
        <f t="shared" si="54"/>
        <v>621091126.86984265</v>
      </c>
      <c r="I166" s="882">
        <f t="shared" si="54"/>
        <v>602997957.06856573</v>
      </c>
      <c r="J166" s="882">
        <f t="shared" si="54"/>
        <v>347695552.77609551</v>
      </c>
      <c r="K166" s="882">
        <f t="shared" si="54"/>
        <v>271996342.33596367</v>
      </c>
      <c r="L166" s="882">
        <f t="shared" si="54"/>
        <v>127242258.32697225</v>
      </c>
      <c r="M166" s="882">
        <f t="shared" si="54"/>
        <v>94214181.595075473</v>
      </c>
      <c r="N166" s="882">
        <f t="shared" si="54"/>
        <v>63103315.256181635</v>
      </c>
      <c r="O166" s="882">
        <f t="shared" si="54"/>
        <v>54522263.323372275</v>
      </c>
      <c r="P166" s="882">
        <f t="shared" si="54"/>
        <v>1774468.3932063126</v>
      </c>
      <c r="R166" s="882">
        <f>SUM(R160:R165)</f>
        <v>240115556.44331485</v>
      </c>
      <c r="S166" s="882">
        <f>SUM(S160:S165)</f>
        <v>1182554.1188171129</v>
      </c>
      <c r="T166" s="882">
        <f>SUM(T160:T165)</f>
        <v>30698231.77383171</v>
      </c>
      <c r="U166" s="882">
        <f>SUM(U160:U165)</f>
        <v>0</v>
      </c>
    </row>
    <row r="167" spans="1:23">
      <c r="A167" s="890">
        <f t="shared" si="53"/>
        <v>36</v>
      </c>
      <c r="B167" s="870" t="str">
        <f>IF(OR((C159="~"),(C167="~")),"~","")</f>
        <v/>
      </c>
      <c r="C167" s="865"/>
    </row>
    <row r="168" spans="1:23" ht="13.5" thickBot="1">
      <c r="A168" s="892">
        <f t="shared" si="53"/>
        <v>37</v>
      </c>
      <c r="B168" s="873"/>
      <c r="C168" s="873" t="s">
        <v>347</v>
      </c>
      <c r="D168" s="873"/>
      <c r="E168" s="874">
        <f>SUM(G168:P168)</f>
        <v>5097962432.7172537</v>
      </c>
      <c r="F168" s="874"/>
      <c r="G168" s="874">
        <f t="shared" ref="G168:P168" si="55">SUM(G160:G165)</f>
        <v>2913324966.7719784</v>
      </c>
      <c r="H168" s="874">
        <f t="shared" si="55"/>
        <v>621091126.86984265</v>
      </c>
      <c r="I168" s="874">
        <f t="shared" si="55"/>
        <v>602997957.06856573</v>
      </c>
      <c r="J168" s="874">
        <f t="shared" si="55"/>
        <v>347695552.77609551</v>
      </c>
      <c r="K168" s="874">
        <f t="shared" si="55"/>
        <v>271996342.33596367</v>
      </c>
      <c r="L168" s="874">
        <f t="shared" si="55"/>
        <v>127242258.32697225</v>
      </c>
      <c r="M168" s="874">
        <f t="shared" si="55"/>
        <v>94214181.595075473</v>
      </c>
      <c r="N168" s="874">
        <f t="shared" si="55"/>
        <v>63103315.256181635</v>
      </c>
      <c r="O168" s="874">
        <f t="shared" si="55"/>
        <v>54522263.323372275</v>
      </c>
      <c r="P168" s="874">
        <f t="shared" si="55"/>
        <v>1774468.3932063126</v>
      </c>
      <c r="R168" s="874">
        <f>SUM(R160:R165)</f>
        <v>240115556.44331485</v>
      </c>
      <c r="S168" s="874">
        <f>SUM(S160:S165)</f>
        <v>1182554.1188171129</v>
      </c>
      <c r="T168" s="874">
        <f>SUM(T160:T165)</f>
        <v>30698231.77383171</v>
      </c>
      <c r="U168" s="874">
        <f>SUM(U160:U165)</f>
        <v>0</v>
      </c>
    </row>
    <row r="169" spans="1:23" ht="13.5" thickTop="1"/>
    <row r="170" spans="1:23">
      <c r="A170" s="1094" t="str">
        <f>A1</f>
        <v>Puget Sound Energy</v>
      </c>
      <c r="B170" s="1094"/>
      <c r="C170" s="1094"/>
      <c r="D170" s="1094"/>
      <c r="E170" s="1094"/>
      <c r="F170" s="1094"/>
      <c r="G170" s="1094"/>
      <c r="H170" s="1094"/>
      <c r="I170" s="1094"/>
      <c r="J170" s="1094"/>
      <c r="K170" s="1094"/>
      <c r="L170" s="1094"/>
      <c r="M170" s="1094"/>
      <c r="N170" s="1094"/>
      <c r="O170" s="1094"/>
      <c r="P170" s="1094"/>
    </row>
    <row r="171" spans="1:23">
      <c r="A171" s="1094" t="str">
        <f>A2</f>
        <v>ELECTRIC COST OF SERVICE SUMMARY</v>
      </c>
      <c r="B171" s="1094"/>
      <c r="C171" s="1094"/>
      <c r="D171" s="1094"/>
      <c r="E171" s="1094"/>
      <c r="F171" s="1094"/>
      <c r="G171" s="1094"/>
      <c r="H171" s="1094"/>
      <c r="I171" s="1094"/>
      <c r="J171" s="1094"/>
      <c r="K171" s="1094"/>
      <c r="L171" s="1094"/>
      <c r="M171" s="1094"/>
      <c r="N171" s="1094"/>
      <c r="O171" s="1094"/>
      <c r="P171" s="1094"/>
    </row>
    <row r="172" spans="1:23">
      <c r="A172" s="1094" t="s">
        <v>1029</v>
      </c>
      <c r="B172" s="1094"/>
      <c r="C172" s="1094"/>
      <c r="D172" s="1094"/>
      <c r="E172" s="1094"/>
      <c r="F172" s="1094"/>
      <c r="G172" s="1094"/>
      <c r="H172" s="1094"/>
      <c r="I172" s="1094"/>
      <c r="J172" s="1094"/>
      <c r="K172" s="1094"/>
      <c r="L172" s="1094"/>
      <c r="M172" s="1094"/>
      <c r="N172" s="1094"/>
      <c r="O172" s="1094"/>
      <c r="P172" s="1094"/>
    </row>
    <row r="173" spans="1:23">
      <c r="A173" s="1094" t="s">
        <v>1097</v>
      </c>
      <c r="B173" s="1094"/>
      <c r="C173" s="1094"/>
      <c r="D173" s="1094"/>
      <c r="E173" s="1094"/>
      <c r="F173" s="1094"/>
      <c r="G173" s="1094"/>
      <c r="H173" s="1094"/>
      <c r="I173" s="1094"/>
      <c r="J173" s="1094"/>
      <c r="K173" s="1094"/>
      <c r="L173" s="1094"/>
      <c r="M173" s="1094"/>
      <c r="N173" s="1094"/>
      <c r="O173" s="1094"/>
      <c r="P173" s="1094"/>
    </row>
    <row r="175" spans="1:23" s="893" customFormat="1" ht="44.45" customHeight="1">
      <c r="A175" s="866" t="s">
        <v>810</v>
      </c>
      <c r="B175" s="866"/>
      <c r="C175" s="866"/>
      <c r="D175" s="866"/>
      <c r="E175" s="866" t="s">
        <v>1092</v>
      </c>
      <c r="F175" s="866"/>
      <c r="G175" s="866" t="str">
        <f>+G6</f>
        <v>Residential
Sch 7</v>
      </c>
      <c r="H175" s="866" t="str">
        <f t="shared" ref="H175:P175" si="56">+H6</f>
        <v>Sec Volt
Sch 24
(kW&lt; 50)</v>
      </c>
      <c r="I175" s="866" t="str">
        <f t="shared" si="56"/>
        <v>Sec Volt
Sch 25
(kW &gt; 50 &amp; &lt; 350)</v>
      </c>
      <c r="J175" s="866" t="str">
        <f t="shared" si="56"/>
        <v>Sec Volt
Sch 26
(kW &gt; 350)</v>
      </c>
      <c r="K175" s="866" t="str">
        <f t="shared" si="56"/>
        <v>Pri Volt
Sch 31/35/43</v>
      </c>
      <c r="L175" s="866" t="str">
        <f t="shared" si="56"/>
        <v>Campus
Sch 40</v>
      </c>
      <c r="M175" s="866" t="str">
        <f t="shared" si="56"/>
        <v>High Volt
Sch 46/49</v>
      </c>
      <c r="N175" s="866" t="str">
        <f t="shared" si="56"/>
        <v>Choice /
Retail Wheeling
Sch 448/449</v>
      </c>
      <c r="O175" s="866" t="str">
        <f t="shared" si="56"/>
        <v>Lighting
Sch 50-59</v>
      </c>
      <c r="P175" s="869" t="str">
        <f t="shared" si="56"/>
        <v>Firm Resale</v>
      </c>
      <c r="R175" s="866" t="s">
        <v>1040</v>
      </c>
      <c r="S175" s="866" t="s">
        <v>1041</v>
      </c>
      <c r="T175" s="866" t="s">
        <v>1042</v>
      </c>
      <c r="U175" s="866" t="s">
        <v>1043</v>
      </c>
      <c r="W175" s="869" t="s">
        <v>1044</v>
      </c>
    </row>
    <row r="176" spans="1:23" s="894" customFormat="1">
      <c r="C176" s="894" t="s">
        <v>1045</v>
      </c>
      <c r="E176" s="894" t="s">
        <v>1046</v>
      </c>
      <c r="G176" s="894" t="s">
        <v>1047</v>
      </c>
      <c r="H176" s="894" t="s">
        <v>1048</v>
      </c>
      <c r="I176" s="894" t="s">
        <v>1049</v>
      </c>
      <c r="J176" s="894" t="s">
        <v>1050</v>
      </c>
      <c r="K176" s="894" t="s">
        <v>1051</v>
      </c>
      <c r="L176" s="894" t="s">
        <v>1052</v>
      </c>
      <c r="M176" s="894" t="s">
        <v>1053</v>
      </c>
      <c r="N176" s="894" t="s">
        <v>1054</v>
      </c>
      <c r="O176" s="894" t="s">
        <v>1055</v>
      </c>
      <c r="P176" s="894" t="s">
        <v>1056</v>
      </c>
    </row>
    <row r="178" spans="1:23">
      <c r="A178" s="890">
        <v>1</v>
      </c>
      <c r="C178" s="865" t="s">
        <v>245</v>
      </c>
    </row>
    <row r="179" spans="1:23">
      <c r="A179" s="890">
        <f t="shared" ref="A179:A203" si="57">+A178+1</f>
        <v>2</v>
      </c>
      <c r="B179" s="870" t="str">
        <f>IF(OR((C178="~"),(C179="~")),"~","")</f>
        <v/>
      </c>
      <c r="C179" s="870" t="s">
        <v>1093</v>
      </c>
      <c r="E179" s="871">
        <v>345947784.24674386</v>
      </c>
      <c r="F179" s="871"/>
      <c r="G179" s="871">
        <v>210795523.70899761</v>
      </c>
      <c r="H179" s="871">
        <v>42461479.548101336</v>
      </c>
      <c r="I179" s="871">
        <v>39589993.623071492</v>
      </c>
      <c r="J179" s="871">
        <v>22484184.534126606</v>
      </c>
      <c r="K179" s="871">
        <v>15408839.651556076</v>
      </c>
      <c r="L179" s="871">
        <v>7968510.6969357748</v>
      </c>
      <c r="M179" s="871">
        <v>5896166.2899226826</v>
      </c>
      <c r="N179" s="871">
        <v>0</v>
      </c>
      <c r="O179" s="871">
        <v>1208761.6451999741</v>
      </c>
      <c r="P179" s="871">
        <v>134324.54883222305</v>
      </c>
      <c r="R179" s="871">
        <v>15408484.901190821</v>
      </c>
      <c r="S179" s="871">
        <v>354.75036525536939</v>
      </c>
      <c r="T179" s="871">
        <v>0</v>
      </c>
      <c r="U179" s="871">
        <f t="shared" ref="U179:U184" si="58">SUM(R179:T179,-K179)</f>
        <v>0</v>
      </c>
      <c r="W179" s="871">
        <f t="shared" ref="W179:W242" si="59">+R179+S179</f>
        <v>15408839.651556076</v>
      </c>
    </row>
    <row r="180" spans="1:23">
      <c r="A180" s="890">
        <f t="shared" si="57"/>
        <v>3</v>
      </c>
      <c r="B180" s="870" t="str">
        <f>IF(OR((C178="~"),(C180="~")),"~","")</f>
        <v/>
      </c>
      <c r="C180" s="870" t="s">
        <v>1094</v>
      </c>
      <c r="E180" s="871">
        <v>1039315225.7202446</v>
      </c>
      <c r="F180" s="871"/>
      <c r="G180" s="871">
        <v>529289682.80381554</v>
      </c>
      <c r="H180" s="871">
        <v>138985189.80528376</v>
      </c>
      <c r="I180" s="871">
        <v>143099072.89429495</v>
      </c>
      <c r="J180" s="871">
        <v>94404081.810732022</v>
      </c>
      <c r="K180" s="871">
        <v>67663026.630425736</v>
      </c>
      <c r="L180" s="871">
        <v>32258741.871126018</v>
      </c>
      <c r="M180" s="871">
        <v>29480771.827129308</v>
      </c>
      <c r="N180" s="871">
        <v>0</v>
      </c>
      <c r="O180" s="871">
        <v>3797982.3067614357</v>
      </c>
      <c r="P180" s="871">
        <v>336675.77067609032</v>
      </c>
      <c r="R180" s="871">
        <v>61627289.302919514</v>
      </c>
      <c r="S180" s="871">
        <v>214020.98637843676</v>
      </c>
      <c r="T180" s="871">
        <v>5821716.3411277784</v>
      </c>
      <c r="U180" s="871">
        <f t="shared" si="58"/>
        <v>0</v>
      </c>
      <c r="W180" s="871">
        <f t="shared" si="59"/>
        <v>61841310.289297953</v>
      </c>
    </row>
    <row r="181" spans="1:23">
      <c r="A181" s="890">
        <f t="shared" si="57"/>
        <v>4</v>
      </c>
      <c r="B181" s="870" t="str">
        <f>IF(OR((C178="~"),(C181="~")),"~","")</f>
        <v/>
      </c>
      <c r="C181" s="870" t="s">
        <v>1095</v>
      </c>
      <c r="E181" s="871">
        <v>0</v>
      </c>
      <c r="F181" s="871"/>
      <c r="G181" s="871">
        <v>0</v>
      </c>
      <c r="H181" s="871">
        <v>0</v>
      </c>
      <c r="I181" s="871">
        <v>0</v>
      </c>
      <c r="J181" s="871">
        <v>0</v>
      </c>
      <c r="K181" s="871">
        <v>0</v>
      </c>
      <c r="L181" s="871">
        <v>0</v>
      </c>
      <c r="M181" s="871">
        <v>0</v>
      </c>
      <c r="N181" s="871">
        <v>0</v>
      </c>
      <c r="O181" s="871">
        <v>0</v>
      </c>
      <c r="P181" s="871">
        <v>0</v>
      </c>
      <c r="R181" s="871">
        <v>0</v>
      </c>
      <c r="S181" s="871">
        <v>0</v>
      </c>
      <c r="T181" s="871">
        <v>0</v>
      </c>
      <c r="U181" s="871">
        <f t="shared" si="58"/>
        <v>0</v>
      </c>
      <c r="W181" s="871">
        <f t="shared" si="59"/>
        <v>0</v>
      </c>
    </row>
    <row r="182" spans="1:23">
      <c r="A182" s="890">
        <f t="shared" si="57"/>
        <v>5</v>
      </c>
      <c r="B182" s="870" t="str">
        <f>IF(OR((C178="~"),(C182="~")),"~","")</f>
        <v>~</v>
      </c>
      <c r="C182" s="870" t="s">
        <v>1096</v>
      </c>
      <c r="E182" s="871">
        <v>0</v>
      </c>
      <c r="F182" s="871"/>
      <c r="G182" s="871">
        <v>0</v>
      </c>
      <c r="H182" s="871">
        <v>0</v>
      </c>
      <c r="I182" s="871">
        <v>0</v>
      </c>
      <c r="J182" s="871">
        <v>0</v>
      </c>
      <c r="K182" s="871">
        <v>0</v>
      </c>
      <c r="L182" s="871">
        <v>0</v>
      </c>
      <c r="M182" s="871">
        <v>0</v>
      </c>
      <c r="N182" s="871">
        <v>0</v>
      </c>
      <c r="O182" s="871">
        <v>0</v>
      </c>
      <c r="P182" s="871">
        <v>0</v>
      </c>
      <c r="R182" s="871">
        <v>0</v>
      </c>
      <c r="S182" s="871">
        <v>0</v>
      </c>
      <c r="T182" s="871">
        <v>0</v>
      </c>
      <c r="U182" s="871">
        <f t="shared" si="58"/>
        <v>0</v>
      </c>
      <c r="W182" s="871">
        <f t="shared" si="59"/>
        <v>0</v>
      </c>
    </row>
    <row r="183" spans="1:23">
      <c r="A183" s="890">
        <f t="shared" si="57"/>
        <v>6</v>
      </c>
      <c r="B183" s="870" t="str">
        <f>IF(OR((C178="~"),(C183="~")),"~","")</f>
        <v>~</v>
      </c>
      <c r="C183" s="870" t="s">
        <v>1096</v>
      </c>
      <c r="E183" s="871">
        <v>0</v>
      </c>
      <c r="F183" s="871"/>
      <c r="G183" s="871">
        <v>0</v>
      </c>
      <c r="H183" s="871">
        <v>0</v>
      </c>
      <c r="I183" s="871">
        <v>0</v>
      </c>
      <c r="J183" s="871">
        <v>0</v>
      </c>
      <c r="K183" s="871">
        <v>0</v>
      </c>
      <c r="L183" s="871">
        <v>0</v>
      </c>
      <c r="M183" s="871">
        <v>0</v>
      </c>
      <c r="N183" s="871">
        <v>0</v>
      </c>
      <c r="O183" s="871">
        <v>0</v>
      </c>
      <c r="P183" s="871">
        <v>0</v>
      </c>
      <c r="R183" s="871">
        <v>0</v>
      </c>
      <c r="S183" s="871">
        <v>0</v>
      </c>
      <c r="T183" s="871">
        <v>0</v>
      </c>
      <c r="U183" s="871">
        <f t="shared" si="58"/>
        <v>0</v>
      </c>
      <c r="W183" s="871">
        <f t="shared" si="59"/>
        <v>0</v>
      </c>
    </row>
    <row r="184" spans="1:23">
      <c r="A184" s="890">
        <f t="shared" si="57"/>
        <v>7</v>
      </c>
      <c r="B184" s="870" t="str">
        <f>IF(OR((C178="~"),(C184="~")),"~","")</f>
        <v>~</v>
      </c>
      <c r="C184" s="870" t="s">
        <v>1096</v>
      </c>
      <c r="E184" s="871">
        <v>0</v>
      </c>
      <c r="F184" s="871"/>
      <c r="G184" s="871">
        <v>0</v>
      </c>
      <c r="H184" s="871">
        <v>0</v>
      </c>
      <c r="I184" s="871">
        <v>0</v>
      </c>
      <c r="J184" s="871">
        <v>0</v>
      </c>
      <c r="K184" s="871">
        <v>0</v>
      </c>
      <c r="L184" s="871">
        <v>0</v>
      </c>
      <c r="M184" s="871">
        <v>0</v>
      </c>
      <c r="N184" s="871">
        <v>0</v>
      </c>
      <c r="O184" s="871">
        <v>0</v>
      </c>
      <c r="P184" s="871">
        <v>0</v>
      </c>
      <c r="R184" s="871">
        <v>0</v>
      </c>
      <c r="S184" s="871">
        <v>0</v>
      </c>
      <c r="T184" s="871">
        <v>0</v>
      </c>
      <c r="U184" s="871">
        <f t="shared" si="58"/>
        <v>0</v>
      </c>
      <c r="W184" s="871">
        <f t="shared" si="59"/>
        <v>0</v>
      </c>
    </row>
    <row r="185" spans="1:23">
      <c r="A185" s="891">
        <f t="shared" si="57"/>
        <v>8</v>
      </c>
      <c r="B185" s="881" t="str">
        <f>IF(OR((C178="~"),(C185="~")),"~","")</f>
        <v/>
      </c>
      <c r="C185" s="881" t="str">
        <f>IF(C178="~","~","Sub-total")</f>
        <v>Sub-total</v>
      </c>
      <c r="D185" s="881"/>
      <c r="E185" s="882">
        <f>SUM(E179:E184)</f>
        <v>1385263009.9669886</v>
      </c>
      <c r="F185" s="882"/>
      <c r="G185" s="882">
        <f t="shared" ref="G185:P185" si="60">SUM(G179:G184)</f>
        <v>740085206.51281309</v>
      </c>
      <c r="H185" s="882">
        <f t="shared" si="60"/>
        <v>181446669.35338509</v>
      </c>
      <c r="I185" s="882">
        <f t="shared" si="60"/>
        <v>182689066.51736644</v>
      </c>
      <c r="J185" s="882">
        <f t="shared" si="60"/>
        <v>116888266.34485863</v>
      </c>
      <c r="K185" s="882">
        <f t="shared" si="60"/>
        <v>83071866.281981811</v>
      </c>
      <c r="L185" s="882">
        <f t="shared" si="60"/>
        <v>40227252.568061791</v>
      </c>
      <c r="M185" s="882">
        <f t="shared" si="60"/>
        <v>35376938.117051989</v>
      </c>
      <c r="N185" s="882">
        <f t="shared" si="60"/>
        <v>0</v>
      </c>
      <c r="O185" s="882">
        <f t="shared" si="60"/>
        <v>5006743.9519614093</v>
      </c>
      <c r="P185" s="882">
        <f t="shared" si="60"/>
        <v>471000.31950831338</v>
      </c>
      <c r="R185" s="882">
        <f>SUM(R179:R184)</f>
        <v>77035774.204110339</v>
      </c>
      <c r="S185" s="882">
        <f>SUM(S179:S184)</f>
        <v>214375.73674369213</v>
      </c>
      <c r="T185" s="882">
        <f>SUM(T179:T184)</f>
        <v>5821716.3411277784</v>
      </c>
      <c r="U185" s="882">
        <f>SUM(U179:U184)</f>
        <v>0</v>
      </c>
      <c r="W185" s="882">
        <f t="shared" si="59"/>
        <v>77250149.940854028</v>
      </c>
    </row>
    <row r="186" spans="1:23">
      <c r="A186" s="890">
        <f t="shared" si="57"/>
        <v>9</v>
      </c>
      <c r="B186" s="870" t="str">
        <f>IF(OR((C178="~"),(C186="~")),"~","")</f>
        <v/>
      </c>
    </row>
    <row r="187" spans="1:23">
      <c r="A187" s="890">
        <f t="shared" si="57"/>
        <v>10</v>
      </c>
      <c r="C187" s="865" t="s">
        <v>604</v>
      </c>
    </row>
    <row r="188" spans="1:23">
      <c r="A188" s="890">
        <f t="shared" si="57"/>
        <v>11</v>
      </c>
      <c r="B188" s="870" t="str">
        <f>IF(OR((C187="~"),(C188="~")),"~","")</f>
        <v/>
      </c>
      <c r="C188" s="870" t="s">
        <v>1093</v>
      </c>
      <c r="E188" s="871">
        <v>36006723.196091048</v>
      </c>
      <c r="F188" s="871"/>
      <c r="G188" s="871">
        <v>20644283.071353383</v>
      </c>
      <c r="H188" s="871">
        <v>4158469.7245735191</v>
      </c>
      <c r="I188" s="871">
        <v>3877250.4309723973</v>
      </c>
      <c r="J188" s="871">
        <v>2201991.1143456735</v>
      </c>
      <c r="K188" s="871">
        <v>1509066.4259406179</v>
      </c>
      <c r="L188" s="871">
        <v>780396.98182465637</v>
      </c>
      <c r="M188" s="871">
        <v>577441.70171740558</v>
      </c>
      <c r="N188" s="871">
        <v>2126288.4494948606</v>
      </c>
      <c r="O188" s="871">
        <v>118380.20623128608</v>
      </c>
      <c r="P188" s="871">
        <v>13155.089637256271</v>
      </c>
      <c r="R188" s="871">
        <v>1509031.6834241208</v>
      </c>
      <c r="S188" s="871">
        <v>34.742516497209913</v>
      </c>
      <c r="T188" s="871">
        <v>0</v>
      </c>
      <c r="U188" s="871">
        <f t="shared" ref="U188:U193" si="61">SUM(R188:T188,-K188)</f>
        <v>0</v>
      </c>
      <c r="W188" s="871">
        <f t="shared" si="59"/>
        <v>1509066.4259406179</v>
      </c>
    </row>
    <row r="189" spans="1:23">
      <c r="A189" s="890">
        <f t="shared" si="57"/>
        <v>12</v>
      </c>
      <c r="B189" s="870" t="str">
        <f>IF(OR((C187="~"),(C189="~")),"~","")</f>
        <v/>
      </c>
      <c r="C189" s="870" t="s">
        <v>1094</v>
      </c>
      <c r="E189" s="871">
        <v>107900124.19233356</v>
      </c>
      <c r="F189" s="871"/>
      <c r="G189" s="871">
        <v>50150073.296032399</v>
      </c>
      <c r="H189" s="871">
        <v>13168814.133831272</v>
      </c>
      <c r="I189" s="871">
        <v>13558603.591567008</v>
      </c>
      <c r="J189" s="871">
        <v>8944764.6082451157</v>
      </c>
      <c r="K189" s="871">
        <v>6411055.9022647589</v>
      </c>
      <c r="L189" s="871">
        <v>3056508.2257127594</v>
      </c>
      <c r="M189" s="871">
        <v>2793296.2156417919</v>
      </c>
      <c r="N189" s="871">
        <v>9425250.3360223062</v>
      </c>
      <c r="O189" s="871">
        <v>359857.93271492649</v>
      </c>
      <c r="P189" s="871">
        <v>31899.950301246296</v>
      </c>
      <c r="R189" s="871">
        <v>5839171.2062197197</v>
      </c>
      <c r="S189" s="871">
        <v>20278.438258820308</v>
      </c>
      <c r="T189" s="871">
        <v>551606.25778621924</v>
      </c>
      <c r="U189" s="871">
        <f t="shared" si="61"/>
        <v>0</v>
      </c>
      <c r="W189" s="871">
        <f t="shared" si="59"/>
        <v>5859449.6444785399</v>
      </c>
    </row>
    <row r="190" spans="1:23">
      <c r="A190" s="890">
        <f t="shared" si="57"/>
        <v>13</v>
      </c>
      <c r="B190" s="870" t="str">
        <f>IF(OR((C187="~"),(C190="~")),"~","")</f>
        <v/>
      </c>
      <c r="C190" s="870" t="s">
        <v>1095</v>
      </c>
      <c r="E190" s="871">
        <v>0</v>
      </c>
      <c r="F190" s="871"/>
      <c r="G190" s="871">
        <v>0</v>
      </c>
      <c r="H190" s="871">
        <v>0</v>
      </c>
      <c r="I190" s="871">
        <v>0</v>
      </c>
      <c r="J190" s="871">
        <v>0</v>
      </c>
      <c r="K190" s="871">
        <v>0</v>
      </c>
      <c r="L190" s="871">
        <v>0</v>
      </c>
      <c r="M190" s="871">
        <v>0</v>
      </c>
      <c r="N190" s="871">
        <v>0</v>
      </c>
      <c r="O190" s="871">
        <v>0</v>
      </c>
      <c r="P190" s="871">
        <v>0</v>
      </c>
      <c r="R190" s="871">
        <v>0</v>
      </c>
      <c r="S190" s="871">
        <v>0</v>
      </c>
      <c r="T190" s="871">
        <v>0</v>
      </c>
      <c r="U190" s="871">
        <f t="shared" si="61"/>
        <v>0</v>
      </c>
      <c r="W190" s="871">
        <f t="shared" si="59"/>
        <v>0</v>
      </c>
    </row>
    <row r="191" spans="1:23">
      <c r="A191" s="890">
        <f t="shared" si="57"/>
        <v>14</v>
      </c>
      <c r="B191" s="870" t="str">
        <f>IF(OR((C187="~"),(C191="~")),"~","")</f>
        <v>~</v>
      </c>
      <c r="C191" s="870" t="s">
        <v>1096</v>
      </c>
      <c r="E191" s="871">
        <v>0</v>
      </c>
      <c r="F191" s="871"/>
      <c r="G191" s="871">
        <v>0</v>
      </c>
      <c r="H191" s="871">
        <v>0</v>
      </c>
      <c r="I191" s="871">
        <v>0</v>
      </c>
      <c r="J191" s="871">
        <v>0</v>
      </c>
      <c r="K191" s="871">
        <v>0</v>
      </c>
      <c r="L191" s="871">
        <v>0</v>
      </c>
      <c r="M191" s="871">
        <v>0</v>
      </c>
      <c r="N191" s="871">
        <v>0</v>
      </c>
      <c r="O191" s="871">
        <v>0</v>
      </c>
      <c r="P191" s="871">
        <v>0</v>
      </c>
      <c r="R191" s="871">
        <v>0</v>
      </c>
      <c r="S191" s="871">
        <v>0</v>
      </c>
      <c r="T191" s="871">
        <v>0</v>
      </c>
      <c r="U191" s="871">
        <f t="shared" si="61"/>
        <v>0</v>
      </c>
      <c r="W191" s="871">
        <f t="shared" si="59"/>
        <v>0</v>
      </c>
    </row>
    <row r="192" spans="1:23">
      <c r="A192" s="890">
        <f t="shared" si="57"/>
        <v>15</v>
      </c>
      <c r="B192" s="870" t="str">
        <f>IF(OR((C187="~"),(C192="~")),"~","")</f>
        <v>~</v>
      </c>
      <c r="C192" s="870" t="s">
        <v>1096</v>
      </c>
      <c r="E192" s="871">
        <v>0</v>
      </c>
      <c r="F192" s="871"/>
      <c r="G192" s="871">
        <v>0</v>
      </c>
      <c r="H192" s="871">
        <v>0</v>
      </c>
      <c r="I192" s="871">
        <v>0</v>
      </c>
      <c r="J192" s="871">
        <v>0</v>
      </c>
      <c r="K192" s="871">
        <v>0</v>
      </c>
      <c r="L192" s="871">
        <v>0</v>
      </c>
      <c r="M192" s="871">
        <v>0</v>
      </c>
      <c r="N192" s="871">
        <v>0</v>
      </c>
      <c r="O192" s="871">
        <v>0</v>
      </c>
      <c r="P192" s="871">
        <v>0</v>
      </c>
      <c r="R192" s="871">
        <v>0</v>
      </c>
      <c r="S192" s="871">
        <v>0</v>
      </c>
      <c r="T192" s="871">
        <v>0</v>
      </c>
      <c r="U192" s="871">
        <f t="shared" si="61"/>
        <v>0</v>
      </c>
      <c r="W192" s="871">
        <f t="shared" si="59"/>
        <v>0</v>
      </c>
    </row>
    <row r="193" spans="1:23">
      <c r="A193" s="890">
        <f t="shared" si="57"/>
        <v>16</v>
      </c>
      <c r="B193" s="870" t="str">
        <f>IF(OR((C187="~"),(C193="~")),"~","")</f>
        <v>~</v>
      </c>
      <c r="C193" s="870" t="s">
        <v>1096</v>
      </c>
      <c r="E193" s="871">
        <v>0</v>
      </c>
      <c r="F193" s="871"/>
      <c r="G193" s="871">
        <v>0</v>
      </c>
      <c r="H193" s="871">
        <v>0</v>
      </c>
      <c r="I193" s="871">
        <v>0</v>
      </c>
      <c r="J193" s="871">
        <v>0</v>
      </c>
      <c r="K193" s="871">
        <v>0</v>
      </c>
      <c r="L193" s="871">
        <v>0</v>
      </c>
      <c r="M193" s="871">
        <v>0</v>
      </c>
      <c r="N193" s="871">
        <v>0</v>
      </c>
      <c r="O193" s="871">
        <v>0</v>
      </c>
      <c r="P193" s="871">
        <v>0</v>
      </c>
      <c r="R193" s="871">
        <v>0</v>
      </c>
      <c r="S193" s="871">
        <v>0</v>
      </c>
      <c r="T193" s="871">
        <v>0</v>
      </c>
      <c r="U193" s="871">
        <f t="shared" si="61"/>
        <v>0</v>
      </c>
      <c r="W193" s="871">
        <f t="shared" si="59"/>
        <v>0</v>
      </c>
    </row>
    <row r="194" spans="1:23">
      <c r="A194" s="891">
        <f t="shared" si="57"/>
        <v>17</v>
      </c>
      <c r="B194" s="881" t="str">
        <f>IF(OR((C187="~"),(C194="~")),"~","")</f>
        <v/>
      </c>
      <c r="C194" s="881" t="str">
        <f>IF(C187="~","~","Sub-total")</f>
        <v>Sub-total</v>
      </c>
      <c r="D194" s="881"/>
      <c r="E194" s="882">
        <f>SUM(E188:E193)</f>
        <v>143906847.38842461</v>
      </c>
      <c r="F194" s="882"/>
      <c r="G194" s="882">
        <f t="shared" ref="G194:P194" si="62">SUM(G188:G193)</f>
        <v>70794356.367385775</v>
      </c>
      <c r="H194" s="882">
        <f t="shared" si="62"/>
        <v>17327283.858404793</v>
      </c>
      <c r="I194" s="882">
        <f t="shared" si="62"/>
        <v>17435854.022539407</v>
      </c>
      <c r="J194" s="882">
        <f t="shared" si="62"/>
        <v>11146755.722590789</v>
      </c>
      <c r="K194" s="882">
        <f t="shared" si="62"/>
        <v>7920122.3282053769</v>
      </c>
      <c r="L194" s="882">
        <f t="shared" si="62"/>
        <v>3836905.2075374159</v>
      </c>
      <c r="M194" s="882">
        <f t="shared" si="62"/>
        <v>3370737.9173591975</v>
      </c>
      <c r="N194" s="882">
        <f t="shared" si="62"/>
        <v>11551538.785517167</v>
      </c>
      <c r="O194" s="882">
        <f t="shared" si="62"/>
        <v>478238.1389462126</v>
      </c>
      <c r="P194" s="882">
        <f t="shared" si="62"/>
        <v>45055.039938502567</v>
      </c>
      <c r="R194" s="882">
        <f>SUM(R188:R193)</f>
        <v>7348202.8896438405</v>
      </c>
      <c r="S194" s="882">
        <f>SUM(S188:S193)</f>
        <v>20313.180775317516</v>
      </c>
      <c r="T194" s="882">
        <f>SUM(T188:T193)</f>
        <v>551606.25778621924</v>
      </c>
      <c r="U194" s="882">
        <f>SUM(U188:U193)</f>
        <v>0</v>
      </c>
      <c r="W194" s="882">
        <f t="shared" si="59"/>
        <v>7368516.0704191579</v>
      </c>
    </row>
    <row r="195" spans="1:23">
      <c r="A195" s="890">
        <f t="shared" si="57"/>
        <v>18</v>
      </c>
      <c r="B195" s="870" t="str">
        <f>IF(OR((C187="~"),(C195="~")),"~","")</f>
        <v/>
      </c>
    </row>
    <row r="196" spans="1:23">
      <c r="A196" s="890">
        <f t="shared" si="57"/>
        <v>19</v>
      </c>
      <c r="C196" s="865" t="s">
        <v>605</v>
      </c>
    </row>
    <row r="197" spans="1:23">
      <c r="A197" s="890">
        <f t="shared" si="57"/>
        <v>20</v>
      </c>
      <c r="B197" s="870" t="str">
        <f>IF(OR((C196="~"),(C197="~")),"~","")</f>
        <v/>
      </c>
      <c r="C197" s="870" t="s">
        <v>1093</v>
      </c>
      <c r="E197" s="871">
        <v>366640741.7881605</v>
      </c>
      <c r="F197" s="871"/>
      <c r="G197" s="871">
        <v>233859181.70416239</v>
      </c>
      <c r="H197" s="871">
        <v>46276174.343589149</v>
      </c>
      <c r="I197" s="871">
        <v>41629191.687513761</v>
      </c>
      <c r="J197" s="871">
        <v>18900192.755158078</v>
      </c>
      <c r="K197" s="871">
        <v>17596850.884989187</v>
      </c>
      <c r="L197" s="871">
        <v>8079895.4207027182</v>
      </c>
      <c r="M197" s="871">
        <v>50791.477130447514</v>
      </c>
      <c r="N197" s="871">
        <v>-119970.01795069047</v>
      </c>
      <c r="O197" s="871">
        <v>221489.95961291043</v>
      </c>
      <c r="P197" s="871">
        <v>146943.57325263269</v>
      </c>
      <c r="R197" s="871">
        <v>13681857.239585426</v>
      </c>
      <c r="S197" s="871">
        <v>178576.28254297972</v>
      </c>
      <c r="T197" s="871">
        <v>3736417.3628607816</v>
      </c>
      <c r="U197" s="871">
        <f t="shared" ref="U197:U202" si="63">SUM(R197:T197,-K197)</f>
        <v>0</v>
      </c>
      <c r="W197" s="871">
        <f t="shared" si="59"/>
        <v>13860433.522128405</v>
      </c>
    </row>
    <row r="198" spans="1:23">
      <c r="A198" s="890">
        <f t="shared" si="57"/>
        <v>21</v>
      </c>
      <c r="B198" s="870" t="str">
        <f>IF(OR((C196="~"),(C198="~")),"~","")</f>
        <v/>
      </c>
      <c r="C198" s="870" t="s">
        <v>1094</v>
      </c>
      <c r="E198" s="871">
        <v>0</v>
      </c>
      <c r="F198" s="871"/>
      <c r="G198" s="871">
        <v>0</v>
      </c>
      <c r="H198" s="871">
        <v>0</v>
      </c>
      <c r="I198" s="871">
        <v>0</v>
      </c>
      <c r="J198" s="871">
        <v>0</v>
      </c>
      <c r="K198" s="871">
        <v>0</v>
      </c>
      <c r="L198" s="871">
        <v>0</v>
      </c>
      <c r="M198" s="871">
        <v>0</v>
      </c>
      <c r="N198" s="871">
        <v>0</v>
      </c>
      <c r="O198" s="871">
        <v>0</v>
      </c>
      <c r="P198" s="871">
        <v>0</v>
      </c>
      <c r="R198" s="871">
        <v>0</v>
      </c>
      <c r="S198" s="871">
        <v>0</v>
      </c>
      <c r="T198" s="871">
        <v>0</v>
      </c>
      <c r="U198" s="871">
        <f t="shared" si="63"/>
        <v>0</v>
      </c>
      <c r="W198" s="871">
        <f t="shared" si="59"/>
        <v>0</v>
      </c>
    </row>
    <row r="199" spans="1:23">
      <c r="A199" s="890">
        <f t="shared" si="57"/>
        <v>22</v>
      </c>
      <c r="B199" s="870" t="str">
        <f>IF(OR((C196="~"),(C199="~")),"~","")</f>
        <v/>
      </c>
      <c r="C199" s="870" t="s">
        <v>1095</v>
      </c>
      <c r="E199" s="871">
        <v>159969845.91717109</v>
      </c>
      <c r="F199" s="871"/>
      <c r="G199" s="871">
        <v>125877102.75481048</v>
      </c>
      <c r="H199" s="871">
        <v>12307426.877511442</v>
      </c>
      <c r="I199" s="871">
        <v>4280121.2669742368</v>
      </c>
      <c r="J199" s="871">
        <v>1145170.1815526607</v>
      </c>
      <c r="K199" s="871">
        <v>2465662.2679226059</v>
      </c>
      <c r="L199" s="871">
        <v>461713.0117439325</v>
      </c>
      <c r="M199" s="871">
        <v>122202.03218743674</v>
      </c>
      <c r="N199" s="871">
        <v>448189.0006082133</v>
      </c>
      <c r="O199" s="871">
        <v>12822144.256650882</v>
      </c>
      <c r="P199" s="871">
        <v>40114.267209210957</v>
      </c>
      <c r="R199" s="871">
        <v>1843221.853782912</v>
      </c>
      <c r="S199" s="871">
        <v>4145.1152713604215</v>
      </c>
      <c r="T199" s="871">
        <v>618295.29886833346</v>
      </c>
      <c r="U199" s="871">
        <f t="shared" si="63"/>
        <v>0</v>
      </c>
      <c r="W199" s="871">
        <f t="shared" si="59"/>
        <v>1847366.9690542724</v>
      </c>
    </row>
    <row r="200" spans="1:23">
      <c r="A200" s="890">
        <f t="shared" si="57"/>
        <v>23</v>
      </c>
      <c r="B200" s="870" t="str">
        <f>IF(OR((C196="~"),(C200="~")),"~","")</f>
        <v>~</v>
      </c>
      <c r="C200" s="870" t="s">
        <v>1096</v>
      </c>
      <c r="E200" s="871">
        <v>0</v>
      </c>
      <c r="F200" s="871"/>
      <c r="G200" s="871">
        <v>0</v>
      </c>
      <c r="H200" s="871">
        <v>0</v>
      </c>
      <c r="I200" s="871">
        <v>0</v>
      </c>
      <c r="J200" s="871">
        <v>0</v>
      </c>
      <c r="K200" s="871">
        <v>0</v>
      </c>
      <c r="L200" s="871">
        <v>0</v>
      </c>
      <c r="M200" s="871">
        <v>0</v>
      </c>
      <c r="N200" s="871">
        <v>0</v>
      </c>
      <c r="O200" s="871">
        <v>0</v>
      </c>
      <c r="P200" s="871">
        <v>0</v>
      </c>
      <c r="R200" s="871">
        <v>0</v>
      </c>
      <c r="S200" s="871">
        <v>0</v>
      </c>
      <c r="T200" s="871">
        <v>0</v>
      </c>
      <c r="U200" s="871">
        <f t="shared" si="63"/>
        <v>0</v>
      </c>
      <c r="W200" s="871">
        <f t="shared" si="59"/>
        <v>0</v>
      </c>
    </row>
    <row r="201" spans="1:23">
      <c r="A201" s="890">
        <f t="shared" si="57"/>
        <v>24</v>
      </c>
      <c r="B201" s="870" t="str">
        <f>IF(OR((C196="~"),(C201="~")),"~","")</f>
        <v>~</v>
      </c>
      <c r="C201" s="870" t="s">
        <v>1096</v>
      </c>
      <c r="E201" s="871">
        <v>0</v>
      </c>
      <c r="F201" s="871"/>
      <c r="G201" s="871">
        <v>0</v>
      </c>
      <c r="H201" s="871">
        <v>0</v>
      </c>
      <c r="I201" s="871">
        <v>0</v>
      </c>
      <c r="J201" s="871">
        <v>0</v>
      </c>
      <c r="K201" s="871">
        <v>0</v>
      </c>
      <c r="L201" s="871">
        <v>0</v>
      </c>
      <c r="M201" s="871">
        <v>0</v>
      </c>
      <c r="N201" s="871">
        <v>0</v>
      </c>
      <c r="O201" s="871">
        <v>0</v>
      </c>
      <c r="P201" s="871">
        <v>0</v>
      </c>
      <c r="R201" s="871">
        <v>0</v>
      </c>
      <c r="S201" s="871">
        <v>0</v>
      </c>
      <c r="T201" s="871">
        <v>0</v>
      </c>
      <c r="U201" s="871">
        <f t="shared" si="63"/>
        <v>0</v>
      </c>
      <c r="W201" s="871">
        <f t="shared" si="59"/>
        <v>0</v>
      </c>
    </row>
    <row r="202" spans="1:23">
      <c r="A202" s="890">
        <f t="shared" si="57"/>
        <v>25</v>
      </c>
      <c r="B202" s="870" t="str">
        <f>IF(OR((C196="~"),(C202="~")),"~","")</f>
        <v>~</v>
      </c>
      <c r="C202" s="870" t="s">
        <v>1096</v>
      </c>
      <c r="E202" s="871">
        <v>0</v>
      </c>
      <c r="F202" s="871"/>
      <c r="G202" s="871">
        <v>0</v>
      </c>
      <c r="H202" s="871">
        <v>0</v>
      </c>
      <c r="I202" s="871">
        <v>0</v>
      </c>
      <c r="J202" s="871">
        <v>0</v>
      </c>
      <c r="K202" s="871">
        <v>0</v>
      </c>
      <c r="L202" s="871">
        <v>0</v>
      </c>
      <c r="M202" s="871">
        <v>0</v>
      </c>
      <c r="N202" s="871">
        <v>0</v>
      </c>
      <c r="O202" s="871">
        <v>0</v>
      </c>
      <c r="P202" s="871">
        <v>0</v>
      </c>
      <c r="R202" s="871">
        <v>0</v>
      </c>
      <c r="S202" s="871">
        <v>0</v>
      </c>
      <c r="T202" s="871">
        <v>0</v>
      </c>
      <c r="U202" s="871">
        <f t="shared" si="63"/>
        <v>0</v>
      </c>
      <c r="W202" s="871">
        <f t="shared" si="59"/>
        <v>0</v>
      </c>
    </row>
    <row r="203" spans="1:23">
      <c r="A203" s="891">
        <f t="shared" si="57"/>
        <v>26</v>
      </c>
      <c r="B203" s="881" t="str">
        <f>IF(OR((C196="~"),(C203="~")),"~","")</f>
        <v/>
      </c>
      <c r="C203" s="881" t="str">
        <f>IF(C196="~","~","Sub-total")</f>
        <v>Sub-total</v>
      </c>
      <c r="D203" s="881"/>
      <c r="E203" s="882">
        <f>SUM(E197:E202)</f>
        <v>526610587.70533156</v>
      </c>
      <c r="F203" s="882"/>
      <c r="G203" s="882">
        <f t="shared" ref="G203:P203" si="64">SUM(G197:G202)</f>
        <v>359736284.45897287</v>
      </c>
      <c r="H203" s="882">
        <f t="shared" si="64"/>
        <v>58583601.221100591</v>
      </c>
      <c r="I203" s="882">
        <f t="shared" si="64"/>
        <v>45909312.954487994</v>
      </c>
      <c r="J203" s="882">
        <f t="shared" si="64"/>
        <v>20045362.936710738</v>
      </c>
      <c r="K203" s="882">
        <f t="shared" si="64"/>
        <v>20062513.152911793</v>
      </c>
      <c r="L203" s="882">
        <f t="shared" si="64"/>
        <v>8541608.4324466512</v>
      </c>
      <c r="M203" s="882">
        <f t="shared" si="64"/>
        <v>172993.50931788425</v>
      </c>
      <c r="N203" s="882">
        <f t="shared" si="64"/>
        <v>328218.98265752284</v>
      </c>
      <c r="O203" s="882">
        <f t="shared" si="64"/>
        <v>13043634.216263792</v>
      </c>
      <c r="P203" s="882">
        <f t="shared" si="64"/>
        <v>187057.84046184365</v>
      </c>
      <c r="R203" s="882">
        <f>SUM(R197:R202)</f>
        <v>15525079.093368338</v>
      </c>
      <c r="S203" s="882">
        <f>SUM(S197:S202)</f>
        <v>182721.39781434013</v>
      </c>
      <c r="T203" s="882">
        <f>SUM(T197:T202)</f>
        <v>4354712.6617291151</v>
      </c>
      <c r="U203" s="882">
        <f>SUM(U197:U202)</f>
        <v>0</v>
      </c>
      <c r="W203" s="882">
        <f t="shared" si="59"/>
        <v>15707800.491182679</v>
      </c>
    </row>
    <row r="204" spans="1:23" hidden="1">
      <c r="A204" s="890"/>
      <c r="B204" s="870" t="str">
        <f>IF(OR((C196="~"),(C204="~")),"~","")</f>
        <v/>
      </c>
      <c r="W204" s="870">
        <f t="shared" si="59"/>
        <v>0</v>
      </c>
    </row>
    <row r="205" spans="1:23" hidden="1">
      <c r="A205" s="890"/>
      <c r="B205" s="870" t="s">
        <v>1096</v>
      </c>
      <c r="C205" s="865"/>
      <c r="W205" s="870">
        <f t="shared" si="59"/>
        <v>0</v>
      </c>
    </row>
    <row r="206" spans="1:23" hidden="1">
      <c r="A206" s="890"/>
      <c r="B206" s="870" t="str">
        <f>IF(OR((B205="~"),(C206="~")),"~","")</f>
        <v>~</v>
      </c>
      <c r="C206" s="870" t="s">
        <v>1096</v>
      </c>
      <c r="E206" s="871">
        <v>0</v>
      </c>
      <c r="F206" s="871"/>
      <c r="G206" s="871">
        <v>0</v>
      </c>
      <c r="H206" s="871">
        <v>0</v>
      </c>
      <c r="I206" s="871">
        <v>0</v>
      </c>
      <c r="J206" s="871">
        <v>0</v>
      </c>
      <c r="K206" s="871">
        <v>0</v>
      </c>
      <c r="L206" s="871">
        <v>0</v>
      </c>
      <c r="M206" s="871">
        <v>0</v>
      </c>
      <c r="N206" s="871">
        <v>0</v>
      </c>
      <c r="O206" s="871">
        <v>0</v>
      </c>
      <c r="P206" s="871">
        <v>0</v>
      </c>
      <c r="R206" s="871">
        <v>0</v>
      </c>
      <c r="S206" s="871">
        <v>0</v>
      </c>
      <c r="T206" s="871">
        <v>0</v>
      </c>
      <c r="U206" s="871">
        <v>0</v>
      </c>
      <c r="W206" s="871">
        <f t="shared" si="59"/>
        <v>0</v>
      </c>
    </row>
    <row r="207" spans="1:23" hidden="1">
      <c r="A207" s="890"/>
      <c r="B207" s="870" t="str">
        <f>IF(OR((B205="~"),(C207="~")),"~","")</f>
        <v>~</v>
      </c>
      <c r="C207" s="870" t="s">
        <v>1096</v>
      </c>
      <c r="E207" s="871">
        <v>0</v>
      </c>
      <c r="F207" s="871"/>
      <c r="G207" s="871">
        <v>0</v>
      </c>
      <c r="H207" s="871">
        <v>0</v>
      </c>
      <c r="I207" s="871">
        <v>0</v>
      </c>
      <c r="J207" s="871">
        <v>0</v>
      </c>
      <c r="K207" s="871">
        <v>0</v>
      </c>
      <c r="L207" s="871">
        <v>0</v>
      </c>
      <c r="M207" s="871">
        <v>0</v>
      </c>
      <c r="N207" s="871">
        <v>0</v>
      </c>
      <c r="O207" s="871">
        <v>0</v>
      </c>
      <c r="P207" s="871">
        <v>0</v>
      </c>
      <c r="R207" s="871">
        <v>0</v>
      </c>
      <c r="S207" s="871">
        <v>0</v>
      </c>
      <c r="T207" s="871">
        <v>0</v>
      </c>
      <c r="U207" s="871">
        <v>0</v>
      </c>
      <c r="W207" s="871">
        <f t="shared" si="59"/>
        <v>0</v>
      </c>
    </row>
    <row r="208" spans="1:23" hidden="1">
      <c r="A208" s="890"/>
      <c r="B208" s="870" t="str">
        <f>IF(OR((B205="~"),(C208="~")),"~","")</f>
        <v>~</v>
      </c>
      <c r="C208" s="870" t="s">
        <v>1096</v>
      </c>
      <c r="E208" s="871">
        <v>0</v>
      </c>
      <c r="F208" s="871"/>
      <c r="G208" s="871">
        <v>0</v>
      </c>
      <c r="H208" s="871">
        <v>0</v>
      </c>
      <c r="I208" s="871">
        <v>0</v>
      </c>
      <c r="J208" s="871">
        <v>0</v>
      </c>
      <c r="K208" s="871">
        <v>0</v>
      </c>
      <c r="L208" s="871">
        <v>0</v>
      </c>
      <c r="M208" s="871">
        <v>0</v>
      </c>
      <c r="N208" s="871">
        <v>0</v>
      </c>
      <c r="O208" s="871">
        <v>0</v>
      </c>
      <c r="P208" s="871">
        <v>0</v>
      </c>
      <c r="R208" s="871">
        <v>0</v>
      </c>
      <c r="S208" s="871">
        <v>0</v>
      </c>
      <c r="T208" s="871">
        <v>0</v>
      </c>
      <c r="U208" s="871">
        <v>0</v>
      </c>
      <c r="W208" s="871">
        <f t="shared" si="59"/>
        <v>0</v>
      </c>
    </row>
    <row r="209" spans="1:23" hidden="1">
      <c r="A209" s="890"/>
      <c r="B209" s="870" t="str">
        <f>IF(OR((B205="~"),(C209="~")),"~","")</f>
        <v>~</v>
      </c>
      <c r="C209" s="870" t="s">
        <v>1096</v>
      </c>
      <c r="E209" s="871">
        <v>0</v>
      </c>
      <c r="F209" s="871"/>
      <c r="G209" s="871">
        <v>0</v>
      </c>
      <c r="H209" s="871">
        <v>0</v>
      </c>
      <c r="I209" s="871">
        <v>0</v>
      </c>
      <c r="J209" s="871">
        <v>0</v>
      </c>
      <c r="K209" s="871">
        <v>0</v>
      </c>
      <c r="L209" s="871">
        <v>0</v>
      </c>
      <c r="M209" s="871">
        <v>0</v>
      </c>
      <c r="N209" s="871">
        <v>0</v>
      </c>
      <c r="O209" s="871">
        <v>0</v>
      </c>
      <c r="P209" s="871">
        <v>0</v>
      </c>
      <c r="R209" s="871">
        <v>0</v>
      </c>
      <c r="S209" s="871">
        <v>0</v>
      </c>
      <c r="T209" s="871">
        <v>0</v>
      </c>
      <c r="U209" s="871">
        <v>0</v>
      </c>
      <c r="W209" s="871">
        <f t="shared" si="59"/>
        <v>0</v>
      </c>
    </row>
    <row r="210" spans="1:23" hidden="1">
      <c r="A210" s="890"/>
      <c r="B210" s="870" t="str">
        <f>IF(OR((B205="~"),(C210="~")),"~","")</f>
        <v>~</v>
      </c>
      <c r="C210" s="870" t="s">
        <v>1096</v>
      </c>
      <c r="E210" s="871">
        <v>0</v>
      </c>
      <c r="F210" s="871"/>
      <c r="G210" s="871">
        <v>0</v>
      </c>
      <c r="H210" s="871">
        <v>0</v>
      </c>
      <c r="I210" s="871">
        <v>0</v>
      </c>
      <c r="J210" s="871">
        <v>0</v>
      </c>
      <c r="K210" s="871">
        <v>0</v>
      </c>
      <c r="L210" s="871">
        <v>0</v>
      </c>
      <c r="M210" s="871">
        <v>0</v>
      </c>
      <c r="N210" s="871">
        <v>0</v>
      </c>
      <c r="O210" s="871">
        <v>0</v>
      </c>
      <c r="P210" s="871">
        <v>0</v>
      </c>
      <c r="R210" s="871">
        <v>0</v>
      </c>
      <c r="S210" s="871">
        <v>0</v>
      </c>
      <c r="T210" s="871">
        <v>0</v>
      </c>
      <c r="U210" s="871">
        <v>0</v>
      </c>
      <c r="W210" s="871">
        <f t="shared" si="59"/>
        <v>0</v>
      </c>
    </row>
    <row r="211" spans="1:23" hidden="1">
      <c r="A211" s="890"/>
      <c r="B211" s="870" t="str">
        <f>IF(OR((B205="~"),(C211="~")),"~","")</f>
        <v>~</v>
      </c>
      <c r="C211" s="870" t="s">
        <v>1096</v>
      </c>
      <c r="E211" s="871">
        <v>0</v>
      </c>
      <c r="F211" s="871"/>
      <c r="G211" s="871">
        <v>0</v>
      </c>
      <c r="H211" s="871">
        <v>0</v>
      </c>
      <c r="I211" s="871">
        <v>0</v>
      </c>
      <c r="J211" s="871">
        <v>0</v>
      </c>
      <c r="K211" s="871">
        <v>0</v>
      </c>
      <c r="L211" s="871">
        <v>0</v>
      </c>
      <c r="M211" s="871">
        <v>0</v>
      </c>
      <c r="N211" s="871">
        <v>0</v>
      </c>
      <c r="O211" s="871">
        <v>0</v>
      </c>
      <c r="P211" s="871">
        <v>0</v>
      </c>
      <c r="R211" s="871">
        <v>0</v>
      </c>
      <c r="S211" s="871">
        <v>0</v>
      </c>
      <c r="T211" s="871">
        <v>0</v>
      </c>
      <c r="U211" s="871">
        <v>0</v>
      </c>
      <c r="W211" s="871">
        <f t="shared" si="59"/>
        <v>0</v>
      </c>
    </row>
    <row r="212" spans="1:23" hidden="1">
      <c r="A212" s="891"/>
      <c r="B212" s="881" t="str">
        <f>IF(OR((B205="~"),(C212="~")),"~","")</f>
        <v>~</v>
      </c>
      <c r="C212" s="881" t="str">
        <f>IF(B205="~","~","Sub-total")</f>
        <v>~</v>
      </c>
      <c r="D212" s="881"/>
      <c r="E212" s="882">
        <f>SUM(E206:E211)</f>
        <v>0</v>
      </c>
      <c r="F212" s="882"/>
      <c r="G212" s="882">
        <f t="shared" ref="G212:P212" si="65">SUM(G206:G211)</f>
        <v>0</v>
      </c>
      <c r="H212" s="882">
        <f t="shared" si="65"/>
        <v>0</v>
      </c>
      <c r="I212" s="882">
        <f t="shared" si="65"/>
        <v>0</v>
      </c>
      <c r="J212" s="882">
        <f t="shared" si="65"/>
        <v>0</v>
      </c>
      <c r="K212" s="882">
        <f t="shared" si="65"/>
        <v>0</v>
      </c>
      <c r="L212" s="882">
        <f t="shared" si="65"/>
        <v>0</v>
      </c>
      <c r="M212" s="882">
        <f t="shared" si="65"/>
        <v>0</v>
      </c>
      <c r="N212" s="882">
        <f t="shared" si="65"/>
        <v>0</v>
      </c>
      <c r="O212" s="882">
        <f t="shared" si="65"/>
        <v>0</v>
      </c>
      <c r="P212" s="882">
        <f t="shared" si="65"/>
        <v>0</v>
      </c>
      <c r="R212" s="882">
        <f>SUM(R206:R211)</f>
        <v>0</v>
      </c>
      <c r="S212" s="882">
        <f>SUM(S206:S211)</f>
        <v>0</v>
      </c>
      <c r="T212" s="882">
        <f>SUM(T206:T211)</f>
        <v>0</v>
      </c>
      <c r="U212" s="882">
        <f>SUM(U206:U211)</f>
        <v>0</v>
      </c>
      <c r="W212" s="882">
        <f t="shared" si="59"/>
        <v>0</v>
      </c>
    </row>
    <row r="213" spans="1:23" hidden="1">
      <c r="A213" s="890"/>
      <c r="B213" s="870" t="str">
        <f>IF(OR((B205="~"),(C213="~")),"~","")</f>
        <v>~</v>
      </c>
      <c r="W213" s="870">
        <f t="shared" si="59"/>
        <v>0</v>
      </c>
    </row>
    <row r="214" spans="1:23" hidden="1">
      <c r="A214" s="890"/>
      <c r="B214" s="870" t="s">
        <v>1096</v>
      </c>
      <c r="C214" s="865"/>
      <c r="W214" s="870">
        <f t="shared" si="59"/>
        <v>0</v>
      </c>
    </row>
    <row r="215" spans="1:23" hidden="1">
      <c r="A215" s="890"/>
      <c r="B215" s="870" t="str">
        <f>IF(OR((B214="~"),(C215="~")),"~","")</f>
        <v>~</v>
      </c>
      <c r="C215" s="870" t="s">
        <v>1096</v>
      </c>
      <c r="E215" s="871">
        <v>0</v>
      </c>
      <c r="F215" s="871"/>
      <c r="G215" s="871">
        <v>0</v>
      </c>
      <c r="H215" s="871">
        <v>0</v>
      </c>
      <c r="I215" s="871">
        <v>0</v>
      </c>
      <c r="J215" s="871">
        <v>0</v>
      </c>
      <c r="K215" s="871">
        <v>0</v>
      </c>
      <c r="L215" s="871">
        <v>0</v>
      </c>
      <c r="M215" s="871">
        <v>0</v>
      </c>
      <c r="N215" s="871">
        <v>0</v>
      </c>
      <c r="O215" s="871">
        <v>0</v>
      </c>
      <c r="P215" s="871">
        <v>0</v>
      </c>
      <c r="R215" s="871">
        <v>0</v>
      </c>
      <c r="S215" s="871">
        <v>0</v>
      </c>
      <c r="T215" s="871">
        <v>0</v>
      </c>
      <c r="U215" s="871">
        <v>0</v>
      </c>
      <c r="W215" s="871">
        <f t="shared" si="59"/>
        <v>0</v>
      </c>
    </row>
    <row r="216" spans="1:23" hidden="1">
      <c r="A216" s="890"/>
      <c r="B216" s="870" t="str">
        <f>IF(OR((B214="~"),(C216="~")),"~","")</f>
        <v>~</v>
      </c>
      <c r="C216" s="870" t="s">
        <v>1096</v>
      </c>
      <c r="E216" s="871">
        <v>0</v>
      </c>
      <c r="F216" s="871"/>
      <c r="G216" s="871">
        <v>0</v>
      </c>
      <c r="H216" s="871">
        <v>0</v>
      </c>
      <c r="I216" s="871">
        <v>0</v>
      </c>
      <c r="J216" s="871">
        <v>0</v>
      </c>
      <c r="K216" s="871">
        <v>0</v>
      </c>
      <c r="L216" s="871">
        <v>0</v>
      </c>
      <c r="M216" s="871">
        <v>0</v>
      </c>
      <c r="N216" s="871">
        <v>0</v>
      </c>
      <c r="O216" s="871">
        <v>0</v>
      </c>
      <c r="P216" s="871">
        <v>0</v>
      </c>
      <c r="R216" s="871">
        <v>0</v>
      </c>
      <c r="S216" s="871">
        <v>0</v>
      </c>
      <c r="T216" s="871">
        <v>0</v>
      </c>
      <c r="U216" s="871">
        <v>0</v>
      </c>
      <c r="W216" s="871">
        <f t="shared" si="59"/>
        <v>0</v>
      </c>
    </row>
    <row r="217" spans="1:23" hidden="1">
      <c r="A217" s="890"/>
      <c r="B217" s="870" t="str">
        <f>IF(OR((B214="~"),(C217="~")),"~","")</f>
        <v>~</v>
      </c>
      <c r="C217" s="870" t="s">
        <v>1096</v>
      </c>
      <c r="E217" s="871">
        <v>0</v>
      </c>
      <c r="F217" s="871"/>
      <c r="G217" s="871">
        <v>0</v>
      </c>
      <c r="H217" s="871">
        <v>0</v>
      </c>
      <c r="I217" s="871">
        <v>0</v>
      </c>
      <c r="J217" s="871">
        <v>0</v>
      </c>
      <c r="K217" s="871">
        <v>0</v>
      </c>
      <c r="L217" s="871">
        <v>0</v>
      </c>
      <c r="M217" s="871">
        <v>0</v>
      </c>
      <c r="N217" s="871">
        <v>0</v>
      </c>
      <c r="O217" s="871">
        <v>0</v>
      </c>
      <c r="P217" s="871">
        <v>0</v>
      </c>
      <c r="R217" s="871">
        <v>0</v>
      </c>
      <c r="S217" s="871">
        <v>0</v>
      </c>
      <c r="T217" s="871">
        <v>0</v>
      </c>
      <c r="U217" s="871">
        <v>0</v>
      </c>
      <c r="W217" s="871">
        <f t="shared" si="59"/>
        <v>0</v>
      </c>
    </row>
    <row r="218" spans="1:23" hidden="1">
      <c r="A218" s="890"/>
      <c r="B218" s="870" t="str">
        <f>IF(OR((B214="~"),(C218="~")),"~","")</f>
        <v>~</v>
      </c>
      <c r="C218" s="870" t="s">
        <v>1096</v>
      </c>
      <c r="E218" s="871">
        <v>0</v>
      </c>
      <c r="F218" s="871"/>
      <c r="G218" s="871">
        <v>0</v>
      </c>
      <c r="H218" s="871">
        <v>0</v>
      </c>
      <c r="I218" s="871">
        <v>0</v>
      </c>
      <c r="J218" s="871">
        <v>0</v>
      </c>
      <c r="K218" s="871">
        <v>0</v>
      </c>
      <c r="L218" s="871">
        <v>0</v>
      </c>
      <c r="M218" s="871">
        <v>0</v>
      </c>
      <c r="N218" s="871">
        <v>0</v>
      </c>
      <c r="O218" s="871">
        <v>0</v>
      </c>
      <c r="P218" s="871">
        <v>0</v>
      </c>
      <c r="R218" s="871">
        <v>0</v>
      </c>
      <c r="S218" s="871">
        <v>0</v>
      </c>
      <c r="T218" s="871">
        <v>0</v>
      </c>
      <c r="U218" s="871">
        <v>0</v>
      </c>
      <c r="W218" s="871">
        <f t="shared" si="59"/>
        <v>0</v>
      </c>
    </row>
    <row r="219" spans="1:23" hidden="1">
      <c r="A219" s="890"/>
      <c r="B219" s="870" t="str">
        <f>IF(OR((B214="~"),(C219="~")),"~","")</f>
        <v>~</v>
      </c>
      <c r="C219" s="870" t="s">
        <v>1096</v>
      </c>
      <c r="E219" s="871">
        <v>0</v>
      </c>
      <c r="F219" s="871"/>
      <c r="G219" s="871">
        <v>0</v>
      </c>
      <c r="H219" s="871">
        <v>0</v>
      </c>
      <c r="I219" s="871">
        <v>0</v>
      </c>
      <c r="J219" s="871">
        <v>0</v>
      </c>
      <c r="K219" s="871">
        <v>0</v>
      </c>
      <c r="L219" s="871">
        <v>0</v>
      </c>
      <c r="M219" s="871">
        <v>0</v>
      </c>
      <c r="N219" s="871">
        <v>0</v>
      </c>
      <c r="O219" s="871">
        <v>0</v>
      </c>
      <c r="P219" s="871">
        <v>0</v>
      </c>
      <c r="R219" s="871">
        <v>0</v>
      </c>
      <c r="S219" s="871">
        <v>0</v>
      </c>
      <c r="T219" s="871">
        <v>0</v>
      </c>
      <c r="U219" s="871">
        <v>0</v>
      </c>
      <c r="W219" s="871">
        <f t="shared" si="59"/>
        <v>0</v>
      </c>
    </row>
    <row r="220" spans="1:23" hidden="1">
      <c r="A220" s="890"/>
      <c r="B220" s="870" t="str">
        <f>IF(OR((B214="~"),(C220="~")),"~","")</f>
        <v>~</v>
      </c>
      <c r="C220" s="870" t="s">
        <v>1096</v>
      </c>
      <c r="E220" s="871">
        <v>0</v>
      </c>
      <c r="F220" s="871"/>
      <c r="G220" s="871">
        <v>0</v>
      </c>
      <c r="H220" s="871">
        <v>0</v>
      </c>
      <c r="I220" s="871">
        <v>0</v>
      </c>
      <c r="J220" s="871">
        <v>0</v>
      </c>
      <c r="K220" s="871">
        <v>0</v>
      </c>
      <c r="L220" s="871">
        <v>0</v>
      </c>
      <c r="M220" s="871">
        <v>0</v>
      </c>
      <c r="N220" s="871">
        <v>0</v>
      </c>
      <c r="O220" s="871">
        <v>0</v>
      </c>
      <c r="P220" s="871">
        <v>0</v>
      </c>
      <c r="R220" s="871">
        <v>0</v>
      </c>
      <c r="S220" s="871">
        <v>0</v>
      </c>
      <c r="T220" s="871">
        <v>0</v>
      </c>
      <c r="U220" s="871">
        <v>0</v>
      </c>
      <c r="W220" s="871">
        <f t="shared" si="59"/>
        <v>0</v>
      </c>
    </row>
    <row r="221" spans="1:23" hidden="1">
      <c r="A221" s="891"/>
      <c r="B221" s="881" t="str">
        <f>IF(OR((B214="~"),(C221="~")),"~","")</f>
        <v>~</v>
      </c>
      <c r="C221" s="881" t="str">
        <f>IF(B214="~","~","Sub-total")</f>
        <v>~</v>
      </c>
      <c r="D221" s="881"/>
      <c r="E221" s="882">
        <f>SUM(E215:E220)</f>
        <v>0</v>
      </c>
      <c r="F221" s="882"/>
      <c r="G221" s="882">
        <f t="shared" ref="G221:P221" si="66">SUM(G215:G220)</f>
        <v>0</v>
      </c>
      <c r="H221" s="882">
        <f t="shared" si="66"/>
        <v>0</v>
      </c>
      <c r="I221" s="882">
        <f t="shared" si="66"/>
        <v>0</v>
      </c>
      <c r="J221" s="882">
        <f t="shared" si="66"/>
        <v>0</v>
      </c>
      <c r="K221" s="882">
        <f t="shared" si="66"/>
        <v>0</v>
      </c>
      <c r="L221" s="882">
        <f t="shared" si="66"/>
        <v>0</v>
      </c>
      <c r="M221" s="882">
        <f t="shared" si="66"/>
        <v>0</v>
      </c>
      <c r="N221" s="882">
        <f t="shared" si="66"/>
        <v>0</v>
      </c>
      <c r="O221" s="882">
        <f t="shared" si="66"/>
        <v>0</v>
      </c>
      <c r="P221" s="882">
        <f t="shared" si="66"/>
        <v>0</v>
      </c>
      <c r="R221" s="882">
        <f>SUM(R215:R220)</f>
        <v>0</v>
      </c>
      <c r="S221" s="882">
        <f>SUM(S215:S220)</f>
        <v>0</v>
      </c>
      <c r="T221" s="882">
        <f>SUM(T215:T220)</f>
        <v>0</v>
      </c>
      <c r="U221" s="882">
        <f>SUM(U215:U220)</f>
        <v>0</v>
      </c>
      <c r="W221" s="882">
        <f t="shared" si="59"/>
        <v>0</v>
      </c>
    </row>
    <row r="222" spans="1:23" hidden="1">
      <c r="A222" s="890"/>
      <c r="B222" s="870" t="str">
        <f>IF(OR((B214="~"),(C222="~")),"~","")</f>
        <v>~</v>
      </c>
      <c r="W222" s="870">
        <f t="shared" si="59"/>
        <v>0</v>
      </c>
    </row>
    <row r="223" spans="1:23" hidden="1">
      <c r="A223" s="890"/>
      <c r="B223" s="870" t="s">
        <v>1096</v>
      </c>
      <c r="C223" s="865"/>
      <c r="W223" s="870">
        <f t="shared" si="59"/>
        <v>0</v>
      </c>
    </row>
    <row r="224" spans="1:23" hidden="1">
      <c r="A224" s="890"/>
      <c r="B224" s="870" t="str">
        <f>IF(OR((B223="~"),(C224="~")),"~","")</f>
        <v>~</v>
      </c>
      <c r="C224" s="870" t="s">
        <v>1096</v>
      </c>
      <c r="E224" s="871">
        <v>0</v>
      </c>
      <c r="F224" s="871"/>
      <c r="G224" s="871">
        <v>0</v>
      </c>
      <c r="H224" s="871">
        <v>0</v>
      </c>
      <c r="I224" s="871">
        <v>0</v>
      </c>
      <c r="J224" s="871">
        <v>0</v>
      </c>
      <c r="K224" s="871">
        <v>0</v>
      </c>
      <c r="L224" s="871">
        <v>0</v>
      </c>
      <c r="M224" s="871">
        <v>0</v>
      </c>
      <c r="N224" s="871">
        <v>0</v>
      </c>
      <c r="O224" s="871">
        <v>0</v>
      </c>
      <c r="P224" s="871">
        <v>0</v>
      </c>
      <c r="R224" s="871">
        <v>0</v>
      </c>
      <c r="S224" s="871">
        <v>0</v>
      </c>
      <c r="T224" s="871">
        <v>0</v>
      </c>
      <c r="U224" s="871">
        <v>0</v>
      </c>
      <c r="W224" s="871">
        <f t="shared" si="59"/>
        <v>0</v>
      </c>
    </row>
    <row r="225" spans="1:23" hidden="1">
      <c r="A225" s="890"/>
      <c r="B225" s="870" t="str">
        <f>IF(OR((B223="~"),(C225="~")),"~","")</f>
        <v>~</v>
      </c>
      <c r="C225" s="870" t="s">
        <v>1096</v>
      </c>
      <c r="E225" s="871">
        <v>0</v>
      </c>
      <c r="F225" s="871"/>
      <c r="G225" s="871">
        <v>0</v>
      </c>
      <c r="H225" s="871">
        <v>0</v>
      </c>
      <c r="I225" s="871">
        <v>0</v>
      </c>
      <c r="J225" s="871">
        <v>0</v>
      </c>
      <c r="K225" s="871">
        <v>0</v>
      </c>
      <c r="L225" s="871">
        <v>0</v>
      </c>
      <c r="M225" s="871">
        <v>0</v>
      </c>
      <c r="N225" s="871">
        <v>0</v>
      </c>
      <c r="O225" s="871">
        <v>0</v>
      </c>
      <c r="P225" s="871">
        <v>0</v>
      </c>
      <c r="R225" s="871">
        <v>0</v>
      </c>
      <c r="S225" s="871">
        <v>0</v>
      </c>
      <c r="T225" s="871">
        <v>0</v>
      </c>
      <c r="U225" s="871">
        <v>0</v>
      </c>
      <c r="W225" s="871">
        <f t="shared" si="59"/>
        <v>0</v>
      </c>
    </row>
    <row r="226" spans="1:23" hidden="1">
      <c r="A226" s="890"/>
      <c r="B226" s="870" t="str">
        <f>IF(OR((B223="~"),(C226="~")),"~","")</f>
        <v>~</v>
      </c>
      <c r="C226" s="870" t="s">
        <v>1096</v>
      </c>
      <c r="E226" s="871">
        <v>0</v>
      </c>
      <c r="F226" s="871"/>
      <c r="G226" s="871">
        <v>0</v>
      </c>
      <c r="H226" s="871">
        <v>0</v>
      </c>
      <c r="I226" s="871">
        <v>0</v>
      </c>
      <c r="J226" s="871">
        <v>0</v>
      </c>
      <c r="K226" s="871">
        <v>0</v>
      </c>
      <c r="L226" s="871">
        <v>0</v>
      </c>
      <c r="M226" s="871">
        <v>0</v>
      </c>
      <c r="N226" s="871">
        <v>0</v>
      </c>
      <c r="O226" s="871">
        <v>0</v>
      </c>
      <c r="P226" s="871">
        <v>0</v>
      </c>
      <c r="R226" s="871">
        <v>0</v>
      </c>
      <c r="S226" s="871">
        <v>0</v>
      </c>
      <c r="T226" s="871">
        <v>0</v>
      </c>
      <c r="U226" s="871">
        <v>0</v>
      </c>
      <c r="W226" s="871">
        <f t="shared" si="59"/>
        <v>0</v>
      </c>
    </row>
    <row r="227" spans="1:23" hidden="1">
      <c r="A227" s="890"/>
      <c r="B227" s="870" t="str">
        <f>IF(OR((B223="~"),(C227="~")),"~","")</f>
        <v>~</v>
      </c>
      <c r="C227" s="870" t="s">
        <v>1096</v>
      </c>
      <c r="E227" s="871">
        <v>0</v>
      </c>
      <c r="F227" s="871"/>
      <c r="G227" s="871">
        <v>0</v>
      </c>
      <c r="H227" s="871">
        <v>0</v>
      </c>
      <c r="I227" s="871">
        <v>0</v>
      </c>
      <c r="J227" s="871">
        <v>0</v>
      </c>
      <c r="K227" s="871">
        <v>0</v>
      </c>
      <c r="L227" s="871">
        <v>0</v>
      </c>
      <c r="M227" s="871">
        <v>0</v>
      </c>
      <c r="N227" s="871">
        <v>0</v>
      </c>
      <c r="O227" s="871">
        <v>0</v>
      </c>
      <c r="P227" s="871">
        <v>0</v>
      </c>
      <c r="R227" s="871">
        <v>0</v>
      </c>
      <c r="S227" s="871">
        <v>0</v>
      </c>
      <c r="T227" s="871">
        <v>0</v>
      </c>
      <c r="U227" s="871">
        <v>0</v>
      </c>
      <c r="W227" s="871">
        <f t="shared" si="59"/>
        <v>0</v>
      </c>
    </row>
    <row r="228" spans="1:23" hidden="1">
      <c r="A228" s="890"/>
      <c r="B228" s="870" t="str">
        <f>IF(OR((B223="~"),(C228="~")),"~","")</f>
        <v>~</v>
      </c>
      <c r="C228" s="870" t="s">
        <v>1096</v>
      </c>
      <c r="E228" s="871">
        <v>0</v>
      </c>
      <c r="F228" s="871"/>
      <c r="G228" s="871">
        <v>0</v>
      </c>
      <c r="H228" s="871">
        <v>0</v>
      </c>
      <c r="I228" s="871">
        <v>0</v>
      </c>
      <c r="J228" s="871">
        <v>0</v>
      </c>
      <c r="K228" s="871">
        <v>0</v>
      </c>
      <c r="L228" s="871">
        <v>0</v>
      </c>
      <c r="M228" s="871">
        <v>0</v>
      </c>
      <c r="N228" s="871">
        <v>0</v>
      </c>
      <c r="O228" s="871">
        <v>0</v>
      </c>
      <c r="P228" s="871">
        <v>0</v>
      </c>
      <c r="R228" s="871">
        <v>0</v>
      </c>
      <c r="S228" s="871">
        <v>0</v>
      </c>
      <c r="T228" s="871">
        <v>0</v>
      </c>
      <c r="U228" s="871">
        <v>0</v>
      </c>
      <c r="W228" s="871">
        <f t="shared" si="59"/>
        <v>0</v>
      </c>
    </row>
    <row r="229" spans="1:23" hidden="1">
      <c r="A229" s="890"/>
      <c r="B229" s="870" t="str">
        <f>IF(OR((B223="~"),(C229="~")),"~","")</f>
        <v>~</v>
      </c>
      <c r="C229" s="870" t="s">
        <v>1096</v>
      </c>
      <c r="E229" s="871">
        <v>0</v>
      </c>
      <c r="F229" s="871"/>
      <c r="G229" s="871">
        <v>0</v>
      </c>
      <c r="H229" s="871">
        <v>0</v>
      </c>
      <c r="I229" s="871">
        <v>0</v>
      </c>
      <c r="J229" s="871">
        <v>0</v>
      </c>
      <c r="K229" s="871">
        <v>0</v>
      </c>
      <c r="L229" s="871">
        <v>0</v>
      </c>
      <c r="M229" s="871">
        <v>0</v>
      </c>
      <c r="N229" s="871">
        <v>0</v>
      </c>
      <c r="O229" s="871">
        <v>0</v>
      </c>
      <c r="P229" s="871">
        <v>0</v>
      </c>
      <c r="R229" s="871">
        <v>0</v>
      </c>
      <c r="S229" s="871">
        <v>0</v>
      </c>
      <c r="T229" s="871">
        <v>0</v>
      </c>
      <c r="U229" s="871">
        <v>0</v>
      </c>
      <c r="W229" s="871">
        <f t="shared" si="59"/>
        <v>0</v>
      </c>
    </row>
    <row r="230" spans="1:23" hidden="1">
      <c r="A230" s="891"/>
      <c r="B230" s="881" t="str">
        <f>IF(OR((B223="~"),(C230="~")),"~","")</f>
        <v>~</v>
      </c>
      <c r="C230" s="881" t="str">
        <f>IF(B223="~","~","Sub-total")</f>
        <v>~</v>
      </c>
      <c r="D230" s="881"/>
      <c r="E230" s="882">
        <f>SUM(E224:E229)</f>
        <v>0</v>
      </c>
      <c r="F230" s="882"/>
      <c r="G230" s="882">
        <f t="shared" ref="G230:P230" si="67">SUM(G224:G229)</f>
        <v>0</v>
      </c>
      <c r="H230" s="882">
        <f t="shared" si="67"/>
        <v>0</v>
      </c>
      <c r="I230" s="882">
        <f t="shared" si="67"/>
        <v>0</v>
      </c>
      <c r="J230" s="882">
        <f t="shared" si="67"/>
        <v>0</v>
      </c>
      <c r="K230" s="882">
        <f t="shared" si="67"/>
        <v>0</v>
      </c>
      <c r="L230" s="882">
        <f t="shared" si="67"/>
        <v>0</v>
      </c>
      <c r="M230" s="882">
        <f t="shared" si="67"/>
        <v>0</v>
      </c>
      <c r="N230" s="882">
        <f t="shared" si="67"/>
        <v>0</v>
      </c>
      <c r="O230" s="882">
        <f t="shared" si="67"/>
        <v>0</v>
      </c>
      <c r="P230" s="882">
        <f t="shared" si="67"/>
        <v>0</v>
      </c>
      <c r="R230" s="882">
        <f>SUM(R224:R229)</f>
        <v>0</v>
      </c>
      <c r="S230" s="882">
        <f>SUM(S224:S229)</f>
        <v>0</v>
      </c>
      <c r="T230" s="882">
        <f>SUM(T224:T229)</f>
        <v>0</v>
      </c>
      <c r="U230" s="882">
        <f>SUM(U224:U229)</f>
        <v>0</v>
      </c>
      <c r="W230" s="882">
        <f t="shared" si="59"/>
        <v>0</v>
      </c>
    </row>
    <row r="231" spans="1:23" hidden="1">
      <c r="A231" s="890"/>
      <c r="B231" s="870" t="str">
        <f>IF(OR((B223="~"),(C231="~")),"~","")</f>
        <v>~</v>
      </c>
      <c r="W231" s="870">
        <f t="shared" si="59"/>
        <v>0</v>
      </c>
    </row>
    <row r="232" spans="1:23" hidden="1">
      <c r="A232" s="890"/>
      <c r="B232" s="870" t="s">
        <v>1096</v>
      </c>
      <c r="C232" s="865"/>
      <c r="W232" s="870">
        <f t="shared" si="59"/>
        <v>0</v>
      </c>
    </row>
    <row r="233" spans="1:23" hidden="1">
      <c r="A233" s="890"/>
      <c r="B233" s="870" t="str">
        <f>IF(OR((B232="~"),(C233="~")),"~","")</f>
        <v>~</v>
      </c>
      <c r="C233" s="870" t="s">
        <v>1096</v>
      </c>
      <c r="E233" s="871">
        <v>0</v>
      </c>
      <c r="F233" s="871"/>
      <c r="G233" s="871">
        <v>0</v>
      </c>
      <c r="H233" s="871">
        <v>0</v>
      </c>
      <c r="I233" s="871">
        <v>0</v>
      </c>
      <c r="J233" s="871">
        <v>0</v>
      </c>
      <c r="K233" s="871">
        <v>0</v>
      </c>
      <c r="L233" s="871">
        <v>0</v>
      </c>
      <c r="M233" s="871">
        <v>0</v>
      </c>
      <c r="N233" s="871">
        <v>0</v>
      </c>
      <c r="O233" s="871">
        <v>0</v>
      </c>
      <c r="P233" s="871">
        <v>0</v>
      </c>
      <c r="R233" s="871">
        <v>0</v>
      </c>
      <c r="S233" s="871">
        <v>0</v>
      </c>
      <c r="T233" s="871">
        <v>0</v>
      </c>
      <c r="U233" s="871">
        <v>0</v>
      </c>
      <c r="W233" s="871">
        <f t="shared" si="59"/>
        <v>0</v>
      </c>
    </row>
    <row r="234" spans="1:23" hidden="1">
      <c r="A234" s="890"/>
      <c r="B234" s="870" t="str">
        <f>IF(OR((B232="~"),(C234="~")),"~","")</f>
        <v>~</v>
      </c>
      <c r="C234" s="870" t="s">
        <v>1096</v>
      </c>
      <c r="E234" s="871">
        <v>0</v>
      </c>
      <c r="F234" s="871"/>
      <c r="G234" s="871">
        <v>0</v>
      </c>
      <c r="H234" s="871">
        <v>0</v>
      </c>
      <c r="I234" s="871">
        <v>0</v>
      </c>
      <c r="J234" s="871">
        <v>0</v>
      </c>
      <c r="K234" s="871">
        <v>0</v>
      </c>
      <c r="L234" s="871">
        <v>0</v>
      </c>
      <c r="M234" s="871">
        <v>0</v>
      </c>
      <c r="N234" s="871">
        <v>0</v>
      </c>
      <c r="O234" s="871">
        <v>0</v>
      </c>
      <c r="P234" s="871">
        <v>0</v>
      </c>
      <c r="R234" s="871">
        <v>0</v>
      </c>
      <c r="S234" s="871">
        <v>0</v>
      </c>
      <c r="T234" s="871">
        <v>0</v>
      </c>
      <c r="U234" s="871">
        <v>0</v>
      </c>
      <c r="W234" s="871">
        <f t="shared" si="59"/>
        <v>0</v>
      </c>
    </row>
    <row r="235" spans="1:23" hidden="1">
      <c r="A235" s="890"/>
      <c r="B235" s="870" t="str">
        <f>IF(OR((B232="~"),(C235="~")),"~","")</f>
        <v>~</v>
      </c>
      <c r="C235" s="870" t="s">
        <v>1096</v>
      </c>
      <c r="E235" s="871">
        <v>0</v>
      </c>
      <c r="F235" s="871"/>
      <c r="G235" s="871">
        <v>0</v>
      </c>
      <c r="H235" s="871">
        <v>0</v>
      </c>
      <c r="I235" s="871">
        <v>0</v>
      </c>
      <c r="J235" s="871">
        <v>0</v>
      </c>
      <c r="K235" s="871">
        <v>0</v>
      </c>
      <c r="L235" s="871">
        <v>0</v>
      </c>
      <c r="M235" s="871">
        <v>0</v>
      </c>
      <c r="N235" s="871">
        <v>0</v>
      </c>
      <c r="O235" s="871">
        <v>0</v>
      </c>
      <c r="P235" s="871">
        <v>0</v>
      </c>
      <c r="R235" s="871">
        <v>0</v>
      </c>
      <c r="S235" s="871">
        <v>0</v>
      </c>
      <c r="T235" s="871">
        <v>0</v>
      </c>
      <c r="U235" s="871">
        <v>0</v>
      </c>
      <c r="W235" s="871">
        <f t="shared" si="59"/>
        <v>0</v>
      </c>
    </row>
    <row r="236" spans="1:23" hidden="1">
      <c r="A236" s="890"/>
      <c r="B236" s="870" t="str">
        <f>IF(OR((B232="~"),(C236="~")),"~","")</f>
        <v>~</v>
      </c>
      <c r="C236" s="870" t="s">
        <v>1096</v>
      </c>
      <c r="E236" s="871">
        <v>0</v>
      </c>
      <c r="F236" s="871"/>
      <c r="G236" s="871">
        <v>0</v>
      </c>
      <c r="H236" s="871">
        <v>0</v>
      </c>
      <c r="I236" s="871">
        <v>0</v>
      </c>
      <c r="J236" s="871">
        <v>0</v>
      </c>
      <c r="K236" s="871">
        <v>0</v>
      </c>
      <c r="L236" s="871">
        <v>0</v>
      </c>
      <c r="M236" s="871">
        <v>0</v>
      </c>
      <c r="N236" s="871">
        <v>0</v>
      </c>
      <c r="O236" s="871">
        <v>0</v>
      </c>
      <c r="P236" s="871">
        <v>0</v>
      </c>
      <c r="R236" s="871">
        <v>0</v>
      </c>
      <c r="S236" s="871">
        <v>0</v>
      </c>
      <c r="T236" s="871">
        <v>0</v>
      </c>
      <c r="U236" s="871">
        <v>0</v>
      </c>
      <c r="W236" s="871">
        <f t="shared" si="59"/>
        <v>0</v>
      </c>
    </row>
    <row r="237" spans="1:23" hidden="1">
      <c r="A237" s="890"/>
      <c r="B237" s="870" t="str">
        <f>IF(OR((B232="~"),(C237="~")),"~","")</f>
        <v>~</v>
      </c>
      <c r="C237" s="870" t="s">
        <v>1096</v>
      </c>
      <c r="E237" s="871">
        <v>0</v>
      </c>
      <c r="F237" s="871"/>
      <c r="G237" s="871">
        <v>0</v>
      </c>
      <c r="H237" s="871">
        <v>0</v>
      </c>
      <c r="I237" s="871">
        <v>0</v>
      </c>
      <c r="J237" s="871">
        <v>0</v>
      </c>
      <c r="K237" s="871">
        <v>0</v>
      </c>
      <c r="L237" s="871">
        <v>0</v>
      </c>
      <c r="M237" s="871">
        <v>0</v>
      </c>
      <c r="N237" s="871">
        <v>0</v>
      </c>
      <c r="O237" s="871">
        <v>0</v>
      </c>
      <c r="P237" s="871">
        <v>0</v>
      </c>
      <c r="R237" s="871">
        <v>0</v>
      </c>
      <c r="S237" s="871">
        <v>0</v>
      </c>
      <c r="T237" s="871">
        <v>0</v>
      </c>
      <c r="U237" s="871">
        <v>0</v>
      </c>
      <c r="W237" s="871">
        <f t="shared" si="59"/>
        <v>0</v>
      </c>
    </row>
    <row r="238" spans="1:23" hidden="1">
      <c r="A238" s="890"/>
      <c r="B238" s="870" t="str">
        <f>IF(OR((B232="~"),(C238="~")),"~","")</f>
        <v>~</v>
      </c>
      <c r="C238" s="870" t="s">
        <v>1096</v>
      </c>
      <c r="E238" s="871">
        <v>0</v>
      </c>
      <c r="F238" s="871"/>
      <c r="G238" s="871">
        <v>0</v>
      </c>
      <c r="H238" s="871">
        <v>0</v>
      </c>
      <c r="I238" s="871">
        <v>0</v>
      </c>
      <c r="J238" s="871">
        <v>0</v>
      </c>
      <c r="K238" s="871">
        <v>0</v>
      </c>
      <c r="L238" s="871">
        <v>0</v>
      </c>
      <c r="M238" s="871">
        <v>0</v>
      </c>
      <c r="N238" s="871">
        <v>0</v>
      </c>
      <c r="O238" s="871">
        <v>0</v>
      </c>
      <c r="P238" s="871">
        <v>0</v>
      </c>
      <c r="R238" s="871">
        <v>0</v>
      </c>
      <c r="S238" s="871">
        <v>0</v>
      </c>
      <c r="T238" s="871">
        <v>0</v>
      </c>
      <c r="U238" s="871">
        <v>0</v>
      </c>
      <c r="W238" s="871">
        <f t="shared" si="59"/>
        <v>0</v>
      </c>
    </row>
    <row r="239" spans="1:23" hidden="1">
      <c r="A239" s="891"/>
      <c r="B239" s="881" t="str">
        <f>IF(OR((B232="~"),(C239="~")),"~","")</f>
        <v>~</v>
      </c>
      <c r="C239" s="881" t="str">
        <f>IF(B232="~","~","Sub-total")</f>
        <v>~</v>
      </c>
      <c r="D239" s="881"/>
      <c r="E239" s="882">
        <f>SUM(E233:E238)</f>
        <v>0</v>
      </c>
      <c r="F239" s="882"/>
      <c r="G239" s="882">
        <f t="shared" ref="G239:P239" si="68">SUM(G233:G238)</f>
        <v>0</v>
      </c>
      <c r="H239" s="882">
        <f t="shared" si="68"/>
        <v>0</v>
      </c>
      <c r="I239" s="882">
        <f t="shared" si="68"/>
        <v>0</v>
      </c>
      <c r="J239" s="882">
        <f t="shared" si="68"/>
        <v>0</v>
      </c>
      <c r="K239" s="882">
        <f t="shared" si="68"/>
        <v>0</v>
      </c>
      <c r="L239" s="882">
        <f t="shared" si="68"/>
        <v>0</v>
      </c>
      <c r="M239" s="882">
        <f t="shared" si="68"/>
        <v>0</v>
      </c>
      <c r="N239" s="882">
        <f t="shared" si="68"/>
        <v>0</v>
      </c>
      <c r="O239" s="882">
        <f t="shared" si="68"/>
        <v>0</v>
      </c>
      <c r="P239" s="882">
        <f t="shared" si="68"/>
        <v>0</v>
      </c>
      <c r="R239" s="882">
        <f>SUM(R233:R238)</f>
        <v>0</v>
      </c>
      <c r="S239" s="882">
        <f>SUM(S233:S238)</f>
        <v>0</v>
      </c>
      <c r="T239" s="882">
        <f>SUM(T233:T238)</f>
        <v>0</v>
      </c>
      <c r="U239" s="882">
        <f>SUM(U233:U238)</f>
        <v>0</v>
      </c>
      <c r="W239" s="882">
        <f t="shared" si="59"/>
        <v>0</v>
      </c>
    </row>
    <row r="240" spans="1:23" hidden="1">
      <c r="A240" s="890"/>
      <c r="B240" s="870" t="str">
        <f>IF(OR((B232="~"),(C240="~")),"~","")</f>
        <v>~</v>
      </c>
      <c r="W240" s="870">
        <f t="shared" si="59"/>
        <v>0</v>
      </c>
    </row>
    <row r="241" spans="1:23" hidden="1">
      <c r="A241" s="890"/>
      <c r="B241" s="870" t="s">
        <v>1096</v>
      </c>
      <c r="C241" s="865"/>
      <c r="W241" s="870">
        <f t="shared" si="59"/>
        <v>0</v>
      </c>
    </row>
    <row r="242" spans="1:23" hidden="1">
      <c r="A242" s="890"/>
      <c r="B242" s="870" t="str">
        <f>IF(OR((B241="~"),(C242="~")),"~","")</f>
        <v>~</v>
      </c>
      <c r="C242" s="870" t="s">
        <v>1096</v>
      </c>
      <c r="E242" s="871">
        <v>0</v>
      </c>
      <c r="F242" s="871"/>
      <c r="G242" s="871">
        <v>0</v>
      </c>
      <c r="H242" s="871">
        <v>0</v>
      </c>
      <c r="I242" s="871">
        <v>0</v>
      </c>
      <c r="J242" s="871">
        <v>0</v>
      </c>
      <c r="K242" s="871">
        <v>0</v>
      </c>
      <c r="L242" s="871">
        <v>0</v>
      </c>
      <c r="M242" s="871">
        <v>0</v>
      </c>
      <c r="N242" s="871">
        <v>0</v>
      </c>
      <c r="O242" s="871">
        <v>0</v>
      </c>
      <c r="P242" s="871">
        <v>0</v>
      </c>
      <c r="R242" s="871">
        <v>0</v>
      </c>
      <c r="S242" s="871">
        <v>0</v>
      </c>
      <c r="T242" s="871">
        <v>0</v>
      </c>
      <c r="U242" s="871">
        <v>0</v>
      </c>
      <c r="W242" s="871">
        <f t="shared" si="59"/>
        <v>0</v>
      </c>
    </row>
    <row r="243" spans="1:23" hidden="1">
      <c r="A243" s="890"/>
      <c r="B243" s="870" t="str">
        <f>IF(OR((B241="~"),(C243="~")),"~","")</f>
        <v>~</v>
      </c>
      <c r="C243" s="870" t="s">
        <v>1096</v>
      </c>
      <c r="E243" s="871">
        <v>0</v>
      </c>
      <c r="F243" s="871"/>
      <c r="G243" s="871">
        <v>0</v>
      </c>
      <c r="H243" s="871">
        <v>0</v>
      </c>
      <c r="I243" s="871">
        <v>0</v>
      </c>
      <c r="J243" s="871">
        <v>0</v>
      </c>
      <c r="K243" s="871">
        <v>0</v>
      </c>
      <c r="L243" s="871">
        <v>0</v>
      </c>
      <c r="M243" s="871">
        <v>0</v>
      </c>
      <c r="N243" s="871">
        <v>0</v>
      </c>
      <c r="O243" s="871">
        <v>0</v>
      </c>
      <c r="P243" s="871">
        <v>0</v>
      </c>
      <c r="R243" s="871">
        <v>0</v>
      </c>
      <c r="S243" s="871">
        <v>0</v>
      </c>
      <c r="T243" s="871">
        <v>0</v>
      </c>
      <c r="U243" s="871">
        <v>0</v>
      </c>
      <c r="W243" s="871">
        <f t="shared" ref="W243:W276" si="69">+R243+S243</f>
        <v>0</v>
      </c>
    </row>
    <row r="244" spans="1:23" hidden="1">
      <c r="A244" s="890"/>
      <c r="B244" s="870" t="str">
        <f>IF(OR((B241="~"),(C244="~")),"~","")</f>
        <v>~</v>
      </c>
      <c r="C244" s="870" t="s">
        <v>1096</v>
      </c>
      <c r="E244" s="871">
        <v>0</v>
      </c>
      <c r="F244" s="871"/>
      <c r="G244" s="871">
        <v>0</v>
      </c>
      <c r="H244" s="871">
        <v>0</v>
      </c>
      <c r="I244" s="871">
        <v>0</v>
      </c>
      <c r="J244" s="871">
        <v>0</v>
      </c>
      <c r="K244" s="871">
        <v>0</v>
      </c>
      <c r="L244" s="871">
        <v>0</v>
      </c>
      <c r="M244" s="871">
        <v>0</v>
      </c>
      <c r="N244" s="871">
        <v>0</v>
      </c>
      <c r="O244" s="871">
        <v>0</v>
      </c>
      <c r="P244" s="871">
        <v>0</v>
      </c>
      <c r="R244" s="871">
        <v>0</v>
      </c>
      <c r="S244" s="871">
        <v>0</v>
      </c>
      <c r="T244" s="871">
        <v>0</v>
      </c>
      <c r="U244" s="871">
        <v>0</v>
      </c>
      <c r="W244" s="871">
        <f t="shared" si="69"/>
        <v>0</v>
      </c>
    </row>
    <row r="245" spans="1:23" hidden="1">
      <c r="A245" s="890"/>
      <c r="B245" s="870" t="str">
        <f>IF(OR((B241="~"),(C245="~")),"~","")</f>
        <v>~</v>
      </c>
      <c r="C245" s="870" t="s">
        <v>1096</v>
      </c>
      <c r="E245" s="871">
        <v>0</v>
      </c>
      <c r="F245" s="871"/>
      <c r="G245" s="871">
        <v>0</v>
      </c>
      <c r="H245" s="871">
        <v>0</v>
      </c>
      <c r="I245" s="871">
        <v>0</v>
      </c>
      <c r="J245" s="871">
        <v>0</v>
      </c>
      <c r="K245" s="871">
        <v>0</v>
      </c>
      <c r="L245" s="871">
        <v>0</v>
      </c>
      <c r="M245" s="871">
        <v>0</v>
      </c>
      <c r="N245" s="871">
        <v>0</v>
      </c>
      <c r="O245" s="871">
        <v>0</v>
      </c>
      <c r="P245" s="871">
        <v>0</v>
      </c>
      <c r="R245" s="871">
        <v>0</v>
      </c>
      <c r="S245" s="871">
        <v>0</v>
      </c>
      <c r="T245" s="871">
        <v>0</v>
      </c>
      <c r="U245" s="871">
        <v>0</v>
      </c>
      <c r="W245" s="871">
        <f t="shared" si="69"/>
        <v>0</v>
      </c>
    </row>
    <row r="246" spans="1:23" hidden="1">
      <c r="A246" s="890"/>
      <c r="B246" s="870" t="str">
        <f>IF(OR((B241="~"),(C246="~")),"~","")</f>
        <v>~</v>
      </c>
      <c r="C246" s="870" t="s">
        <v>1096</v>
      </c>
      <c r="E246" s="871">
        <v>0</v>
      </c>
      <c r="F246" s="871"/>
      <c r="G246" s="871">
        <v>0</v>
      </c>
      <c r="H246" s="871">
        <v>0</v>
      </c>
      <c r="I246" s="871">
        <v>0</v>
      </c>
      <c r="J246" s="871">
        <v>0</v>
      </c>
      <c r="K246" s="871">
        <v>0</v>
      </c>
      <c r="L246" s="871">
        <v>0</v>
      </c>
      <c r="M246" s="871">
        <v>0</v>
      </c>
      <c r="N246" s="871">
        <v>0</v>
      </c>
      <c r="O246" s="871">
        <v>0</v>
      </c>
      <c r="P246" s="871">
        <v>0</v>
      </c>
      <c r="R246" s="871">
        <v>0</v>
      </c>
      <c r="S246" s="871">
        <v>0</v>
      </c>
      <c r="T246" s="871">
        <v>0</v>
      </c>
      <c r="U246" s="871">
        <v>0</v>
      </c>
      <c r="W246" s="871">
        <f t="shared" si="69"/>
        <v>0</v>
      </c>
    </row>
    <row r="247" spans="1:23" hidden="1">
      <c r="A247" s="890"/>
      <c r="B247" s="870" t="str">
        <f>IF(OR((B241="~"),(C247="~")),"~","")</f>
        <v>~</v>
      </c>
      <c r="C247" s="870" t="s">
        <v>1096</v>
      </c>
      <c r="E247" s="871">
        <v>0</v>
      </c>
      <c r="F247" s="871"/>
      <c r="G247" s="871">
        <v>0</v>
      </c>
      <c r="H247" s="871">
        <v>0</v>
      </c>
      <c r="I247" s="871">
        <v>0</v>
      </c>
      <c r="J247" s="871">
        <v>0</v>
      </c>
      <c r="K247" s="871">
        <v>0</v>
      </c>
      <c r="L247" s="871">
        <v>0</v>
      </c>
      <c r="M247" s="871">
        <v>0</v>
      </c>
      <c r="N247" s="871">
        <v>0</v>
      </c>
      <c r="O247" s="871">
        <v>0</v>
      </c>
      <c r="P247" s="871">
        <v>0</v>
      </c>
      <c r="R247" s="871">
        <v>0</v>
      </c>
      <c r="S247" s="871">
        <v>0</v>
      </c>
      <c r="T247" s="871">
        <v>0</v>
      </c>
      <c r="U247" s="871">
        <v>0</v>
      </c>
      <c r="W247" s="871">
        <f t="shared" si="69"/>
        <v>0</v>
      </c>
    </row>
    <row r="248" spans="1:23" hidden="1">
      <c r="A248" s="891"/>
      <c r="B248" s="881" t="str">
        <f>IF(OR((B241="~"),(C248="~")),"~","")</f>
        <v>~</v>
      </c>
      <c r="C248" s="881" t="str">
        <f>IF(B241="~","~","Sub-total")</f>
        <v>~</v>
      </c>
      <c r="D248" s="881"/>
      <c r="E248" s="882">
        <f>SUM(E242:E247)</f>
        <v>0</v>
      </c>
      <c r="F248" s="882"/>
      <c r="G248" s="882">
        <f t="shared" ref="G248:P248" si="70">SUM(G242:G247)</f>
        <v>0</v>
      </c>
      <c r="H248" s="882">
        <f t="shared" si="70"/>
        <v>0</v>
      </c>
      <c r="I248" s="882">
        <f t="shared" si="70"/>
        <v>0</v>
      </c>
      <c r="J248" s="882">
        <f t="shared" si="70"/>
        <v>0</v>
      </c>
      <c r="K248" s="882">
        <f t="shared" si="70"/>
        <v>0</v>
      </c>
      <c r="L248" s="882">
        <f t="shared" si="70"/>
        <v>0</v>
      </c>
      <c r="M248" s="882">
        <f t="shared" si="70"/>
        <v>0</v>
      </c>
      <c r="N248" s="882">
        <f t="shared" si="70"/>
        <v>0</v>
      </c>
      <c r="O248" s="882">
        <f t="shared" si="70"/>
        <v>0</v>
      </c>
      <c r="P248" s="882">
        <f t="shared" si="70"/>
        <v>0</v>
      </c>
      <c r="R248" s="882">
        <f>SUM(R242:R247)</f>
        <v>0</v>
      </c>
      <c r="S248" s="882">
        <f>SUM(S242:S247)</f>
        <v>0</v>
      </c>
      <c r="T248" s="882">
        <f>SUM(T242:T247)</f>
        <v>0</v>
      </c>
      <c r="U248" s="882">
        <f>SUM(U242:U247)</f>
        <v>0</v>
      </c>
      <c r="W248" s="882">
        <f t="shared" si="69"/>
        <v>0</v>
      </c>
    </row>
    <row r="249" spans="1:23" hidden="1">
      <c r="A249" s="890"/>
      <c r="B249" s="870" t="str">
        <f>IF(OR((B241="~"),(C249="~")),"~","")</f>
        <v>~</v>
      </c>
      <c r="W249" s="870">
        <f t="shared" si="69"/>
        <v>0</v>
      </c>
    </row>
    <row r="250" spans="1:23" hidden="1">
      <c r="A250" s="890"/>
      <c r="B250" s="870" t="s">
        <v>1096</v>
      </c>
      <c r="C250" s="865"/>
      <c r="W250" s="870">
        <f t="shared" si="69"/>
        <v>0</v>
      </c>
    </row>
    <row r="251" spans="1:23" hidden="1">
      <c r="A251" s="890"/>
      <c r="B251" s="870" t="str">
        <f>IF(OR((B250="~"),(C251="~")),"~","")</f>
        <v>~</v>
      </c>
      <c r="C251" s="870" t="s">
        <v>1096</v>
      </c>
      <c r="E251" s="871">
        <v>0</v>
      </c>
      <c r="F251" s="871"/>
      <c r="G251" s="871">
        <v>0</v>
      </c>
      <c r="H251" s="871">
        <v>0</v>
      </c>
      <c r="I251" s="871">
        <v>0</v>
      </c>
      <c r="J251" s="871">
        <v>0</v>
      </c>
      <c r="K251" s="871">
        <v>0</v>
      </c>
      <c r="L251" s="871">
        <v>0</v>
      </c>
      <c r="M251" s="871">
        <v>0</v>
      </c>
      <c r="N251" s="871">
        <v>0</v>
      </c>
      <c r="O251" s="871">
        <v>0</v>
      </c>
      <c r="P251" s="871">
        <v>0</v>
      </c>
      <c r="R251" s="871">
        <v>0</v>
      </c>
      <c r="S251" s="871">
        <v>0</v>
      </c>
      <c r="T251" s="871">
        <v>0</v>
      </c>
      <c r="U251" s="871">
        <v>0</v>
      </c>
      <c r="W251" s="871">
        <f t="shared" si="69"/>
        <v>0</v>
      </c>
    </row>
    <row r="252" spans="1:23" hidden="1">
      <c r="A252" s="890"/>
      <c r="B252" s="870" t="str">
        <f>IF(OR((B250="~"),(C252="~")),"~","")</f>
        <v>~</v>
      </c>
      <c r="C252" s="870" t="s">
        <v>1096</v>
      </c>
      <c r="E252" s="871">
        <v>0</v>
      </c>
      <c r="F252" s="871"/>
      <c r="G252" s="871">
        <v>0</v>
      </c>
      <c r="H252" s="871">
        <v>0</v>
      </c>
      <c r="I252" s="871">
        <v>0</v>
      </c>
      <c r="J252" s="871">
        <v>0</v>
      </c>
      <c r="K252" s="871">
        <v>0</v>
      </c>
      <c r="L252" s="871">
        <v>0</v>
      </c>
      <c r="M252" s="871">
        <v>0</v>
      </c>
      <c r="N252" s="871">
        <v>0</v>
      </c>
      <c r="O252" s="871">
        <v>0</v>
      </c>
      <c r="P252" s="871">
        <v>0</v>
      </c>
      <c r="R252" s="871">
        <v>0</v>
      </c>
      <c r="S252" s="871">
        <v>0</v>
      </c>
      <c r="T252" s="871">
        <v>0</v>
      </c>
      <c r="U252" s="871">
        <v>0</v>
      </c>
      <c r="W252" s="871">
        <f t="shared" si="69"/>
        <v>0</v>
      </c>
    </row>
    <row r="253" spans="1:23" hidden="1">
      <c r="A253" s="890"/>
      <c r="B253" s="870" t="str">
        <f>IF(OR((B250="~"),(C253="~")),"~","")</f>
        <v>~</v>
      </c>
      <c r="C253" s="870" t="s">
        <v>1096</v>
      </c>
      <c r="E253" s="871">
        <v>0</v>
      </c>
      <c r="F253" s="871"/>
      <c r="G253" s="871">
        <v>0</v>
      </c>
      <c r="H253" s="871">
        <v>0</v>
      </c>
      <c r="I253" s="871">
        <v>0</v>
      </c>
      <c r="J253" s="871">
        <v>0</v>
      </c>
      <c r="K253" s="871">
        <v>0</v>
      </c>
      <c r="L253" s="871">
        <v>0</v>
      </c>
      <c r="M253" s="871">
        <v>0</v>
      </c>
      <c r="N253" s="871">
        <v>0</v>
      </c>
      <c r="O253" s="871">
        <v>0</v>
      </c>
      <c r="P253" s="871">
        <v>0</v>
      </c>
      <c r="R253" s="871">
        <v>0</v>
      </c>
      <c r="S253" s="871">
        <v>0</v>
      </c>
      <c r="T253" s="871">
        <v>0</v>
      </c>
      <c r="U253" s="871">
        <v>0</v>
      </c>
      <c r="W253" s="871">
        <f t="shared" si="69"/>
        <v>0</v>
      </c>
    </row>
    <row r="254" spans="1:23" hidden="1">
      <c r="A254" s="890"/>
      <c r="B254" s="870" t="str">
        <f>IF(OR((B250="~"),(C254="~")),"~","")</f>
        <v>~</v>
      </c>
      <c r="C254" s="870" t="s">
        <v>1096</v>
      </c>
      <c r="E254" s="871">
        <v>0</v>
      </c>
      <c r="F254" s="871"/>
      <c r="G254" s="871">
        <v>0</v>
      </c>
      <c r="H254" s="871">
        <v>0</v>
      </c>
      <c r="I254" s="871">
        <v>0</v>
      </c>
      <c r="J254" s="871">
        <v>0</v>
      </c>
      <c r="K254" s="871">
        <v>0</v>
      </c>
      <c r="L254" s="871">
        <v>0</v>
      </c>
      <c r="M254" s="871">
        <v>0</v>
      </c>
      <c r="N254" s="871">
        <v>0</v>
      </c>
      <c r="O254" s="871">
        <v>0</v>
      </c>
      <c r="P254" s="871">
        <v>0</v>
      </c>
      <c r="R254" s="871">
        <v>0</v>
      </c>
      <c r="S254" s="871">
        <v>0</v>
      </c>
      <c r="T254" s="871">
        <v>0</v>
      </c>
      <c r="U254" s="871">
        <v>0</v>
      </c>
      <c r="W254" s="871">
        <f t="shared" si="69"/>
        <v>0</v>
      </c>
    </row>
    <row r="255" spans="1:23" hidden="1">
      <c r="A255" s="890"/>
      <c r="B255" s="870" t="str">
        <f>IF(OR((B250="~"),(C255="~")),"~","")</f>
        <v>~</v>
      </c>
      <c r="C255" s="870" t="s">
        <v>1096</v>
      </c>
      <c r="E255" s="871">
        <v>0</v>
      </c>
      <c r="F255" s="871"/>
      <c r="G255" s="871">
        <v>0</v>
      </c>
      <c r="H255" s="871">
        <v>0</v>
      </c>
      <c r="I255" s="871">
        <v>0</v>
      </c>
      <c r="J255" s="871">
        <v>0</v>
      </c>
      <c r="K255" s="871">
        <v>0</v>
      </c>
      <c r="L255" s="871">
        <v>0</v>
      </c>
      <c r="M255" s="871">
        <v>0</v>
      </c>
      <c r="N255" s="871">
        <v>0</v>
      </c>
      <c r="O255" s="871">
        <v>0</v>
      </c>
      <c r="P255" s="871">
        <v>0</v>
      </c>
      <c r="R255" s="871">
        <v>0</v>
      </c>
      <c r="S255" s="871">
        <v>0</v>
      </c>
      <c r="T255" s="871">
        <v>0</v>
      </c>
      <c r="U255" s="871">
        <v>0</v>
      </c>
      <c r="W255" s="871">
        <f t="shared" si="69"/>
        <v>0</v>
      </c>
    </row>
    <row r="256" spans="1:23" hidden="1">
      <c r="A256" s="890"/>
      <c r="B256" s="870" t="str">
        <f>IF(OR((B250="~"),(C256="~")),"~","")</f>
        <v>~</v>
      </c>
      <c r="C256" s="870" t="s">
        <v>1096</v>
      </c>
      <c r="E256" s="871">
        <v>0</v>
      </c>
      <c r="F256" s="871"/>
      <c r="G256" s="871">
        <v>0</v>
      </c>
      <c r="H256" s="871">
        <v>0</v>
      </c>
      <c r="I256" s="871">
        <v>0</v>
      </c>
      <c r="J256" s="871">
        <v>0</v>
      </c>
      <c r="K256" s="871">
        <v>0</v>
      </c>
      <c r="L256" s="871">
        <v>0</v>
      </c>
      <c r="M256" s="871">
        <v>0</v>
      </c>
      <c r="N256" s="871">
        <v>0</v>
      </c>
      <c r="O256" s="871">
        <v>0</v>
      </c>
      <c r="P256" s="871">
        <v>0</v>
      </c>
      <c r="R256" s="871">
        <v>0</v>
      </c>
      <c r="S256" s="871">
        <v>0</v>
      </c>
      <c r="T256" s="871">
        <v>0</v>
      </c>
      <c r="U256" s="871">
        <v>0</v>
      </c>
      <c r="W256" s="871">
        <f t="shared" si="69"/>
        <v>0</v>
      </c>
    </row>
    <row r="257" spans="1:23" hidden="1">
      <c r="A257" s="891"/>
      <c r="B257" s="881" t="str">
        <f>IF(OR((B250="~"),(C257="~")),"~","")</f>
        <v>~</v>
      </c>
      <c r="C257" s="881" t="str">
        <f>IF(B250="~","~","Sub-total")</f>
        <v>~</v>
      </c>
      <c r="D257" s="881"/>
      <c r="E257" s="882">
        <f>SUM(E251:E256)</f>
        <v>0</v>
      </c>
      <c r="F257" s="882"/>
      <c r="G257" s="882">
        <f t="shared" ref="G257:P257" si="71">SUM(G251:G256)</f>
        <v>0</v>
      </c>
      <c r="H257" s="882">
        <f t="shared" si="71"/>
        <v>0</v>
      </c>
      <c r="I257" s="882">
        <f t="shared" si="71"/>
        <v>0</v>
      </c>
      <c r="J257" s="882">
        <f t="shared" si="71"/>
        <v>0</v>
      </c>
      <c r="K257" s="882">
        <f t="shared" si="71"/>
        <v>0</v>
      </c>
      <c r="L257" s="882">
        <f t="shared" si="71"/>
        <v>0</v>
      </c>
      <c r="M257" s="882">
        <f t="shared" si="71"/>
        <v>0</v>
      </c>
      <c r="N257" s="882">
        <f t="shared" si="71"/>
        <v>0</v>
      </c>
      <c r="O257" s="882">
        <f t="shared" si="71"/>
        <v>0</v>
      </c>
      <c r="P257" s="882">
        <f t="shared" si="71"/>
        <v>0</v>
      </c>
      <c r="R257" s="882">
        <f>SUM(R251:R256)</f>
        <v>0</v>
      </c>
      <c r="S257" s="882">
        <f>SUM(S251:S256)</f>
        <v>0</v>
      </c>
      <c r="T257" s="882">
        <f>SUM(T251:T256)</f>
        <v>0</v>
      </c>
      <c r="U257" s="882">
        <f>SUM(U251:U256)</f>
        <v>0</v>
      </c>
      <c r="W257" s="882">
        <f t="shared" si="69"/>
        <v>0</v>
      </c>
    </row>
    <row r="258" spans="1:23" hidden="1">
      <c r="A258" s="890"/>
      <c r="B258" s="870" t="str">
        <f>IF(OR((B250="~"),(C258="~")),"~","")</f>
        <v>~</v>
      </c>
      <c r="W258" s="870">
        <f t="shared" si="69"/>
        <v>0</v>
      </c>
    </row>
    <row r="259" spans="1:23" hidden="1">
      <c r="A259" s="890"/>
      <c r="B259" s="870" t="s">
        <v>1096</v>
      </c>
      <c r="C259" s="865"/>
      <c r="W259" s="870">
        <f t="shared" si="69"/>
        <v>0</v>
      </c>
    </row>
    <row r="260" spans="1:23" hidden="1">
      <c r="A260" s="890"/>
      <c r="B260" s="870" t="str">
        <f>IF(OR((B259="~"),(C260="~")),"~","")</f>
        <v>~</v>
      </c>
      <c r="C260" s="870" t="s">
        <v>1096</v>
      </c>
      <c r="E260" s="871">
        <v>0</v>
      </c>
      <c r="F260" s="871"/>
      <c r="G260" s="871">
        <v>0</v>
      </c>
      <c r="H260" s="871">
        <v>0</v>
      </c>
      <c r="I260" s="871">
        <v>0</v>
      </c>
      <c r="J260" s="871">
        <v>0</v>
      </c>
      <c r="K260" s="871">
        <v>0</v>
      </c>
      <c r="L260" s="871">
        <v>0</v>
      </c>
      <c r="M260" s="871">
        <v>0</v>
      </c>
      <c r="N260" s="871">
        <v>0</v>
      </c>
      <c r="O260" s="871">
        <v>0</v>
      </c>
      <c r="P260" s="871">
        <v>0</v>
      </c>
      <c r="R260" s="871">
        <v>0</v>
      </c>
      <c r="S260" s="871">
        <v>0</v>
      </c>
      <c r="T260" s="871">
        <v>0</v>
      </c>
      <c r="U260" s="871">
        <v>0</v>
      </c>
      <c r="W260" s="871">
        <f t="shared" si="69"/>
        <v>0</v>
      </c>
    </row>
    <row r="261" spans="1:23" hidden="1">
      <c r="A261" s="890"/>
      <c r="B261" s="870" t="str">
        <f>IF(OR((B259="~"),(C261="~")),"~","")</f>
        <v>~</v>
      </c>
      <c r="C261" s="870" t="s">
        <v>1096</v>
      </c>
      <c r="E261" s="871">
        <v>0</v>
      </c>
      <c r="F261" s="871"/>
      <c r="G261" s="871">
        <v>0</v>
      </c>
      <c r="H261" s="871">
        <v>0</v>
      </c>
      <c r="I261" s="871">
        <v>0</v>
      </c>
      <c r="J261" s="871">
        <v>0</v>
      </c>
      <c r="K261" s="871">
        <v>0</v>
      </c>
      <c r="L261" s="871">
        <v>0</v>
      </c>
      <c r="M261" s="871">
        <v>0</v>
      </c>
      <c r="N261" s="871">
        <v>0</v>
      </c>
      <c r="O261" s="871">
        <v>0</v>
      </c>
      <c r="P261" s="871">
        <v>0</v>
      </c>
      <c r="R261" s="871">
        <v>0</v>
      </c>
      <c r="S261" s="871">
        <v>0</v>
      </c>
      <c r="T261" s="871">
        <v>0</v>
      </c>
      <c r="U261" s="871">
        <v>0</v>
      </c>
      <c r="W261" s="871">
        <f t="shared" si="69"/>
        <v>0</v>
      </c>
    </row>
    <row r="262" spans="1:23" hidden="1">
      <c r="A262" s="890"/>
      <c r="B262" s="870" t="str">
        <f>IF(OR((B259="~"),(C262="~")),"~","")</f>
        <v>~</v>
      </c>
      <c r="C262" s="870" t="s">
        <v>1096</v>
      </c>
      <c r="E262" s="871">
        <v>0</v>
      </c>
      <c r="F262" s="871"/>
      <c r="G262" s="871">
        <v>0</v>
      </c>
      <c r="H262" s="871">
        <v>0</v>
      </c>
      <c r="I262" s="871">
        <v>0</v>
      </c>
      <c r="J262" s="871">
        <v>0</v>
      </c>
      <c r="K262" s="871">
        <v>0</v>
      </c>
      <c r="L262" s="871">
        <v>0</v>
      </c>
      <c r="M262" s="871">
        <v>0</v>
      </c>
      <c r="N262" s="871">
        <v>0</v>
      </c>
      <c r="O262" s="871">
        <v>0</v>
      </c>
      <c r="P262" s="871">
        <v>0</v>
      </c>
      <c r="R262" s="871">
        <v>0</v>
      </c>
      <c r="S262" s="871">
        <v>0</v>
      </c>
      <c r="T262" s="871">
        <v>0</v>
      </c>
      <c r="U262" s="871">
        <v>0</v>
      </c>
      <c r="W262" s="871">
        <f t="shared" si="69"/>
        <v>0</v>
      </c>
    </row>
    <row r="263" spans="1:23" hidden="1">
      <c r="A263" s="890"/>
      <c r="B263" s="870" t="str">
        <f>IF(OR((B259="~"),(C263="~")),"~","")</f>
        <v>~</v>
      </c>
      <c r="C263" s="870" t="s">
        <v>1096</v>
      </c>
      <c r="E263" s="871">
        <v>0</v>
      </c>
      <c r="F263" s="871"/>
      <c r="G263" s="871">
        <v>0</v>
      </c>
      <c r="H263" s="871">
        <v>0</v>
      </c>
      <c r="I263" s="871">
        <v>0</v>
      </c>
      <c r="J263" s="871">
        <v>0</v>
      </c>
      <c r="K263" s="871">
        <v>0</v>
      </c>
      <c r="L263" s="871">
        <v>0</v>
      </c>
      <c r="M263" s="871">
        <v>0</v>
      </c>
      <c r="N263" s="871">
        <v>0</v>
      </c>
      <c r="O263" s="871">
        <v>0</v>
      </c>
      <c r="P263" s="871">
        <v>0</v>
      </c>
      <c r="R263" s="871">
        <v>0</v>
      </c>
      <c r="S263" s="871">
        <v>0</v>
      </c>
      <c r="T263" s="871">
        <v>0</v>
      </c>
      <c r="U263" s="871">
        <v>0</v>
      </c>
      <c r="W263" s="871">
        <f t="shared" si="69"/>
        <v>0</v>
      </c>
    </row>
    <row r="264" spans="1:23" hidden="1">
      <c r="A264" s="890"/>
      <c r="B264" s="870" t="str">
        <f>IF(OR((B259="~"),(C264="~")),"~","")</f>
        <v>~</v>
      </c>
      <c r="C264" s="870" t="s">
        <v>1096</v>
      </c>
      <c r="E264" s="871">
        <v>0</v>
      </c>
      <c r="F264" s="871"/>
      <c r="G264" s="871">
        <v>0</v>
      </c>
      <c r="H264" s="871">
        <v>0</v>
      </c>
      <c r="I264" s="871">
        <v>0</v>
      </c>
      <c r="J264" s="871">
        <v>0</v>
      </c>
      <c r="K264" s="871">
        <v>0</v>
      </c>
      <c r="L264" s="871">
        <v>0</v>
      </c>
      <c r="M264" s="871">
        <v>0</v>
      </c>
      <c r="N264" s="871">
        <v>0</v>
      </c>
      <c r="O264" s="871">
        <v>0</v>
      </c>
      <c r="P264" s="871">
        <v>0</v>
      </c>
      <c r="R264" s="871">
        <v>0</v>
      </c>
      <c r="S264" s="871">
        <v>0</v>
      </c>
      <c r="T264" s="871">
        <v>0</v>
      </c>
      <c r="U264" s="871">
        <v>0</v>
      </c>
      <c r="W264" s="871">
        <f t="shared" si="69"/>
        <v>0</v>
      </c>
    </row>
    <row r="265" spans="1:23" hidden="1">
      <c r="A265" s="890"/>
      <c r="B265" s="870" t="str">
        <f>IF(OR((B259="~"),(C265="~")),"~","")</f>
        <v>~</v>
      </c>
      <c r="C265" s="870" t="s">
        <v>1096</v>
      </c>
      <c r="E265" s="871">
        <v>0</v>
      </c>
      <c r="F265" s="871"/>
      <c r="G265" s="871">
        <v>0</v>
      </c>
      <c r="H265" s="871">
        <v>0</v>
      </c>
      <c r="I265" s="871">
        <v>0</v>
      </c>
      <c r="J265" s="871">
        <v>0</v>
      </c>
      <c r="K265" s="871">
        <v>0</v>
      </c>
      <c r="L265" s="871">
        <v>0</v>
      </c>
      <c r="M265" s="871">
        <v>0</v>
      </c>
      <c r="N265" s="871">
        <v>0</v>
      </c>
      <c r="O265" s="871">
        <v>0</v>
      </c>
      <c r="P265" s="871">
        <v>0</v>
      </c>
      <c r="R265" s="871">
        <v>0</v>
      </c>
      <c r="S265" s="871">
        <v>0</v>
      </c>
      <c r="T265" s="871">
        <v>0</v>
      </c>
      <c r="U265" s="871">
        <v>0</v>
      </c>
      <c r="W265" s="871">
        <f t="shared" si="69"/>
        <v>0</v>
      </c>
    </row>
    <row r="266" spans="1:23" hidden="1">
      <c r="A266" s="891"/>
      <c r="B266" s="881" t="str">
        <f>IF(OR((B259="~"),(C266="~")),"~","")</f>
        <v>~</v>
      </c>
      <c r="C266" s="881" t="str">
        <f>IF(B259="~","~","Sub-total")</f>
        <v>~</v>
      </c>
      <c r="D266" s="881"/>
      <c r="E266" s="882">
        <f>SUM(E260:E265)</f>
        <v>0</v>
      </c>
      <c r="F266" s="882"/>
      <c r="G266" s="882">
        <f t="shared" ref="G266:P266" si="72">SUM(G260:G265)</f>
        <v>0</v>
      </c>
      <c r="H266" s="882">
        <f t="shared" si="72"/>
        <v>0</v>
      </c>
      <c r="I266" s="882">
        <f t="shared" si="72"/>
        <v>0</v>
      </c>
      <c r="J266" s="882">
        <f t="shared" si="72"/>
        <v>0</v>
      </c>
      <c r="K266" s="882">
        <f t="shared" si="72"/>
        <v>0</v>
      </c>
      <c r="L266" s="882">
        <f t="shared" si="72"/>
        <v>0</v>
      </c>
      <c r="M266" s="882">
        <f t="shared" si="72"/>
        <v>0</v>
      </c>
      <c r="N266" s="882">
        <f t="shared" si="72"/>
        <v>0</v>
      </c>
      <c r="O266" s="882">
        <f t="shared" si="72"/>
        <v>0</v>
      </c>
      <c r="P266" s="882">
        <f t="shared" si="72"/>
        <v>0</v>
      </c>
      <c r="R266" s="882">
        <f>SUM(R260:R265)</f>
        <v>0</v>
      </c>
      <c r="S266" s="882">
        <f>SUM(S260:S265)</f>
        <v>0</v>
      </c>
      <c r="T266" s="882">
        <f>SUM(T260:T265)</f>
        <v>0</v>
      </c>
      <c r="U266" s="882">
        <f>SUM(U260:U265)</f>
        <v>0</v>
      </c>
      <c r="W266" s="882">
        <f t="shared" si="69"/>
        <v>0</v>
      </c>
    </row>
    <row r="267" spans="1:23" hidden="1">
      <c r="A267" s="890"/>
      <c r="B267" s="870" t="str">
        <f>IF(OR((B259="~"),(C267="~")),"~","")</f>
        <v>~</v>
      </c>
      <c r="W267" s="870">
        <f t="shared" si="69"/>
        <v>0</v>
      </c>
    </row>
    <row r="268" spans="1:23">
      <c r="A268" s="890">
        <f>+A203+1</f>
        <v>27</v>
      </c>
    </row>
    <row r="269" spans="1:23">
      <c r="A269" s="890">
        <f>+A268+1</f>
        <v>28</v>
      </c>
      <c r="C269" s="865" t="s">
        <v>94</v>
      </c>
    </row>
    <row r="270" spans="1:23">
      <c r="A270" s="890">
        <f t="shared" ref="A270:A276" si="73">+A269+1</f>
        <v>29</v>
      </c>
      <c r="B270" s="870" t="str">
        <f>IF(OR((C269="~"),(C270="~")),"~","")</f>
        <v/>
      </c>
      <c r="C270" s="870" t="s">
        <v>1093</v>
      </c>
      <c r="E270" s="871">
        <v>748595249.2309953</v>
      </c>
      <c r="F270" s="871"/>
      <c r="G270" s="871">
        <v>465298988.48451346</v>
      </c>
      <c r="H270" s="871">
        <v>92896123.616264001</v>
      </c>
      <c r="I270" s="871">
        <v>85096435.741557658</v>
      </c>
      <c r="J270" s="871">
        <v>43586368.403630361</v>
      </c>
      <c r="K270" s="871">
        <v>34514756.96248588</v>
      </c>
      <c r="L270" s="871">
        <v>16828803.09946315</v>
      </c>
      <c r="M270" s="871">
        <v>6524399.4687705366</v>
      </c>
      <c r="N270" s="871">
        <v>2006318.4315441698</v>
      </c>
      <c r="O270" s="871">
        <v>1548631.8110441708</v>
      </c>
      <c r="P270" s="871">
        <v>294423.21172211209</v>
      </c>
      <c r="R270" s="871">
        <v>30599373.824200366</v>
      </c>
      <c r="S270" s="871">
        <v>178965.77542473227</v>
      </c>
      <c r="T270" s="871">
        <v>3736417.3628607816</v>
      </c>
      <c r="U270" s="871">
        <f t="shared" ref="U270:U275" si="74">SUM(R270:T270,-K270)</f>
        <v>0</v>
      </c>
      <c r="W270" s="871">
        <f t="shared" si="69"/>
        <v>30778339.599625099</v>
      </c>
    </row>
    <row r="271" spans="1:23">
      <c r="A271" s="890">
        <f t="shared" si="73"/>
        <v>30</v>
      </c>
      <c r="B271" s="870" t="str">
        <f>IF(OR((C269="~"),(C271="~")),"~","")</f>
        <v/>
      </c>
      <c r="C271" s="870" t="s">
        <v>1094</v>
      </c>
      <c r="E271" s="871">
        <v>1147215349.9125783</v>
      </c>
      <c r="F271" s="871"/>
      <c r="G271" s="871">
        <v>579439756.09984803</v>
      </c>
      <c r="H271" s="871">
        <v>152154003.93911508</v>
      </c>
      <c r="I271" s="871">
        <v>156657676.48586196</v>
      </c>
      <c r="J271" s="871">
        <v>103348846.41897714</v>
      </c>
      <c r="K271" s="871">
        <v>74074082.532690495</v>
      </c>
      <c r="L271" s="871">
        <v>35315250.09683878</v>
      </c>
      <c r="M271" s="871">
        <v>32274068.042771101</v>
      </c>
      <c r="N271" s="871">
        <v>9425250.3360223062</v>
      </c>
      <c r="O271" s="871">
        <v>4157840.2394763627</v>
      </c>
      <c r="P271" s="871">
        <v>368575.72097733663</v>
      </c>
      <c r="R271" s="871">
        <v>67466460.50913924</v>
      </c>
      <c r="S271" s="871">
        <v>234299.42463725703</v>
      </c>
      <c r="T271" s="871">
        <v>6373322.5989139983</v>
      </c>
      <c r="U271" s="871">
        <f t="shared" si="74"/>
        <v>0</v>
      </c>
      <c r="W271" s="871">
        <f t="shared" si="69"/>
        <v>67700759.933776498</v>
      </c>
    </row>
    <row r="272" spans="1:23">
      <c r="A272" s="890">
        <f t="shared" si="73"/>
        <v>31</v>
      </c>
      <c r="B272" s="870" t="str">
        <f>IF(OR((C269="~"),(C272="~")),"~","")</f>
        <v/>
      </c>
      <c r="C272" s="870" t="s">
        <v>1095</v>
      </c>
      <c r="E272" s="871">
        <v>159969845.91717109</v>
      </c>
      <c r="F272" s="871"/>
      <c r="G272" s="871">
        <v>125877102.75481048</v>
      </c>
      <c r="H272" s="871">
        <v>12307426.877511442</v>
      </c>
      <c r="I272" s="871">
        <v>4280121.2669742368</v>
      </c>
      <c r="J272" s="871">
        <v>1145170.1815526607</v>
      </c>
      <c r="K272" s="871">
        <v>2465662.2679226059</v>
      </c>
      <c r="L272" s="871">
        <v>461713.0117439325</v>
      </c>
      <c r="M272" s="871">
        <v>122202.03218743674</v>
      </c>
      <c r="N272" s="871">
        <v>448189.0006082133</v>
      </c>
      <c r="O272" s="871">
        <v>12822144.256650882</v>
      </c>
      <c r="P272" s="871">
        <v>40114.267209210957</v>
      </c>
      <c r="R272" s="871">
        <v>1843221.853782912</v>
      </c>
      <c r="S272" s="871">
        <v>4145.1152713604215</v>
      </c>
      <c r="T272" s="871">
        <v>618295.29886833346</v>
      </c>
      <c r="U272" s="871">
        <f t="shared" si="74"/>
        <v>0</v>
      </c>
      <c r="W272" s="871">
        <f t="shared" si="69"/>
        <v>1847366.9690542724</v>
      </c>
    </row>
    <row r="273" spans="1:23">
      <c r="A273" s="890">
        <f t="shared" si="73"/>
        <v>32</v>
      </c>
      <c r="B273" s="870" t="str">
        <f>IF(OR((C269="~"),(C273="~")),"~","")</f>
        <v>~</v>
      </c>
      <c r="C273" s="870" t="s">
        <v>1096</v>
      </c>
      <c r="E273" s="871">
        <v>0</v>
      </c>
      <c r="F273" s="871"/>
      <c r="G273" s="871">
        <v>0</v>
      </c>
      <c r="H273" s="871">
        <v>0</v>
      </c>
      <c r="I273" s="871">
        <v>0</v>
      </c>
      <c r="J273" s="871">
        <v>0</v>
      </c>
      <c r="K273" s="871">
        <v>0</v>
      </c>
      <c r="L273" s="871">
        <v>0</v>
      </c>
      <c r="M273" s="871">
        <v>0</v>
      </c>
      <c r="N273" s="871">
        <v>0</v>
      </c>
      <c r="O273" s="871">
        <v>0</v>
      </c>
      <c r="P273" s="871">
        <v>0</v>
      </c>
      <c r="R273" s="871">
        <v>0</v>
      </c>
      <c r="S273" s="871">
        <v>0</v>
      </c>
      <c r="T273" s="871">
        <v>0</v>
      </c>
      <c r="U273" s="871">
        <f t="shared" si="74"/>
        <v>0</v>
      </c>
      <c r="W273" s="871">
        <f t="shared" si="69"/>
        <v>0</v>
      </c>
    </row>
    <row r="274" spans="1:23">
      <c r="A274" s="890">
        <f t="shared" si="73"/>
        <v>33</v>
      </c>
      <c r="B274" s="870" t="str">
        <f>IF(OR((C269="~"),(C274="~")),"~","")</f>
        <v>~</v>
      </c>
      <c r="C274" s="870" t="s">
        <v>1096</v>
      </c>
      <c r="E274" s="871">
        <v>0</v>
      </c>
      <c r="F274" s="871"/>
      <c r="G274" s="871">
        <v>0</v>
      </c>
      <c r="H274" s="871">
        <v>0</v>
      </c>
      <c r="I274" s="871">
        <v>0</v>
      </c>
      <c r="J274" s="871">
        <v>0</v>
      </c>
      <c r="K274" s="871">
        <v>0</v>
      </c>
      <c r="L274" s="871">
        <v>0</v>
      </c>
      <c r="M274" s="871">
        <v>0</v>
      </c>
      <c r="N274" s="871">
        <v>0</v>
      </c>
      <c r="O274" s="871">
        <v>0</v>
      </c>
      <c r="P274" s="871">
        <v>0</v>
      </c>
      <c r="R274" s="871">
        <v>0</v>
      </c>
      <c r="S274" s="871">
        <v>0</v>
      </c>
      <c r="T274" s="871">
        <v>0</v>
      </c>
      <c r="U274" s="871">
        <f t="shared" si="74"/>
        <v>0</v>
      </c>
      <c r="W274" s="871">
        <f t="shared" si="69"/>
        <v>0</v>
      </c>
    </row>
    <row r="275" spans="1:23">
      <c r="A275" s="890">
        <f t="shared" si="73"/>
        <v>34</v>
      </c>
      <c r="B275" s="870" t="str">
        <f>IF(OR((C269="~"),(C275="~")),"~","")</f>
        <v>~</v>
      </c>
      <c r="C275" s="870" t="s">
        <v>1096</v>
      </c>
      <c r="E275" s="871">
        <v>0</v>
      </c>
      <c r="F275" s="871"/>
      <c r="G275" s="871">
        <v>0</v>
      </c>
      <c r="H275" s="871">
        <v>0</v>
      </c>
      <c r="I275" s="871">
        <v>0</v>
      </c>
      <c r="J275" s="871">
        <v>0</v>
      </c>
      <c r="K275" s="871">
        <v>0</v>
      </c>
      <c r="L275" s="871">
        <v>0</v>
      </c>
      <c r="M275" s="871">
        <v>0</v>
      </c>
      <c r="N275" s="871">
        <v>0</v>
      </c>
      <c r="O275" s="871">
        <v>0</v>
      </c>
      <c r="P275" s="871">
        <v>0</v>
      </c>
      <c r="R275" s="871">
        <v>0</v>
      </c>
      <c r="S275" s="871">
        <v>0</v>
      </c>
      <c r="T275" s="871">
        <v>0</v>
      </c>
      <c r="U275" s="871">
        <f t="shared" si="74"/>
        <v>0</v>
      </c>
      <c r="W275" s="871">
        <f t="shared" si="69"/>
        <v>0</v>
      </c>
    </row>
    <row r="276" spans="1:23" ht="13.5" thickBot="1">
      <c r="A276" s="892">
        <f t="shared" si="73"/>
        <v>35</v>
      </c>
      <c r="B276" s="873"/>
      <c r="C276" s="873" t="s">
        <v>1098</v>
      </c>
      <c r="D276" s="873"/>
      <c r="E276" s="874">
        <f>SUM(E270:E275)</f>
        <v>2055780445.0607448</v>
      </c>
      <c r="F276" s="874"/>
      <c r="G276" s="874">
        <f t="shared" ref="G276:O276" si="75">SUM(G270:G275)</f>
        <v>1170615847.3391721</v>
      </c>
      <c r="H276" s="874">
        <f t="shared" si="75"/>
        <v>257357554.43289053</v>
      </c>
      <c r="I276" s="874">
        <f t="shared" si="75"/>
        <v>246034233.49439386</v>
      </c>
      <c r="J276" s="874">
        <f t="shared" si="75"/>
        <v>148080385.00416017</v>
      </c>
      <c r="K276" s="874">
        <f t="shared" si="75"/>
        <v>111054501.76309898</v>
      </c>
      <c r="L276" s="874">
        <f t="shared" si="75"/>
        <v>52605766.208045863</v>
      </c>
      <c r="M276" s="874">
        <f t="shared" si="75"/>
        <v>38920669.543729074</v>
      </c>
      <c r="N276" s="874">
        <f t="shared" si="75"/>
        <v>11879757.768174689</v>
      </c>
      <c r="O276" s="874">
        <f t="shared" si="75"/>
        <v>18528616.307171416</v>
      </c>
      <c r="P276" s="874">
        <f>SUM(P270:P275)</f>
        <v>703113.19990865956</v>
      </c>
      <c r="R276" s="874">
        <f>SUM(R270:R275)</f>
        <v>99909056.187122509</v>
      </c>
      <c r="S276" s="874">
        <f>SUM(S270:S275)</f>
        <v>417410.31533334975</v>
      </c>
      <c r="T276" s="874">
        <f>SUM(T270:T275)</f>
        <v>10728035.260643113</v>
      </c>
      <c r="U276" s="874">
        <f>SUM(U270:U275)</f>
        <v>0</v>
      </c>
      <c r="W276" s="874">
        <f t="shared" si="69"/>
        <v>100326466.50245586</v>
      </c>
    </row>
    <row r="277" spans="1:23" ht="13.5" thickTop="1">
      <c r="C277" s="872"/>
      <c r="E277" s="895"/>
      <c r="G277" s="896"/>
      <c r="H277" s="896"/>
      <c r="I277" s="896"/>
      <c r="J277" s="896"/>
      <c r="K277" s="896"/>
      <c r="L277" s="896"/>
      <c r="M277" s="896"/>
      <c r="N277" s="896"/>
    </row>
    <row r="278" spans="1:23">
      <c r="A278" s="1094" t="str">
        <f>+A1</f>
        <v>Puget Sound Energy</v>
      </c>
      <c r="B278" s="1094"/>
      <c r="C278" s="1094"/>
      <c r="D278" s="1094"/>
      <c r="E278" s="1094"/>
      <c r="F278" s="1094"/>
      <c r="G278" s="1094"/>
      <c r="H278" s="1094"/>
      <c r="I278" s="1094"/>
      <c r="J278" s="1094"/>
      <c r="K278" s="1094"/>
      <c r="L278" s="1094"/>
      <c r="M278" s="1094"/>
      <c r="N278" s="1094"/>
      <c r="O278" s="1094"/>
      <c r="P278" s="1094"/>
    </row>
    <row r="279" spans="1:23">
      <c r="A279" s="1094" t="str">
        <f>A2</f>
        <v>ELECTRIC COST OF SERVICE SUMMARY</v>
      </c>
      <c r="B279" s="1094"/>
      <c r="C279" s="1094"/>
      <c r="D279" s="1094"/>
      <c r="E279" s="1094"/>
      <c r="F279" s="1094"/>
      <c r="G279" s="1094"/>
      <c r="H279" s="1094"/>
      <c r="I279" s="1094"/>
      <c r="J279" s="1094"/>
      <c r="K279" s="1094"/>
      <c r="L279" s="1094"/>
      <c r="M279" s="1094"/>
      <c r="N279" s="1094"/>
      <c r="O279" s="1094"/>
      <c r="P279" s="1094"/>
    </row>
    <row r="280" spans="1:23">
      <c r="A280" s="1094" t="s">
        <v>1029</v>
      </c>
      <c r="B280" s="1094"/>
      <c r="C280" s="1094"/>
      <c r="D280" s="1094"/>
      <c r="E280" s="1094"/>
      <c r="F280" s="1094"/>
      <c r="G280" s="1094"/>
      <c r="H280" s="1094"/>
      <c r="I280" s="1094"/>
      <c r="J280" s="1094"/>
      <c r="K280" s="1094"/>
      <c r="L280" s="1094"/>
      <c r="M280" s="1094"/>
      <c r="N280" s="1094"/>
      <c r="O280" s="1094"/>
      <c r="P280" s="1094"/>
    </row>
    <row r="281" spans="1:23">
      <c r="A281" s="1094" t="s">
        <v>1099</v>
      </c>
      <c r="B281" s="1094"/>
      <c r="C281" s="1094"/>
      <c r="D281" s="1094"/>
      <c r="E281" s="1094"/>
      <c r="F281" s="1094"/>
      <c r="G281" s="1094"/>
      <c r="H281" s="1094"/>
      <c r="I281" s="1094"/>
      <c r="J281" s="1094"/>
      <c r="K281" s="1094"/>
      <c r="L281" s="1094"/>
      <c r="M281" s="1094"/>
      <c r="N281" s="1094"/>
      <c r="O281" s="1094"/>
      <c r="P281" s="1094"/>
    </row>
    <row r="283" spans="1:23" s="893" customFormat="1" ht="42" customHeight="1">
      <c r="A283" s="866" t="s">
        <v>810</v>
      </c>
      <c r="B283" s="866"/>
      <c r="C283" s="866"/>
      <c r="D283" s="866"/>
      <c r="E283" s="866" t="s">
        <v>1092</v>
      </c>
      <c r="F283" s="866"/>
      <c r="G283" s="866" t="str">
        <f>+G6</f>
        <v>Residential
Sch 7</v>
      </c>
      <c r="H283" s="866" t="str">
        <f t="shared" ref="H283:P283" si="76">+H6</f>
        <v>Sec Volt
Sch 24
(kW&lt; 50)</v>
      </c>
      <c r="I283" s="866" t="str">
        <f t="shared" si="76"/>
        <v>Sec Volt
Sch 25
(kW &gt; 50 &amp; &lt; 350)</v>
      </c>
      <c r="J283" s="866" t="str">
        <f t="shared" si="76"/>
        <v>Sec Volt
Sch 26
(kW &gt; 350)</v>
      </c>
      <c r="K283" s="866" t="str">
        <f t="shared" si="76"/>
        <v>Pri Volt
Sch 31/35/43</v>
      </c>
      <c r="L283" s="866" t="str">
        <f t="shared" si="76"/>
        <v>Campus
Sch 40</v>
      </c>
      <c r="M283" s="866" t="str">
        <f t="shared" si="76"/>
        <v>High Volt
Sch 46/49</v>
      </c>
      <c r="N283" s="866" t="str">
        <f t="shared" si="76"/>
        <v>Choice /
Retail Wheeling
Sch 448/449</v>
      </c>
      <c r="O283" s="866" t="str">
        <f t="shared" si="76"/>
        <v>Lighting
Sch 50-59</v>
      </c>
      <c r="P283" s="869" t="str">
        <f t="shared" si="76"/>
        <v>Firm Resale</v>
      </c>
      <c r="R283" s="866" t="s">
        <v>1040</v>
      </c>
      <c r="S283" s="866" t="s">
        <v>1041</v>
      </c>
      <c r="T283" s="866" t="s">
        <v>1042</v>
      </c>
      <c r="U283" s="866" t="s">
        <v>1043</v>
      </c>
      <c r="W283" s="869" t="s">
        <v>1044</v>
      </c>
    </row>
    <row r="284" spans="1:23" s="893" customFormat="1">
      <c r="C284" s="893" t="s">
        <v>1045</v>
      </c>
      <c r="E284" s="893" t="s">
        <v>1046</v>
      </c>
      <c r="G284" s="893" t="s">
        <v>1047</v>
      </c>
      <c r="H284" s="893" t="s">
        <v>1048</v>
      </c>
      <c r="I284" s="893" t="s">
        <v>1049</v>
      </c>
      <c r="J284" s="893" t="s">
        <v>1050</v>
      </c>
      <c r="K284" s="893" t="s">
        <v>1051</v>
      </c>
      <c r="L284" s="893" t="s">
        <v>1052</v>
      </c>
      <c r="M284" s="893" t="s">
        <v>1053</v>
      </c>
      <c r="N284" s="893" t="s">
        <v>1054</v>
      </c>
      <c r="O284" s="893" t="s">
        <v>1055</v>
      </c>
      <c r="P284" s="893" t="s">
        <v>1056</v>
      </c>
    </row>
    <row r="286" spans="1:23">
      <c r="A286" s="890">
        <v>1</v>
      </c>
      <c r="C286" s="865" t="s">
        <v>245</v>
      </c>
    </row>
    <row r="287" spans="1:23">
      <c r="A287" s="890">
        <f t="shared" ref="A287:A311" si="77">+A286+1</f>
        <v>2</v>
      </c>
      <c r="B287" s="870" t="str">
        <f>IF(OR((C286="~"),(C287="~")),"~","")</f>
        <v/>
      </c>
      <c r="C287" s="870" t="s">
        <v>1093</v>
      </c>
      <c r="E287" s="897">
        <f t="shared" ref="E287:E293" si="78">ROUND(IF($C287=0,0,E179/E$386),6)</f>
        <v>1.4148000000000001E-2</v>
      </c>
      <c r="F287" s="897"/>
      <c r="G287" s="897">
        <f t="shared" ref="G287:P293" si="79">ROUND(IF($C287=0,0,G179/G$386),6)</f>
        <v>1.8551999999999999E-2</v>
      </c>
      <c r="H287" s="897">
        <f t="shared" si="79"/>
        <v>1.4231000000000001E-2</v>
      </c>
      <c r="I287" s="897">
        <f t="shared" si="79"/>
        <v>1.2886999999999999E-2</v>
      </c>
      <c r="J287" s="897">
        <f t="shared" si="79"/>
        <v>1.1094E-2</v>
      </c>
      <c r="K287" s="897">
        <f t="shared" si="79"/>
        <v>1.0607999999999999E-2</v>
      </c>
      <c r="L287" s="897">
        <f t="shared" si="79"/>
        <v>1.1506000000000001E-2</v>
      </c>
      <c r="M287" s="897">
        <f t="shared" si="79"/>
        <v>9.3159999999999996E-3</v>
      </c>
      <c r="N287" s="897">
        <f t="shared" si="79"/>
        <v>0</v>
      </c>
      <c r="O287" s="897">
        <f t="shared" si="79"/>
        <v>1.4825E-2</v>
      </c>
      <c r="P287" s="897">
        <f t="shared" si="79"/>
        <v>1.8585000000000001E-2</v>
      </c>
      <c r="R287" s="897">
        <f t="shared" ref="R287:T293" si="80">ROUND(IF($C287=0,0,R179/R$386),6)</f>
        <v>1.1646999999999999E-2</v>
      </c>
      <c r="S287" s="897">
        <f t="shared" si="80"/>
        <v>7.7000000000000001E-5</v>
      </c>
      <c r="T287" s="897">
        <f t="shared" si="80"/>
        <v>0</v>
      </c>
      <c r="W287" s="897">
        <f t="shared" ref="W287:W293" si="81">ROUND(IF($C287=0,0,W179/W$386),6)</f>
        <v>1.1606999999999999E-2</v>
      </c>
    </row>
    <row r="288" spans="1:23">
      <c r="A288" s="890">
        <f t="shared" si="77"/>
        <v>3</v>
      </c>
      <c r="B288" s="870" t="str">
        <f>IF(OR((C286="~"),(C288="~")),"~","")</f>
        <v/>
      </c>
      <c r="C288" s="870" t="s">
        <v>1094</v>
      </c>
      <c r="E288" s="897">
        <f t="shared" si="78"/>
        <v>4.2504E-2</v>
      </c>
      <c r="F288" s="897"/>
      <c r="G288" s="897">
        <f t="shared" si="79"/>
        <v>4.6580999999999997E-2</v>
      </c>
      <c r="H288" s="897">
        <f t="shared" si="79"/>
        <v>4.6580999999999997E-2</v>
      </c>
      <c r="I288" s="897">
        <f t="shared" si="79"/>
        <v>4.6580999999999997E-2</v>
      </c>
      <c r="J288" s="897">
        <f t="shared" si="79"/>
        <v>4.6580999999999997E-2</v>
      </c>
      <c r="K288" s="897">
        <f t="shared" si="79"/>
        <v>4.6580999999999997E-2</v>
      </c>
      <c r="L288" s="897">
        <f t="shared" si="79"/>
        <v>4.6580999999999997E-2</v>
      </c>
      <c r="M288" s="897">
        <f t="shared" si="79"/>
        <v>4.6580999999999997E-2</v>
      </c>
      <c r="N288" s="897">
        <f t="shared" si="79"/>
        <v>0</v>
      </c>
      <c r="O288" s="897">
        <f t="shared" si="79"/>
        <v>4.6580999999999997E-2</v>
      </c>
      <c r="P288" s="897">
        <f t="shared" si="79"/>
        <v>4.6580999999999997E-2</v>
      </c>
      <c r="R288" s="897">
        <f t="shared" si="80"/>
        <v>4.6580999999999997E-2</v>
      </c>
      <c r="S288" s="897">
        <f t="shared" si="80"/>
        <v>4.6580999999999997E-2</v>
      </c>
      <c r="T288" s="897">
        <f t="shared" si="80"/>
        <v>4.6580999999999997E-2</v>
      </c>
      <c r="W288" s="897">
        <f t="shared" si="81"/>
        <v>4.6580999999999997E-2</v>
      </c>
    </row>
    <row r="289" spans="1:23">
      <c r="A289" s="890">
        <f t="shared" si="77"/>
        <v>4</v>
      </c>
      <c r="B289" s="870" t="str">
        <f>IF(OR((C286="~"),(C289="~")),"~","")</f>
        <v/>
      </c>
      <c r="C289" s="870" t="s">
        <v>1095</v>
      </c>
      <c r="E289" s="897">
        <f t="shared" si="78"/>
        <v>0</v>
      </c>
      <c r="F289" s="897"/>
      <c r="G289" s="897">
        <f t="shared" si="79"/>
        <v>0</v>
      </c>
      <c r="H289" s="897">
        <f t="shared" si="79"/>
        <v>0</v>
      </c>
      <c r="I289" s="897">
        <f t="shared" si="79"/>
        <v>0</v>
      </c>
      <c r="J289" s="897">
        <f t="shared" si="79"/>
        <v>0</v>
      </c>
      <c r="K289" s="897">
        <f t="shared" si="79"/>
        <v>0</v>
      </c>
      <c r="L289" s="897">
        <f t="shared" si="79"/>
        <v>0</v>
      </c>
      <c r="M289" s="897">
        <f t="shared" si="79"/>
        <v>0</v>
      </c>
      <c r="N289" s="897">
        <f t="shared" si="79"/>
        <v>0</v>
      </c>
      <c r="O289" s="897">
        <f t="shared" si="79"/>
        <v>0</v>
      </c>
      <c r="P289" s="897">
        <f t="shared" si="79"/>
        <v>0</v>
      </c>
      <c r="R289" s="897">
        <f t="shared" si="80"/>
        <v>0</v>
      </c>
      <c r="S289" s="897">
        <f t="shared" si="80"/>
        <v>0</v>
      </c>
      <c r="T289" s="897">
        <f t="shared" si="80"/>
        <v>0</v>
      </c>
      <c r="W289" s="897">
        <f t="shared" si="81"/>
        <v>0</v>
      </c>
    </row>
    <row r="290" spans="1:23">
      <c r="A290" s="890">
        <f t="shared" si="77"/>
        <v>5</v>
      </c>
      <c r="B290" s="870" t="str">
        <f>IF(OR((C286="~"),(C290="~")),"~","")</f>
        <v>~</v>
      </c>
      <c r="C290" s="870" t="s">
        <v>1096</v>
      </c>
      <c r="E290" s="897">
        <f t="shared" si="78"/>
        <v>0</v>
      </c>
      <c r="F290" s="897"/>
      <c r="G290" s="897">
        <f t="shared" si="79"/>
        <v>0</v>
      </c>
      <c r="H290" s="897">
        <f t="shared" si="79"/>
        <v>0</v>
      </c>
      <c r="I290" s="897">
        <f t="shared" si="79"/>
        <v>0</v>
      </c>
      <c r="J290" s="897">
        <f t="shared" si="79"/>
        <v>0</v>
      </c>
      <c r="K290" s="897">
        <f t="shared" si="79"/>
        <v>0</v>
      </c>
      <c r="L290" s="897">
        <f t="shared" si="79"/>
        <v>0</v>
      </c>
      <c r="M290" s="897">
        <f t="shared" si="79"/>
        <v>0</v>
      </c>
      <c r="N290" s="897">
        <f t="shared" si="79"/>
        <v>0</v>
      </c>
      <c r="O290" s="897">
        <f t="shared" si="79"/>
        <v>0</v>
      </c>
      <c r="P290" s="897">
        <f t="shared" si="79"/>
        <v>0</v>
      </c>
      <c r="R290" s="897">
        <f t="shared" si="80"/>
        <v>0</v>
      </c>
      <c r="S290" s="897">
        <f t="shared" si="80"/>
        <v>0</v>
      </c>
      <c r="T290" s="897">
        <f t="shared" si="80"/>
        <v>0</v>
      </c>
      <c r="W290" s="897">
        <f t="shared" si="81"/>
        <v>0</v>
      </c>
    </row>
    <row r="291" spans="1:23">
      <c r="A291" s="890">
        <f t="shared" si="77"/>
        <v>6</v>
      </c>
      <c r="B291" s="870" t="str">
        <f>IF(OR((C286="~"),(C291="~")),"~","")</f>
        <v>~</v>
      </c>
      <c r="C291" s="870" t="s">
        <v>1096</v>
      </c>
      <c r="E291" s="897">
        <f t="shared" si="78"/>
        <v>0</v>
      </c>
      <c r="F291" s="897"/>
      <c r="G291" s="897">
        <f t="shared" si="79"/>
        <v>0</v>
      </c>
      <c r="H291" s="897">
        <f t="shared" si="79"/>
        <v>0</v>
      </c>
      <c r="I291" s="897">
        <f t="shared" si="79"/>
        <v>0</v>
      </c>
      <c r="J291" s="897">
        <f t="shared" si="79"/>
        <v>0</v>
      </c>
      <c r="K291" s="897">
        <f t="shared" si="79"/>
        <v>0</v>
      </c>
      <c r="L291" s="897">
        <f t="shared" si="79"/>
        <v>0</v>
      </c>
      <c r="M291" s="897">
        <f t="shared" si="79"/>
        <v>0</v>
      </c>
      <c r="N291" s="897">
        <f t="shared" si="79"/>
        <v>0</v>
      </c>
      <c r="O291" s="897">
        <f t="shared" si="79"/>
        <v>0</v>
      </c>
      <c r="P291" s="897">
        <f t="shared" si="79"/>
        <v>0</v>
      </c>
      <c r="R291" s="897">
        <f t="shared" si="80"/>
        <v>0</v>
      </c>
      <c r="S291" s="897">
        <f t="shared" si="80"/>
        <v>0</v>
      </c>
      <c r="T291" s="897">
        <f t="shared" si="80"/>
        <v>0</v>
      </c>
      <c r="W291" s="897">
        <f t="shared" si="81"/>
        <v>0</v>
      </c>
    </row>
    <row r="292" spans="1:23">
      <c r="A292" s="890">
        <f t="shared" si="77"/>
        <v>7</v>
      </c>
      <c r="B292" s="870" t="str">
        <f>IF(OR((C286="~"),(C292="~")),"~","")</f>
        <v>~</v>
      </c>
      <c r="C292" s="870" t="s">
        <v>1096</v>
      </c>
      <c r="E292" s="897">
        <f t="shared" si="78"/>
        <v>0</v>
      </c>
      <c r="F292" s="897"/>
      <c r="G292" s="897">
        <f t="shared" si="79"/>
        <v>0</v>
      </c>
      <c r="H292" s="897">
        <f t="shared" si="79"/>
        <v>0</v>
      </c>
      <c r="I292" s="897">
        <f t="shared" si="79"/>
        <v>0</v>
      </c>
      <c r="J292" s="897">
        <f t="shared" si="79"/>
        <v>0</v>
      </c>
      <c r="K292" s="897">
        <f t="shared" si="79"/>
        <v>0</v>
      </c>
      <c r="L292" s="897">
        <f t="shared" si="79"/>
        <v>0</v>
      </c>
      <c r="M292" s="897">
        <f t="shared" si="79"/>
        <v>0</v>
      </c>
      <c r="N292" s="897">
        <f t="shared" si="79"/>
        <v>0</v>
      </c>
      <c r="O292" s="897">
        <f t="shared" si="79"/>
        <v>0</v>
      </c>
      <c r="P292" s="897">
        <f t="shared" si="79"/>
        <v>0</v>
      </c>
      <c r="R292" s="897">
        <f t="shared" si="80"/>
        <v>0</v>
      </c>
      <c r="S292" s="897">
        <f t="shared" si="80"/>
        <v>0</v>
      </c>
      <c r="T292" s="897">
        <f t="shared" si="80"/>
        <v>0</v>
      </c>
      <c r="W292" s="897">
        <f t="shared" si="81"/>
        <v>0</v>
      </c>
    </row>
    <row r="293" spans="1:23">
      <c r="A293" s="891">
        <f t="shared" si="77"/>
        <v>8</v>
      </c>
      <c r="B293" s="881" t="str">
        <f>IF(OR((C286="~"),(C293="~")),"~","")</f>
        <v/>
      </c>
      <c r="C293" s="881" t="s">
        <v>178</v>
      </c>
      <c r="D293" s="881"/>
      <c r="E293" s="898">
        <f t="shared" si="78"/>
        <v>5.6652000000000001E-2</v>
      </c>
      <c r="F293" s="898"/>
      <c r="G293" s="898">
        <f t="shared" si="79"/>
        <v>6.5132999999999996E-2</v>
      </c>
      <c r="H293" s="898">
        <f t="shared" si="79"/>
        <v>6.0811999999999998E-2</v>
      </c>
      <c r="I293" s="898">
        <f t="shared" si="79"/>
        <v>5.9469000000000001E-2</v>
      </c>
      <c r="J293" s="898">
        <f t="shared" si="79"/>
        <v>5.7675999999999998E-2</v>
      </c>
      <c r="K293" s="898">
        <f t="shared" si="79"/>
        <v>5.7188999999999997E-2</v>
      </c>
      <c r="L293" s="898">
        <f t="shared" si="79"/>
        <v>5.8088000000000001E-2</v>
      </c>
      <c r="M293" s="898">
        <f t="shared" si="79"/>
        <v>5.5898000000000003E-2</v>
      </c>
      <c r="N293" s="898">
        <f t="shared" si="79"/>
        <v>0</v>
      </c>
      <c r="O293" s="898">
        <f t="shared" si="79"/>
        <v>6.1407000000000003E-2</v>
      </c>
      <c r="P293" s="898">
        <f t="shared" si="79"/>
        <v>6.5166000000000002E-2</v>
      </c>
      <c r="R293" s="898">
        <f t="shared" si="80"/>
        <v>5.8228000000000002E-2</v>
      </c>
      <c r="S293" s="898">
        <f t="shared" si="80"/>
        <v>4.6658999999999999E-2</v>
      </c>
      <c r="T293" s="898">
        <f t="shared" si="80"/>
        <v>4.6580999999999997E-2</v>
      </c>
      <c r="W293" s="898">
        <f t="shared" si="81"/>
        <v>5.8187999999999997E-2</v>
      </c>
    </row>
    <row r="294" spans="1:23">
      <c r="A294" s="890">
        <f t="shared" si="77"/>
        <v>9</v>
      </c>
      <c r="B294" s="870" t="str">
        <f>IF(OR((C286="~"),(C294="~")),"~","")</f>
        <v/>
      </c>
    </row>
    <row r="295" spans="1:23">
      <c r="A295" s="890">
        <f t="shared" si="77"/>
        <v>10</v>
      </c>
      <c r="C295" s="865" t="s">
        <v>604</v>
      </c>
    </row>
    <row r="296" spans="1:23">
      <c r="A296" s="890">
        <f t="shared" si="77"/>
        <v>11</v>
      </c>
      <c r="B296" s="870" t="str">
        <f>IF(OR((C295="~"),(C296="~")),"~","")</f>
        <v/>
      </c>
      <c r="C296" s="870" t="s">
        <v>1093</v>
      </c>
      <c r="E296" s="897">
        <f t="shared" ref="E296:E302" si="82">ROUND(IF($C296=0,0,E188/E$386),6)</f>
        <v>1.4729999999999999E-3</v>
      </c>
      <c r="F296" s="897"/>
      <c r="G296" s="897">
        <f t="shared" ref="G296:P302" si="83">ROUND(IF($C296=0,0,G188/G$386),6)</f>
        <v>1.817E-3</v>
      </c>
      <c r="H296" s="897">
        <f t="shared" si="83"/>
        <v>1.3940000000000001E-3</v>
      </c>
      <c r="I296" s="897">
        <f t="shared" si="83"/>
        <v>1.2620000000000001E-3</v>
      </c>
      <c r="J296" s="897">
        <f t="shared" si="83"/>
        <v>1.0870000000000001E-3</v>
      </c>
      <c r="K296" s="897">
        <f t="shared" si="83"/>
        <v>1.039E-3</v>
      </c>
      <c r="L296" s="897">
        <f t="shared" si="83"/>
        <v>1.127E-3</v>
      </c>
      <c r="M296" s="897">
        <f t="shared" si="83"/>
        <v>9.1200000000000005E-4</v>
      </c>
      <c r="N296" s="897">
        <f t="shared" si="83"/>
        <v>9.9299999999999996E-4</v>
      </c>
      <c r="O296" s="897">
        <f t="shared" si="83"/>
        <v>1.4519999999999999E-3</v>
      </c>
      <c r="P296" s="897">
        <f t="shared" si="83"/>
        <v>1.82E-3</v>
      </c>
      <c r="R296" s="897">
        <f t="shared" ref="R296:T302" si="84">ROUND(IF($C296=0,0,R188/R$386),6)</f>
        <v>1.1410000000000001E-3</v>
      </c>
      <c r="S296" s="897">
        <f t="shared" si="84"/>
        <v>7.9999999999999996E-6</v>
      </c>
      <c r="T296" s="897">
        <f t="shared" si="84"/>
        <v>0</v>
      </c>
      <c r="W296" s="897">
        <f t="shared" ref="W296:W302" si="85">ROUND(IF($C296=0,0,W188/W$386),6)</f>
        <v>1.137E-3</v>
      </c>
    </row>
    <row r="297" spans="1:23">
      <c r="A297" s="890">
        <f t="shared" si="77"/>
        <v>12</v>
      </c>
      <c r="B297" s="870" t="str">
        <f>IF(OR((C295="~"),(C297="~")),"~","")</f>
        <v/>
      </c>
      <c r="C297" s="870" t="s">
        <v>1094</v>
      </c>
      <c r="E297" s="897">
        <f t="shared" si="82"/>
        <v>4.4130000000000003E-3</v>
      </c>
      <c r="F297" s="897"/>
      <c r="G297" s="897">
        <f t="shared" si="83"/>
        <v>4.4140000000000004E-3</v>
      </c>
      <c r="H297" s="897">
        <f t="shared" si="83"/>
        <v>4.4140000000000004E-3</v>
      </c>
      <c r="I297" s="897">
        <f t="shared" si="83"/>
        <v>4.4140000000000004E-3</v>
      </c>
      <c r="J297" s="897">
        <f t="shared" si="83"/>
        <v>4.4140000000000004E-3</v>
      </c>
      <c r="K297" s="897">
        <f t="shared" si="83"/>
        <v>4.4140000000000004E-3</v>
      </c>
      <c r="L297" s="897">
        <f t="shared" si="83"/>
        <v>4.4140000000000004E-3</v>
      </c>
      <c r="M297" s="897">
        <f t="shared" si="83"/>
        <v>4.4140000000000004E-3</v>
      </c>
      <c r="N297" s="897">
        <f t="shared" si="83"/>
        <v>4.4029999999999998E-3</v>
      </c>
      <c r="O297" s="897">
        <f t="shared" si="83"/>
        <v>4.4140000000000004E-3</v>
      </c>
      <c r="P297" s="897">
        <f t="shared" si="83"/>
        <v>4.4140000000000004E-3</v>
      </c>
      <c r="R297" s="897">
        <f t="shared" si="84"/>
        <v>4.4140000000000004E-3</v>
      </c>
      <c r="S297" s="897">
        <f t="shared" si="84"/>
        <v>4.4140000000000004E-3</v>
      </c>
      <c r="T297" s="897">
        <f t="shared" si="84"/>
        <v>4.4140000000000004E-3</v>
      </c>
      <c r="W297" s="897">
        <f t="shared" si="85"/>
        <v>4.4140000000000004E-3</v>
      </c>
    </row>
    <row r="298" spans="1:23">
      <c r="A298" s="890">
        <f t="shared" si="77"/>
        <v>13</v>
      </c>
      <c r="B298" s="870" t="str">
        <f>IF(OR((C295="~"),(C298="~")),"~","")</f>
        <v/>
      </c>
      <c r="C298" s="870" t="s">
        <v>1095</v>
      </c>
      <c r="E298" s="897">
        <f t="shared" si="82"/>
        <v>0</v>
      </c>
      <c r="F298" s="897"/>
      <c r="G298" s="897">
        <f t="shared" si="83"/>
        <v>0</v>
      </c>
      <c r="H298" s="897">
        <f t="shared" si="83"/>
        <v>0</v>
      </c>
      <c r="I298" s="897">
        <f t="shared" si="83"/>
        <v>0</v>
      </c>
      <c r="J298" s="897">
        <f t="shared" si="83"/>
        <v>0</v>
      </c>
      <c r="K298" s="897">
        <f t="shared" si="83"/>
        <v>0</v>
      </c>
      <c r="L298" s="897">
        <f t="shared" si="83"/>
        <v>0</v>
      </c>
      <c r="M298" s="897">
        <f t="shared" si="83"/>
        <v>0</v>
      </c>
      <c r="N298" s="897">
        <f t="shared" si="83"/>
        <v>0</v>
      </c>
      <c r="O298" s="897">
        <f t="shared" si="83"/>
        <v>0</v>
      </c>
      <c r="P298" s="897">
        <f t="shared" si="83"/>
        <v>0</v>
      </c>
      <c r="R298" s="897">
        <f t="shared" si="84"/>
        <v>0</v>
      </c>
      <c r="S298" s="897">
        <f t="shared" si="84"/>
        <v>0</v>
      </c>
      <c r="T298" s="897">
        <f t="shared" si="84"/>
        <v>0</v>
      </c>
      <c r="W298" s="897">
        <f t="shared" si="85"/>
        <v>0</v>
      </c>
    </row>
    <row r="299" spans="1:23">
      <c r="A299" s="890">
        <f t="shared" si="77"/>
        <v>14</v>
      </c>
      <c r="B299" s="870" t="str">
        <f>IF(OR((C295="~"),(C299="~")),"~","")</f>
        <v>~</v>
      </c>
      <c r="C299" s="870" t="s">
        <v>1096</v>
      </c>
      <c r="E299" s="897">
        <f t="shared" si="82"/>
        <v>0</v>
      </c>
      <c r="F299" s="897"/>
      <c r="G299" s="897">
        <f t="shared" si="83"/>
        <v>0</v>
      </c>
      <c r="H299" s="897">
        <f t="shared" si="83"/>
        <v>0</v>
      </c>
      <c r="I299" s="897">
        <f t="shared" si="83"/>
        <v>0</v>
      </c>
      <c r="J299" s="897">
        <f t="shared" si="83"/>
        <v>0</v>
      </c>
      <c r="K299" s="897">
        <f t="shared" si="83"/>
        <v>0</v>
      </c>
      <c r="L299" s="897">
        <f t="shared" si="83"/>
        <v>0</v>
      </c>
      <c r="M299" s="897">
        <f t="shared" si="83"/>
        <v>0</v>
      </c>
      <c r="N299" s="897">
        <f t="shared" si="83"/>
        <v>0</v>
      </c>
      <c r="O299" s="897">
        <f t="shared" si="83"/>
        <v>0</v>
      </c>
      <c r="P299" s="897">
        <f t="shared" si="83"/>
        <v>0</v>
      </c>
      <c r="R299" s="897">
        <f t="shared" si="84"/>
        <v>0</v>
      </c>
      <c r="S299" s="897">
        <f t="shared" si="84"/>
        <v>0</v>
      </c>
      <c r="T299" s="897">
        <f t="shared" si="84"/>
        <v>0</v>
      </c>
      <c r="W299" s="897">
        <f t="shared" si="85"/>
        <v>0</v>
      </c>
    </row>
    <row r="300" spans="1:23">
      <c r="A300" s="890">
        <f t="shared" si="77"/>
        <v>15</v>
      </c>
      <c r="B300" s="870" t="str">
        <f>IF(OR((C295="~"),(C300="~")),"~","")</f>
        <v>~</v>
      </c>
      <c r="C300" s="870" t="s">
        <v>1096</v>
      </c>
      <c r="E300" s="897">
        <f t="shared" si="82"/>
        <v>0</v>
      </c>
      <c r="F300" s="897"/>
      <c r="G300" s="897">
        <f t="shared" si="83"/>
        <v>0</v>
      </c>
      <c r="H300" s="897">
        <f t="shared" si="83"/>
        <v>0</v>
      </c>
      <c r="I300" s="897">
        <f t="shared" si="83"/>
        <v>0</v>
      </c>
      <c r="J300" s="897">
        <f t="shared" si="83"/>
        <v>0</v>
      </c>
      <c r="K300" s="897">
        <f t="shared" si="83"/>
        <v>0</v>
      </c>
      <c r="L300" s="897">
        <f t="shared" si="83"/>
        <v>0</v>
      </c>
      <c r="M300" s="897">
        <f t="shared" si="83"/>
        <v>0</v>
      </c>
      <c r="N300" s="897">
        <f t="shared" si="83"/>
        <v>0</v>
      </c>
      <c r="O300" s="897">
        <f t="shared" si="83"/>
        <v>0</v>
      </c>
      <c r="P300" s="897">
        <f t="shared" si="83"/>
        <v>0</v>
      </c>
      <c r="R300" s="897">
        <f t="shared" si="84"/>
        <v>0</v>
      </c>
      <c r="S300" s="897">
        <f t="shared" si="84"/>
        <v>0</v>
      </c>
      <c r="T300" s="897">
        <f t="shared" si="84"/>
        <v>0</v>
      </c>
      <c r="W300" s="897">
        <f t="shared" si="85"/>
        <v>0</v>
      </c>
    </row>
    <row r="301" spans="1:23">
      <c r="A301" s="890">
        <f t="shared" si="77"/>
        <v>16</v>
      </c>
      <c r="B301" s="870" t="str">
        <f>IF(OR((C295="~"),(C301="~")),"~","")</f>
        <v>~</v>
      </c>
      <c r="C301" s="870" t="s">
        <v>1096</v>
      </c>
      <c r="E301" s="897">
        <f t="shared" si="82"/>
        <v>0</v>
      </c>
      <c r="F301" s="897"/>
      <c r="G301" s="897">
        <f t="shared" si="83"/>
        <v>0</v>
      </c>
      <c r="H301" s="897">
        <f t="shared" si="83"/>
        <v>0</v>
      </c>
      <c r="I301" s="897">
        <f t="shared" si="83"/>
        <v>0</v>
      </c>
      <c r="J301" s="897">
        <f t="shared" si="83"/>
        <v>0</v>
      </c>
      <c r="K301" s="897">
        <f t="shared" si="83"/>
        <v>0</v>
      </c>
      <c r="L301" s="897">
        <f t="shared" si="83"/>
        <v>0</v>
      </c>
      <c r="M301" s="897">
        <f t="shared" si="83"/>
        <v>0</v>
      </c>
      <c r="N301" s="897">
        <f t="shared" si="83"/>
        <v>0</v>
      </c>
      <c r="O301" s="897">
        <f t="shared" si="83"/>
        <v>0</v>
      </c>
      <c r="P301" s="897">
        <f t="shared" si="83"/>
        <v>0</v>
      </c>
      <c r="R301" s="897">
        <f t="shared" si="84"/>
        <v>0</v>
      </c>
      <c r="S301" s="897">
        <f t="shared" si="84"/>
        <v>0</v>
      </c>
      <c r="T301" s="897">
        <f t="shared" si="84"/>
        <v>0</v>
      </c>
      <c r="W301" s="897">
        <f t="shared" si="85"/>
        <v>0</v>
      </c>
    </row>
    <row r="302" spans="1:23">
      <c r="A302" s="891">
        <f t="shared" si="77"/>
        <v>17</v>
      </c>
      <c r="B302" s="881" t="str">
        <f>IF(OR((C295="~"),(C302="~")),"~","")</f>
        <v/>
      </c>
      <c r="C302" s="881" t="s">
        <v>178</v>
      </c>
      <c r="D302" s="881"/>
      <c r="E302" s="898">
        <f t="shared" si="82"/>
        <v>5.8849999999999996E-3</v>
      </c>
      <c r="F302" s="898"/>
      <c r="G302" s="898">
        <f t="shared" si="83"/>
        <v>6.2300000000000003E-3</v>
      </c>
      <c r="H302" s="898">
        <f t="shared" si="83"/>
        <v>5.8069999999999997E-3</v>
      </c>
      <c r="I302" s="898">
        <f t="shared" si="83"/>
        <v>5.6759999999999996E-3</v>
      </c>
      <c r="J302" s="898">
        <f t="shared" si="83"/>
        <v>5.4999999999999997E-3</v>
      </c>
      <c r="K302" s="898">
        <f t="shared" si="83"/>
        <v>5.4520000000000002E-3</v>
      </c>
      <c r="L302" s="898">
        <f t="shared" si="83"/>
        <v>5.5399999999999998E-3</v>
      </c>
      <c r="M302" s="898">
        <f t="shared" si="83"/>
        <v>5.326E-3</v>
      </c>
      <c r="N302" s="898">
        <f t="shared" si="83"/>
        <v>5.3969999999999999E-3</v>
      </c>
      <c r="O302" s="898">
        <f t="shared" si="83"/>
        <v>5.8650000000000004E-3</v>
      </c>
      <c r="P302" s="898">
        <f t="shared" si="83"/>
        <v>6.234E-3</v>
      </c>
      <c r="R302" s="898">
        <f t="shared" si="84"/>
        <v>5.5539999999999999E-3</v>
      </c>
      <c r="S302" s="898">
        <f t="shared" si="84"/>
        <v>4.4209999999999996E-3</v>
      </c>
      <c r="T302" s="898">
        <f t="shared" si="84"/>
        <v>4.4140000000000004E-3</v>
      </c>
      <c r="W302" s="898">
        <f t="shared" si="85"/>
        <v>5.5500000000000002E-3</v>
      </c>
    </row>
    <row r="303" spans="1:23">
      <c r="A303" s="890">
        <f t="shared" si="77"/>
        <v>18</v>
      </c>
      <c r="B303" s="870" t="str">
        <f>IF(OR((C295="~"),(C303="~")),"~","")</f>
        <v/>
      </c>
    </row>
    <row r="304" spans="1:23">
      <c r="A304" s="890">
        <f t="shared" si="77"/>
        <v>19</v>
      </c>
      <c r="C304" s="865" t="s">
        <v>605</v>
      </c>
    </row>
    <row r="305" spans="1:23">
      <c r="A305" s="890">
        <f t="shared" si="77"/>
        <v>20</v>
      </c>
      <c r="B305" s="870" t="str">
        <f>IF(OR((C304="~"),(C305="~")),"~","")</f>
        <v/>
      </c>
      <c r="C305" s="870" t="s">
        <v>1093</v>
      </c>
      <c r="E305" s="897">
        <f t="shared" ref="E305:E311" si="86">ROUND(IF($C305=0,0,E197/E$386),6)</f>
        <v>1.4994E-2</v>
      </c>
      <c r="F305" s="897"/>
      <c r="G305" s="897">
        <f t="shared" ref="G305:P311" si="87">ROUND(IF($C305=0,0,G197/G$386),6)</f>
        <v>2.0580999999999999E-2</v>
      </c>
      <c r="H305" s="897">
        <f t="shared" si="87"/>
        <v>1.5509999999999999E-2</v>
      </c>
      <c r="I305" s="897">
        <f t="shared" si="87"/>
        <v>1.3551000000000001E-2</v>
      </c>
      <c r="J305" s="897">
        <f t="shared" si="87"/>
        <v>9.3259999999999992E-3</v>
      </c>
      <c r="K305" s="897">
        <f t="shared" si="87"/>
        <v>1.2114E-2</v>
      </c>
      <c r="L305" s="897">
        <f t="shared" si="87"/>
        <v>1.1667E-2</v>
      </c>
      <c r="M305" s="897">
        <f t="shared" si="87"/>
        <v>8.0000000000000007E-5</v>
      </c>
      <c r="N305" s="897">
        <f t="shared" si="87"/>
        <v>-5.5999999999999999E-5</v>
      </c>
      <c r="O305" s="897">
        <f t="shared" si="87"/>
        <v>2.7169999999999998E-3</v>
      </c>
      <c r="P305" s="897">
        <f t="shared" si="87"/>
        <v>2.0330999999999998E-2</v>
      </c>
      <c r="R305" s="897">
        <f t="shared" ref="R305:T311" si="88">ROUND(IF($C305=0,0,R197/R$386),6)</f>
        <v>1.0342E-2</v>
      </c>
      <c r="S305" s="897">
        <f t="shared" si="88"/>
        <v>3.8866999999999999E-2</v>
      </c>
      <c r="T305" s="897">
        <f t="shared" si="88"/>
        <v>2.9895999999999999E-2</v>
      </c>
      <c r="W305" s="897">
        <f t="shared" ref="W305:W311" si="89">ROUND(IF($C305=0,0,W197/W$386),6)</f>
        <v>1.044E-2</v>
      </c>
    </row>
    <row r="306" spans="1:23">
      <c r="A306" s="890">
        <f t="shared" si="77"/>
        <v>21</v>
      </c>
      <c r="B306" s="870" t="str">
        <f>IF(OR((C304="~"),(C306="~")),"~","")</f>
        <v/>
      </c>
      <c r="C306" s="870" t="s">
        <v>1094</v>
      </c>
      <c r="E306" s="897">
        <f t="shared" si="86"/>
        <v>0</v>
      </c>
      <c r="F306" s="897"/>
      <c r="G306" s="897">
        <f t="shared" si="87"/>
        <v>0</v>
      </c>
      <c r="H306" s="897">
        <f t="shared" si="87"/>
        <v>0</v>
      </c>
      <c r="I306" s="897">
        <f t="shared" si="87"/>
        <v>0</v>
      </c>
      <c r="J306" s="897">
        <f t="shared" si="87"/>
        <v>0</v>
      </c>
      <c r="K306" s="897">
        <f t="shared" si="87"/>
        <v>0</v>
      </c>
      <c r="L306" s="897">
        <f t="shared" si="87"/>
        <v>0</v>
      </c>
      <c r="M306" s="897">
        <f t="shared" si="87"/>
        <v>0</v>
      </c>
      <c r="N306" s="897">
        <f t="shared" si="87"/>
        <v>0</v>
      </c>
      <c r="O306" s="897">
        <f t="shared" si="87"/>
        <v>0</v>
      </c>
      <c r="P306" s="897">
        <f t="shared" si="87"/>
        <v>0</v>
      </c>
      <c r="R306" s="897">
        <f t="shared" si="88"/>
        <v>0</v>
      </c>
      <c r="S306" s="897">
        <f t="shared" si="88"/>
        <v>0</v>
      </c>
      <c r="T306" s="897">
        <f t="shared" si="88"/>
        <v>0</v>
      </c>
      <c r="W306" s="897">
        <f t="shared" si="89"/>
        <v>0</v>
      </c>
    </row>
    <row r="307" spans="1:23">
      <c r="A307" s="890">
        <f t="shared" si="77"/>
        <v>22</v>
      </c>
      <c r="B307" s="870" t="str">
        <f>IF(OR((C304="~"),(C307="~")),"~","")</f>
        <v/>
      </c>
      <c r="C307" s="870" t="s">
        <v>1095</v>
      </c>
      <c r="E307" s="897">
        <f t="shared" si="86"/>
        <v>6.5420000000000001E-3</v>
      </c>
      <c r="F307" s="897"/>
      <c r="G307" s="897">
        <f t="shared" si="87"/>
        <v>1.1077999999999999E-2</v>
      </c>
      <c r="H307" s="897">
        <f t="shared" si="87"/>
        <v>4.1250000000000002E-3</v>
      </c>
      <c r="I307" s="897">
        <f t="shared" si="87"/>
        <v>1.3929999999999999E-3</v>
      </c>
      <c r="J307" s="897">
        <f t="shared" si="87"/>
        <v>5.6499999999999996E-4</v>
      </c>
      <c r="K307" s="897">
        <f t="shared" si="87"/>
        <v>1.6969999999999999E-3</v>
      </c>
      <c r="L307" s="897">
        <f t="shared" si="87"/>
        <v>6.6699999999999995E-4</v>
      </c>
      <c r="M307" s="897">
        <f t="shared" si="87"/>
        <v>1.93E-4</v>
      </c>
      <c r="N307" s="897">
        <f t="shared" si="87"/>
        <v>2.0900000000000001E-4</v>
      </c>
      <c r="O307" s="897">
        <f t="shared" si="87"/>
        <v>0.15726100000000001</v>
      </c>
      <c r="P307" s="897">
        <f t="shared" si="87"/>
        <v>5.5500000000000002E-3</v>
      </c>
      <c r="R307" s="897">
        <f t="shared" si="88"/>
        <v>1.3929999999999999E-3</v>
      </c>
      <c r="S307" s="897">
        <f t="shared" si="88"/>
        <v>9.0200000000000002E-4</v>
      </c>
      <c r="T307" s="897">
        <f t="shared" si="88"/>
        <v>4.947E-3</v>
      </c>
      <c r="W307" s="897">
        <f t="shared" si="89"/>
        <v>1.392E-3</v>
      </c>
    </row>
    <row r="308" spans="1:23">
      <c r="A308" s="890">
        <f t="shared" si="77"/>
        <v>23</v>
      </c>
      <c r="B308" s="870" t="str">
        <f>IF(OR((C304="~"),(C308="~")),"~","")</f>
        <v>~</v>
      </c>
      <c r="C308" s="870" t="s">
        <v>1096</v>
      </c>
      <c r="E308" s="897">
        <f t="shared" si="86"/>
        <v>0</v>
      </c>
      <c r="F308" s="897"/>
      <c r="G308" s="897">
        <f t="shared" si="87"/>
        <v>0</v>
      </c>
      <c r="H308" s="897">
        <f t="shared" si="87"/>
        <v>0</v>
      </c>
      <c r="I308" s="897">
        <f t="shared" si="87"/>
        <v>0</v>
      </c>
      <c r="J308" s="897">
        <f t="shared" si="87"/>
        <v>0</v>
      </c>
      <c r="K308" s="897">
        <f t="shared" si="87"/>
        <v>0</v>
      </c>
      <c r="L308" s="897">
        <f t="shared" si="87"/>
        <v>0</v>
      </c>
      <c r="M308" s="897">
        <f t="shared" si="87"/>
        <v>0</v>
      </c>
      <c r="N308" s="897">
        <f t="shared" si="87"/>
        <v>0</v>
      </c>
      <c r="O308" s="897">
        <f t="shared" si="87"/>
        <v>0</v>
      </c>
      <c r="P308" s="897">
        <f t="shared" si="87"/>
        <v>0</v>
      </c>
      <c r="R308" s="897">
        <f t="shared" si="88"/>
        <v>0</v>
      </c>
      <c r="S308" s="897">
        <f t="shared" si="88"/>
        <v>0</v>
      </c>
      <c r="T308" s="897">
        <f t="shared" si="88"/>
        <v>0</v>
      </c>
      <c r="W308" s="897">
        <f t="shared" si="89"/>
        <v>0</v>
      </c>
    </row>
    <row r="309" spans="1:23">
      <c r="A309" s="890">
        <f t="shared" si="77"/>
        <v>24</v>
      </c>
      <c r="B309" s="870" t="str">
        <f>IF(OR((C304="~"),(C309="~")),"~","")</f>
        <v>~</v>
      </c>
      <c r="C309" s="870" t="s">
        <v>1096</v>
      </c>
      <c r="E309" s="897">
        <f t="shared" si="86"/>
        <v>0</v>
      </c>
      <c r="F309" s="897"/>
      <c r="G309" s="897">
        <f t="shared" si="87"/>
        <v>0</v>
      </c>
      <c r="H309" s="897">
        <f t="shared" si="87"/>
        <v>0</v>
      </c>
      <c r="I309" s="897">
        <f t="shared" si="87"/>
        <v>0</v>
      </c>
      <c r="J309" s="897">
        <f t="shared" si="87"/>
        <v>0</v>
      </c>
      <c r="K309" s="897">
        <f t="shared" si="87"/>
        <v>0</v>
      </c>
      <c r="L309" s="897">
        <f t="shared" si="87"/>
        <v>0</v>
      </c>
      <c r="M309" s="897">
        <f t="shared" si="87"/>
        <v>0</v>
      </c>
      <c r="N309" s="897">
        <f t="shared" si="87"/>
        <v>0</v>
      </c>
      <c r="O309" s="897">
        <f t="shared" si="87"/>
        <v>0</v>
      </c>
      <c r="P309" s="897">
        <f t="shared" si="87"/>
        <v>0</v>
      </c>
      <c r="R309" s="897">
        <f t="shared" si="88"/>
        <v>0</v>
      </c>
      <c r="S309" s="897">
        <f t="shared" si="88"/>
        <v>0</v>
      </c>
      <c r="T309" s="897">
        <f t="shared" si="88"/>
        <v>0</v>
      </c>
      <c r="W309" s="897">
        <f t="shared" si="89"/>
        <v>0</v>
      </c>
    </row>
    <row r="310" spans="1:23">
      <c r="A310" s="890">
        <f t="shared" si="77"/>
        <v>25</v>
      </c>
      <c r="B310" s="870" t="str">
        <f>IF(OR((C304="~"),(C310="~")),"~","")</f>
        <v>~</v>
      </c>
      <c r="C310" s="870" t="s">
        <v>1096</v>
      </c>
      <c r="E310" s="897">
        <f t="shared" si="86"/>
        <v>0</v>
      </c>
      <c r="F310" s="897"/>
      <c r="G310" s="897">
        <f t="shared" si="87"/>
        <v>0</v>
      </c>
      <c r="H310" s="897">
        <f t="shared" si="87"/>
        <v>0</v>
      </c>
      <c r="I310" s="897">
        <f t="shared" si="87"/>
        <v>0</v>
      </c>
      <c r="J310" s="897">
        <f t="shared" si="87"/>
        <v>0</v>
      </c>
      <c r="K310" s="897">
        <f t="shared" si="87"/>
        <v>0</v>
      </c>
      <c r="L310" s="897">
        <f t="shared" si="87"/>
        <v>0</v>
      </c>
      <c r="M310" s="897">
        <f t="shared" si="87"/>
        <v>0</v>
      </c>
      <c r="N310" s="897">
        <f t="shared" si="87"/>
        <v>0</v>
      </c>
      <c r="O310" s="897">
        <f t="shared" si="87"/>
        <v>0</v>
      </c>
      <c r="P310" s="897">
        <f t="shared" si="87"/>
        <v>0</v>
      </c>
      <c r="R310" s="897">
        <f t="shared" si="88"/>
        <v>0</v>
      </c>
      <c r="S310" s="897">
        <f t="shared" si="88"/>
        <v>0</v>
      </c>
      <c r="T310" s="897">
        <f t="shared" si="88"/>
        <v>0</v>
      </c>
      <c r="W310" s="897">
        <f t="shared" si="89"/>
        <v>0</v>
      </c>
    </row>
    <row r="311" spans="1:23">
      <c r="A311" s="891">
        <f t="shared" si="77"/>
        <v>26</v>
      </c>
      <c r="B311" s="881" t="str">
        <f>IF(OR((C304="~"),(C311="~")),"~","")</f>
        <v/>
      </c>
      <c r="C311" s="881" t="s">
        <v>178</v>
      </c>
      <c r="D311" s="881"/>
      <c r="E311" s="898">
        <f t="shared" si="86"/>
        <v>2.1536E-2</v>
      </c>
      <c r="F311" s="898"/>
      <c r="G311" s="898">
        <f t="shared" si="87"/>
        <v>3.1659E-2</v>
      </c>
      <c r="H311" s="898">
        <f t="shared" si="87"/>
        <v>1.9633999999999999E-2</v>
      </c>
      <c r="I311" s="898">
        <f t="shared" si="87"/>
        <v>1.4944000000000001E-2</v>
      </c>
      <c r="J311" s="898">
        <f t="shared" si="87"/>
        <v>9.8910000000000005E-3</v>
      </c>
      <c r="K311" s="898">
        <f t="shared" si="87"/>
        <v>1.3812E-2</v>
      </c>
      <c r="L311" s="898">
        <f t="shared" si="87"/>
        <v>1.2333999999999999E-2</v>
      </c>
      <c r="M311" s="898">
        <f t="shared" si="87"/>
        <v>2.7300000000000002E-4</v>
      </c>
      <c r="N311" s="898">
        <f t="shared" si="87"/>
        <v>1.5300000000000001E-4</v>
      </c>
      <c r="O311" s="898">
        <f t="shared" si="87"/>
        <v>0.15997700000000001</v>
      </c>
      <c r="P311" s="898">
        <f t="shared" si="87"/>
        <v>2.5881000000000001E-2</v>
      </c>
      <c r="R311" s="898">
        <f t="shared" si="88"/>
        <v>1.1735000000000001E-2</v>
      </c>
      <c r="S311" s="898">
        <f t="shared" si="88"/>
        <v>3.9768999999999999E-2</v>
      </c>
      <c r="T311" s="898">
        <f t="shared" si="88"/>
        <v>3.4842999999999999E-2</v>
      </c>
      <c r="W311" s="898">
        <f t="shared" si="89"/>
        <v>1.1832000000000001E-2</v>
      </c>
    </row>
    <row r="312" spans="1:23" hidden="1">
      <c r="A312" s="890"/>
      <c r="B312" s="870" t="str">
        <f>IF(OR((C304="~"),(C312="~")),"~","")</f>
        <v/>
      </c>
      <c r="C312" s="865"/>
    </row>
    <row r="313" spans="1:23" hidden="1">
      <c r="A313" s="890"/>
      <c r="B313" s="870" t="s">
        <v>1096</v>
      </c>
      <c r="E313" s="897"/>
      <c r="F313" s="897"/>
      <c r="G313" s="897"/>
      <c r="H313" s="897"/>
      <c r="I313" s="897"/>
      <c r="J313" s="897"/>
      <c r="K313" s="897"/>
      <c r="L313" s="897"/>
      <c r="M313" s="897"/>
      <c r="N313" s="897"/>
      <c r="O313" s="897"/>
      <c r="P313" s="897"/>
      <c r="R313" s="897"/>
      <c r="S313" s="897"/>
      <c r="T313" s="897"/>
      <c r="W313" s="897"/>
    </row>
    <row r="314" spans="1:23" hidden="1">
      <c r="A314" s="890"/>
      <c r="B314" s="870" t="str">
        <f>IF(OR((B313="~"),(C314="~")),"~","")</f>
        <v>~</v>
      </c>
      <c r="C314" s="870" t="s">
        <v>1096</v>
      </c>
      <c r="E314" s="897">
        <f t="shared" ref="E314:E319" si="90">ROUND(IF($C314=0,0,E206/E$386),6)</f>
        <v>0</v>
      </c>
      <c r="F314" s="897"/>
      <c r="G314" s="897">
        <f t="shared" ref="G314:P319" si="91">ROUND(IF($C314=0,0,G206/G$386),6)</f>
        <v>0</v>
      </c>
      <c r="H314" s="897">
        <f t="shared" si="91"/>
        <v>0</v>
      </c>
      <c r="I314" s="897">
        <f t="shared" si="91"/>
        <v>0</v>
      </c>
      <c r="J314" s="897">
        <f t="shared" si="91"/>
        <v>0</v>
      </c>
      <c r="K314" s="897">
        <f t="shared" si="91"/>
        <v>0</v>
      </c>
      <c r="L314" s="897">
        <f t="shared" si="91"/>
        <v>0</v>
      </c>
      <c r="M314" s="897">
        <f t="shared" si="91"/>
        <v>0</v>
      </c>
      <c r="N314" s="897">
        <f t="shared" si="91"/>
        <v>0</v>
      </c>
      <c r="O314" s="897">
        <f t="shared" si="91"/>
        <v>0</v>
      </c>
      <c r="P314" s="897">
        <f t="shared" si="91"/>
        <v>0</v>
      </c>
      <c r="R314" s="897">
        <f t="shared" ref="R314:T319" si="92">ROUND(IF($C314=0,0,R206/R$386),6)</f>
        <v>0</v>
      </c>
      <c r="S314" s="897">
        <f t="shared" si="92"/>
        <v>0</v>
      </c>
      <c r="T314" s="897">
        <f t="shared" si="92"/>
        <v>0</v>
      </c>
      <c r="W314" s="897">
        <f t="shared" ref="W314:W319" si="93">ROUND(IF($C314=0,0,W206/W$386),6)</f>
        <v>0</v>
      </c>
    </row>
    <row r="315" spans="1:23" hidden="1">
      <c r="A315" s="890"/>
      <c r="B315" s="870" t="str">
        <f>IF(OR((B313="~"),(C315="~")),"~","")</f>
        <v>~</v>
      </c>
      <c r="C315" s="870" t="s">
        <v>1096</v>
      </c>
      <c r="E315" s="897">
        <f t="shared" si="90"/>
        <v>0</v>
      </c>
      <c r="F315" s="897"/>
      <c r="G315" s="897">
        <f t="shared" si="91"/>
        <v>0</v>
      </c>
      <c r="H315" s="897">
        <f t="shared" si="91"/>
        <v>0</v>
      </c>
      <c r="I315" s="897">
        <f t="shared" si="91"/>
        <v>0</v>
      </c>
      <c r="J315" s="897">
        <f t="shared" si="91"/>
        <v>0</v>
      </c>
      <c r="K315" s="897">
        <f t="shared" si="91"/>
        <v>0</v>
      </c>
      <c r="L315" s="897">
        <f t="shared" si="91"/>
        <v>0</v>
      </c>
      <c r="M315" s="897">
        <f t="shared" si="91"/>
        <v>0</v>
      </c>
      <c r="N315" s="897">
        <f t="shared" si="91"/>
        <v>0</v>
      </c>
      <c r="O315" s="897">
        <f t="shared" si="91"/>
        <v>0</v>
      </c>
      <c r="P315" s="897">
        <f t="shared" si="91"/>
        <v>0</v>
      </c>
      <c r="R315" s="897">
        <f t="shared" si="92"/>
        <v>0</v>
      </c>
      <c r="S315" s="897">
        <f t="shared" si="92"/>
        <v>0</v>
      </c>
      <c r="T315" s="897">
        <f t="shared" si="92"/>
        <v>0</v>
      </c>
      <c r="W315" s="897">
        <f t="shared" si="93"/>
        <v>0</v>
      </c>
    </row>
    <row r="316" spans="1:23" hidden="1">
      <c r="A316" s="890"/>
      <c r="B316" s="870" t="str">
        <f>IF(OR((B313="~"),(C316="~")),"~","")</f>
        <v>~</v>
      </c>
      <c r="C316" s="870" t="s">
        <v>1096</v>
      </c>
      <c r="E316" s="897">
        <f t="shared" si="90"/>
        <v>0</v>
      </c>
      <c r="F316" s="897"/>
      <c r="G316" s="897">
        <f t="shared" si="91"/>
        <v>0</v>
      </c>
      <c r="H316" s="897">
        <f t="shared" si="91"/>
        <v>0</v>
      </c>
      <c r="I316" s="897">
        <f t="shared" si="91"/>
        <v>0</v>
      </c>
      <c r="J316" s="897">
        <f t="shared" si="91"/>
        <v>0</v>
      </c>
      <c r="K316" s="897">
        <f t="shared" si="91"/>
        <v>0</v>
      </c>
      <c r="L316" s="897">
        <f t="shared" si="91"/>
        <v>0</v>
      </c>
      <c r="M316" s="897">
        <f t="shared" si="91"/>
        <v>0</v>
      </c>
      <c r="N316" s="897">
        <f t="shared" si="91"/>
        <v>0</v>
      </c>
      <c r="O316" s="897">
        <f t="shared" si="91"/>
        <v>0</v>
      </c>
      <c r="P316" s="897">
        <f t="shared" si="91"/>
        <v>0</v>
      </c>
      <c r="R316" s="897">
        <f t="shared" si="92"/>
        <v>0</v>
      </c>
      <c r="S316" s="897">
        <f t="shared" si="92"/>
        <v>0</v>
      </c>
      <c r="T316" s="897">
        <f t="shared" si="92"/>
        <v>0</v>
      </c>
      <c r="W316" s="897">
        <f t="shared" si="93"/>
        <v>0</v>
      </c>
    </row>
    <row r="317" spans="1:23" hidden="1">
      <c r="A317" s="890"/>
      <c r="B317" s="870" t="str">
        <f>IF(OR((B313="~"),(C317="~")),"~","")</f>
        <v>~</v>
      </c>
      <c r="C317" s="870" t="s">
        <v>1096</v>
      </c>
      <c r="E317" s="897">
        <f t="shared" si="90"/>
        <v>0</v>
      </c>
      <c r="F317" s="897"/>
      <c r="G317" s="897">
        <f t="shared" si="91"/>
        <v>0</v>
      </c>
      <c r="H317" s="897">
        <f t="shared" si="91"/>
        <v>0</v>
      </c>
      <c r="I317" s="897">
        <f t="shared" si="91"/>
        <v>0</v>
      </c>
      <c r="J317" s="897">
        <f t="shared" si="91"/>
        <v>0</v>
      </c>
      <c r="K317" s="897">
        <f t="shared" si="91"/>
        <v>0</v>
      </c>
      <c r="L317" s="897">
        <f t="shared" si="91"/>
        <v>0</v>
      </c>
      <c r="M317" s="897">
        <f t="shared" si="91"/>
        <v>0</v>
      </c>
      <c r="N317" s="897">
        <f t="shared" si="91"/>
        <v>0</v>
      </c>
      <c r="O317" s="897">
        <f t="shared" si="91"/>
        <v>0</v>
      </c>
      <c r="P317" s="897">
        <f t="shared" si="91"/>
        <v>0</v>
      </c>
      <c r="R317" s="897">
        <f t="shared" si="92"/>
        <v>0</v>
      </c>
      <c r="S317" s="897">
        <f t="shared" si="92"/>
        <v>0</v>
      </c>
      <c r="T317" s="897">
        <f t="shared" si="92"/>
        <v>0</v>
      </c>
      <c r="W317" s="897">
        <f t="shared" si="93"/>
        <v>0</v>
      </c>
    </row>
    <row r="318" spans="1:23" hidden="1">
      <c r="A318" s="890"/>
      <c r="B318" s="870" t="str">
        <f>IF(OR((B313="~"),(C318="~")),"~","")</f>
        <v>~</v>
      </c>
      <c r="C318" s="870" t="s">
        <v>1096</v>
      </c>
      <c r="E318" s="897">
        <f t="shared" si="90"/>
        <v>0</v>
      </c>
      <c r="F318" s="897"/>
      <c r="G318" s="897">
        <f t="shared" si="91"/>
        <v>0</v>
      </c>
      <c r="H318" s="897">
        <f t="shared" si="91"/>
        <v>0</v>
      </c>
      <c r="I318" s="897">
        <f t="shared" si="91"/>
        <v>0</v>
      </c>
      <c r="J318" s="897">
        <f t="shared" si="91"/>
        <v>0</v>
      </c>
      <c r="K318" s="897">
        <f t="shared" si="91"/>
        <v>0</v>
      </c>
      <c r="L318" s="897">
        <f t="shared" si="91"/>
        <v>0</v>
      </c>
      <c r="M318" s="897">
        <f t="shared" si="91"/>
        <v>0</v>
      </c>
      <c r="N318" s="897">
        <f t="shared" si="91"/>
        <v>0</v>
      </c>
      <c r="O318" s="897">
        <f t="shared" si="91"/>
        <v>0</v>
      </c>
      <c r="P318" s="897">
        <f t="shared" si="91"/>
        <v>0</v>
      </c>
      <c r="R318" s="897">
        <f t="shared" si="92"/>
        <v>0</v>
      </c>
      <c r="S318" s="897">
        <f t="shared" si="92"/>
        <v>0</v>
      </c>
      <c r="T318" s="897">
        <f t="shared" si="92"/>
        <v>0</v>
      </c>
      <c r="W318" s="897">
        <f t="shared" si="93"/>
        <v>0</v>
      </c>
    </row>
    <row r="319" spans="1:23" hidden="1">
      <c r="A319" s="891"/>
      <c r="B319" s="881" t="str">
        <f>IF(OR((B313="~"),(C319="~")),"~","")</f>
        <v>~</v>
      </c>
      <c r="C319" s="881" t="s">
        <v>1096</v>
      </c>
      <c r="D319" s="881"/>
      <c r="E319" s="898">
        <f t="shared" si="90"/>
        <v>0</v>
      </c>
      <c r="F319" s="898"/>
      <c r="G319" s="898">
        <f t="shared" si="91"/>
        <v>0</v>
      </c>
      <c r="H319" s="898">
        <f t="shared" si="91"/>
        <v>0</v>
      </c>
      <c r="I319" s="898">
        <f t="shared" si="91"/>
        <v>0</v>
      </c>
      <c r="J319" s="898">
        <f t="shared" si="91"/>
        <v>0</v>
      </c>
      <c r="K319" s="898">
        <f t="shared" si="91"/>
        <v>0</v>
      </c>
      <c r="L319" s="898">
        <f t="shared" si="91"/>
        <v>0</v>
      </c>
      <c r="M319" s="898">
        <f t="shared" si="91"/>
        <v>0</v>
      </c>
      <c r="N319" s="898">
        <f t="shared" si="91"/>
        <v>0</v>
      </c>
      <c r="O319" s="898">
        <f t="shared" si="91"/>
        <v>0</v>
      </c>
      <c r="P319" s="898">
        <f t="shared" si="91"/>
        <v>0</v>
      </c>
      <c r="R319" s="898">
        <f t="shared" si="92"/>
        <v>0</v>
      </c>
      <c r="S319" s="898">
        <f t="shared" si="92"/>
        <v>0</v>
      </c>
      <c r="T319" s="898">
        <f t="shared" si="92"/>
        <v>0</v>
      </c>
      <c r="W319" s="898">
        <f t="shared" si="93"/>
        <v>0</v>
      </c>
    </row>
    <row r="320" spans="1:23" hidden="1">
      <c r="A320" s="890"/>
      <c r="B320" s="870" t="str">
        <f>IF(OR((B313="~"),(C320="~")),"~","")</f>
        <v>~</v>
      </c>
      <c r="C320" s="870" t="str">
        <f>IF(B313="~","~","")</f>
        <v>~</v>
      </c>
    </row>
    <row r="321" spans="1:23" hidden="1">
      <c r="A321" s="890"/>
      <c r="B321" s="870" t="str">
        <f>IF(OR((B313="~"),(C321="~")),"~","")</f>
        <v>~</v>
      </c>
      <c r="C321" s="865"/>
    </row>
    <row r="322" spans="1:23" hidden="1">
      <c r="A322" s="890"/>
      <c r="B322" s="870" t="s">
        <v>1096</v>
      </c>
      <c r="E322" s="897"/>
      <c r="F322" s="897"/>
      <c r="G322" s="897"/>
      <c r="H322" s="897"/>
      <c r="I322" s="897"/>
      <c r="J322" s="897"/>
      <c r="K322" s="897"/>
      <c r="L322" s="897"/>
      <c r="M322" s="897"/>
      <c r="N322" s="897"/>
      <c r="O322" s="897"/>
      <c r="P322" s="897"/>
      <c r="R322" s="897"/>
      <c r="S322" s="897"/>
      <c r="T322" s="897"/>
      <c r="W322" s="897"/>
    </row>
    <row r="323" spans="1:23" hidden="1">
      <c r="A323" s="890"/>
      <c r="B323" s="870" t="str">
        <f>IF(OR((B322="~"),(C323="~")),"~","")</f>
        <v>~</v>
      </c>
      <c r="C323" s="870" t="s">
        <v>1096</v>
      </c>
      <c r="E323" s="897">
        <f t="shared" ref="E323:E328" si="94">ROUND(IF($C323=0,0,E215/E$386),6)</f>
        <v>0</v>
      </c>
      <c r="F323" s="897"/>
      <c r="G323" s="897">
        <f t="shared" ref="G323:P328" si="95">ROUND(IF($C323=0,0,G215/G$386),6)</f>
        <v>0</v>
      </c>
      <c r="H323" s="897">
        <f t="shared" si="95"/>
        <v>0</v>
      </c>
      <c r="I323" s="897">
        <f t="shared" si="95"/>
        <v>0</v>
      </c>
      <c r="J323" s="897">
        <f t="shared" si="95"/>
        <v>0</v>
      </c>
      <c r="K323" s="897">
        <f t="shared" si="95"/>
        <v>0</v>
      </c>
      <c r="L323" s="897">
        <f t="shared" si="95"/>
        <v>0</v>
      </c>
      <c r="M323" s="897">
        <f t="shared" si="95"/>
        <v>0</v>
      </c>
      <c r="N323" s="897">
        <f t="shared" si="95"/>
        <v>0</v>
      </c>
      <c r="O323" s="897">
        <f t="shared" si="95"/>
        <v>0</v>
      </c>
      <c r="P323" s="897">
        <f t="shared" si="95"/>
        <v>0</v>
      </c>
      <c r="R323" s="897">
        <f t="shared" ref="R323:T328" si="96">ROUND(IF($C323=0,0,R215/R$386),6)</f>
        <v>0</v>
      </c>
      <c r="S323" s="897">
        <f t="shared" si="96"/>
        <v>0</v>
      </c>
      <c r="T323" s="897">
        <f t="shared" si="96"/>
        <v>0</v>
      </c>
      <c r="W323" s="897">
        <f t="shared" ref="W323:W328" si="97">ROUND(IF($C323=0,0,W215/W$386),6)</f>
        <v>0</v>
      </c>
    </row>
    <row r="324" spans="1:23" hidden="1">
      <c r="A324" s="890"/>
      <c r="B324" s="870" t="str">
        <f>IF(OR((B322="~"),(C324="~")),"~","")</f>
        <v>~</v>
      </c>
      <c r="C324" s="870" t="s">
        <v>1096</v>
      </c>
      <c r="E324" s="897">
        <f t="shared" si="94"/>
        <v>0</v>
      </c>
      <c r="F324" s="897"/>
      <c r="G324" s="897">
        <f t="shared" si="95"/>
        <v>0</v>
      </c>
      <c r="H324" s="897">
        <f t="shared" si="95"/>
        <v>0</v>
      </c>
      <c r="I324" s="897">
        <f t="shared" si="95"/>
        <v>0</v>
      </c>
      <c r="J324" s="897">
        <f t="shared" si="95"/>
        <v>0</v>
      </c>
      <c r="K324" s="897">
        <f t="shared" si="95"/>
        <v>0</v>
      </c>
      <c r="L324" s="897">
        <f t="shared" si="95"/>
        <v>0</v>
      </c>
      <c r="M324" s="897">
        <f t="shared" si="95"/>
        <v>0</v>
      </c>
      <c r="N324" s="897">
        <f t="shared" si="95"/>
        <v>0</v>
      </c>
      <c r="O324" s="897">
        <f t="shared" si="95"/>
        <v>0</v>
      </c>
      <c r="P324" s="897">
        <f t="shared" si="95"/>
        <v>0</v>
      </c>
      <c r="R324" s="897">
        <f t="shared" si="96"/>
        <v>0</v>
      </c>
      <c r="S324" s="897">
        <f t="shared" si="96"/>
        <v>0</v>
      </c>
      <c r="T324" s="897">
        <f t="shared" si="96"/>
        <v>0</v>
      </c>
      <c r="W324" s="897">
        <f t="shared" si="97"/>
        <v>0</v>
      </c>
    </row>
    <row r="325" spans="1:23" hidden="1">
      <c r="A325" s="890"/>
      <c r="B325" s="870" t="str">
        <f>IF(OR((B322="~"),(C325="~")),"~","")</f>
        <v>~</v>
      </c>
      <c r="C325" s="870" t="s">
        <v>1096</v>
      </c>
      <c r="E325" s="897">
        <f t="shared" si="94"/>
        <v>0</v>
      </c>
      <c r="F325" s="897"/>
      <c r="G325" s="897">
        <f t="shared" si="95"/>
        <v>0</v>
      </c>
      <c r="H325" s="897">
        <f t="shared" si="95"/>
        <v>0</v>
      </c>
      <c r="I325" s="897">
        <f t="shared" si="95"/>
        <v>0</v>
      </c>
      <c r="J325" s="897">
        <f t="shared" si="95"/>
        <v>0</v>
      </c>
      <c r="K325" s="897">
        <f t="shared" si="95"/>
        <v>0</v>
      </c>
      <c r="L325" s="897">
        <f t="shared" si="95"/>
        <v>0</v>
      </c>
      <c r="M325" s="897">
        <f t="shared" si="95"/>
        <v>0</v>
      </c>
      <c r="N325" s="897">
        <f t="shared" si="95"/>
        <v>0</v>
      </c>
      <c r="O325" s="897">
        <f t="shared" si="95"/>
        <v>0</v>
      </c>
      <c r="P325" s="897">
        <f t="shared" si="95"/>
        <v>0</v>
      </c>
      <c r="R325" s="897">
        <f t="shared" si="96"/>
        <v>0</v>
      </c>
      <c r="S325" s="897">
        <f t="shared" si="96"/>
        <v>0</v>
      </c>
      <c r="T325" s="897">
        <f t="shared" si="96"/>
        <v>0</v>
      </c>
      <c r="W325" s="897">
        <f t="shared" si="97"/>
        <v>0</v>
      </c>
    </row>
    <row r="326" spans="1:23" hidden="1">
      <c r="A326" s="890"/>
      <c r="B326" s="870" t="str">
        <f>IF(OR((B322="~"),(C326="~")),"~","")</f>
        <v>~</v>
      </c>
      <c r="C326" s="870" t="s">
        <v>1096</v>
      </c>
      <c r="E326" s="897">
        <f t="shared" si="94"/>
        <v>0</v>
      </c>
      <c r="F326" s="897"/>
      <c r="G326" s="897">
        <f t="shared" si="95"/>
        <v>0</v>
      </c>
      <c r="H326" s="897">
        <f t="shared" si="95"/>
        <v>0</v>
      </c>
      <c r="I326" s="897">
        <f t="shared" si="95"/>
        <v>0</v>
      </c>
      <c r="J326" s="897">
        <f t="shared" si="95"/>
        <v>0</v>
      </c>
      <c r="K326" s="897">
        <f t="shared" si="95"/>
        <v>0</v>
      </c>
      <c r="L326" s="897">
        <f t="shared" si="95"/>
        <v>0</v>
      </c>
      <c r="M326" s="897">
        <f t="shared" si="95"/>
        <v>0</v>
      </c>
      <c r="N326" s="897">
        <f t="shared" si="95"/>
        <v>0</v>
      </c>
      <c r="O326" s="897">
        <f t="shared" si="95"/>
        <v>0</v>
      </c>
      <c r="P326" s="897">
        <f t="shared" si="95"/>
        <v>0</v>
      </c>
      <c r="R326" s="897">
        <f t="shared" si="96"/>
        <v>0</v>
      </c>
      <c r="S326" s="897">
        <f t="shared" si="96"/>
        <v>0</v>
      </c>
      <c r="T326" s="897">
        <f t="shared" si="96"/>
        <v>0</v>
      </c>
      <c r="W326" s="897">
        <f t="shared" si="97"/>
        <v>0</v>
      </c>
    </row>
    <row r="327" spans="1:23" hidden="1">
      <c r="A327" s="890"/>
      <c r="B327" s="870" t="str">
        <f>IF(OR((B322="~"),(C327="~")),"~","")</f>
        <v>~</v>
      </c>
      <c r="C327" s="870" t="s">
        <v>1096</v>
      </c>
      <c r="E327" s="897">
        <f t="shared" si="94"/>
        <v>0</v>
      </c>
      <c r="F327" s="897"/>
      <c r="G327" s="897">
        <f t="shared" si="95"/>
        <v>0</v>
      </c>
      <c r="H327" s="897">
        <f t="shared" si="95"/>
        <v>0</v>
      </c>
      <c r="I327" s="897">
        <f t="shared" si="95"/>
        <v>0</v>
      </c>
      <c r="J327" s="897">
        <f t="shared" si="95"/>
        <v>0</v>
      </c>
      <c r="K327" s="897">
        <f t="shared" si="95"/>
        <v>0</v>
      </c>
      <c r="L327" s="897">
        <f t="shared" si="95"/>
        <v>0</v>
      </c>
      <c r="M327" s="897">
        <f t="shared" si="95"/>
        <v>0</v>
      </c>
      <c r="N327" s="897">
        <f t="shared" si="95"/>
        <v>0</v>
      </c>
      <c r="O327" s="897">
        <f t="shared" si="95"/>
        <v>0</v>
      </c>
      <c r="P327" s="897">
        <f t="shared" si="95"/>
        <v>0</v>
      </c>
      <c r="R327" s="897">
        <f t="shared" si="96"/>
        <v>0</v>
      </c>
      <c r="S327" s="897">
        <f t="shared" si="96"/>
        <v>0</v>
      </c>
      <c r="T327" s="897">
        <f t="shared" si="96"/>
        <v>0</v>
      </c>
      <c r="W327" s="897">
        <f t="shared" si="97"/>
        <v>0</v>
      </c>
    </row>
    <row r="328" spans="1:23" hidden="1">
      <c r="A328" s="891"/>
      <c r="B328" s="881" t="str">
        <f>IF(OR((B322="~"),(C328="~")),"~","")</f>
        <v>~</v>
      </c>
      <c r="C328" s="881" t="s">
        <v>1096</v>
      </c>
      <c r="D328" s="881"/>
      <c r="E328" s="898">
        <f t="shared" si="94"/>
        <v>0</v>
      </c>
      <c r="F328" s="898"/>
      <c r="G328" s="898">
        <f t="shared" si="95"/>
        <v>0</v>
      </c>
      <c r="H328" s="898">
        <f t="shared" si="95"/>
        <v>0</v>
      </c>
      <c r="I328" s="898">
        <f t="shared" si="95"/>
        <v>0</v>
      </c>
      <c r="J328" s="898">
        <f t="shared" si="95"/>
        <v>0</v>
      </c>
      <c r="K328" s="898">
        <f t="shared" si="95"/>
        <v>0</v>
      </c>
      <c r="L328" s="898">
        <f t="shared" si="95"/>
        <v>0</v>
      </c>
      <c r="M328" s="898">
        <f t="shared" si="95"/>
        <v>0</v>
      </c>
      <c r="N328" s="898">
        <f t="shared" si="95"/>
        <v>0</v>
      </c>
      <c r="O328" s="898">
        <f t="shared" si="95"/>
        <v>0</v>
      </c>
      <c r="P328" s="898">
        <f t="shared" si="95"/>
        <v>0</v>
      </c>
      <c r="R328" s="898">
        <f t="shared" si="96"/>
        <v>0</v>
      </c>
      <c r="S328" s="898">
        <f t="shared" si="96"/>
        <v>0</v>
      </c>
      <c r="T328" s="898">
        <f t="shared" si="96"/>
        <v>0</v>
      </c>
      <c r="W328" s="898">
        <f t="shared" si="97"/>
        <v>0</v>
      </c>
    </row>
    <row r="329" spans="1:23" hidden="1">
      <c r="A329" s="890"/>
      <c r="B329" s="870" t="str">
        <f>IF(OR((B322="~"),(C329="~")),"~","")</f>
        <v>~</v>
      </c>
      <c r="C329" s="870" t="str">
        <f>IF(B322="~","~","Sub-total")</f>
        <v>~</v>
      </c>
    </row>
    <row r="330" spans="1:23" hidden="1">
      <c r="A330" s="890"/>
      <c r="B330" s="870" t="str">
        <f>IF(OR((B322="~"),(C330="~")),"~","")</f>
        <v>~</v>
      </c>
      <c r="C330" s="865"/>
    </row>
    <row r="331" spans="1:23" hidden="1">
      <c r="A331" s="890"/>
      <c r="B331" s="870" t="s">
        <v>1096</v>
      </c>
      <c r="E331" s="897"/>
      <c r="F331" s="897"/>
      <c r="G331" s="897"/>
      <c r="H331" s="897"/>
      <c r="I331" s="897"/>
      <c r="J331" s="897"/>
      <c r="K331" s="897"/>
      <c r="L331" s="897"/>
      <c r="M331" s="897"/>
      <c r="N331" s="897"/>
      <c r="O331" s="897"/>
      <c r="P331" s="897"/>
      <c r="R331" s="897"/>
      <c r="S331" s="897"/>
      <c r="T331" s="897"/>
      <c r="W331" s="897"/>
    </row>
    <row r="332" spans="1:23" hidden="1">
      <c r="A332" s="890"/>
      <c r="B332" s="870" t="str">
        <f>IF(OR((B331="~"),(C332="~")),"~","")</f>
        <v>~</v>
      </c>
      <c r="C332" s="870" t="s">
        <v>1096</v>
      </c>
      <c r="E332" s="897">
        <f t="shared" ref="E332:E337" si="98">ROUND(IF($C332=0,0,E224/E$386),6)</f>
        <v>0</v>
      </c>
      <c r="F332" s="897"/>
      <c r="G332" s="897">
        <f t="shared" ref="G332:P337" si="99">ROUND(IF($C332=0,0,G224/G$386),6)</f>
        <v>0</v>
      </c>
      <c r="H332" s="897">
        <f t="shared" si="99"/>
        <v>0</v>
      </c>
      <c r="I332" s="897">
        <f t="shared" si="99"/>
        <v>0</v>
      </c>
      <c r="J332" s="897">
        <f t="shared" si="99"/>
        <v>0</v>
      </c>
      <c r="K332" s="897">
        <f t="shared" si="99"/>
        <v>0</v>
      </c>
      <c r="L332" s="897">
        <f t="shared" si="99"/>
        <v>0</v>
      </c>
      <c r="M332" s="897">
        <f t="shared" si="99"/>
        <v>0</v>
      </c>
      <c r="N332" s="897">
        <f t="shared" si="99"/>
        <v>0</v>
      </c>
      <c r="O332" s="897">
        <f t="shared" si="99"/>
        <v>0</v>
      </c>
      <c r="P332" s="897">
        <f t="shared" si="99"/>
        <v>0</v>
      </c>
      <c r="R332" s="897">
        <f t="shared" ref="R332:T337" si="100">ROUND(IF($C332=0,0,R224/R$386),6)</f>
        <v>0</v>
      </c>
      <c r="S332" s="897">
        <f t="shared" si="100"/>
        <v>0</v>
      </c>
      <c r="T332" s="897">
        <f t="shared" si="100"/>
        <v>0</v>
      </c>
      <c r="W332" s="897">
        <f t="shared" ref="W332:W337" si="101">ROUND(IF($C332=0,0,W224/W$386),6)</f>
        <v>0</v>
      </c>
    </row>
    <row r="333" spans="1:23" hidden="1">
      <c r="A333" s="890"/>
      <c r="B333" s="870" t="str">
        <f>IF(OR((B331="~"),(C333="~")),"~","")</f>
        <v>~</v>
      </c>
      <c r="C333" s="870" t="s">
        <v>1096</v>
      </c>
      <c r="E333" s="897">
        <f t="shared" si="98"/>
        <v>0</v>
      </c>
      <c r="F333" s="897"/>
      <c r="G333" s="897">
        <f t="shared" si="99"/>
        <v>0</v>
      </c>
      <c r="H333" s="897">
        <f t="shared" si="99"/>
        <v>0</v>
      </c>
      <c r="I333" s="897">
        <f t="shared" si="99"/>
        <v>0</v>
      </c>
      <c r="J333" s="897">
        <f t="shared" si="99"/>
        <v>0</v>
      </c>
      <c r="K333" s="897">
        <f t="shared" si="99"/>
        <v>0</v>
      </c>
      <c r="L333" s="897">
        <f t="shared" si="99"/>
        <v>0</v>
      </c>
      <c r="M333" s="897">
        <f t="shared" si="99"/>
        <v>0</v>
      </c>
      <c r="N333" s="897">
        <f t="shared" si="99"/>
        <v>0</v>
      </c>
      <c r="O333" s="897">
        <f t="shared" si="99"/>
        <v>0</v>
      </c>
      <c r="P333" s="897">
        <f t="shared" si="99"/>
        <v>0</v>
      </c>
      <c r="R333" s="897">
        <f t="shared" si="100"/>
        <v>0</v>
      </c>
      <c r="S333" s="897">
        <f t="shared" si="100"/>
        <v>0</v>
      </c>
      <c r="T333" s="897">
        <f t="shared" si="100"/>
        <v>0</v>
      </c>
      <c r="W333" s="897">
        <f t="shared" si="101"/>
        <v>0</v>
      </c>
    </row>
    <row r="334" spans="1:23" hidden="1">
      <c r="A334" s="890"/>
      <c r="B334" s="870" t="str">
        <f>IF(OR((B331="~"),(C334="~")),"~","")</f>
        <v>~</v>
      </c>
      <c r="C334" s="870" t="s">
        <v>1096</v>
      </c>
      <c r="E334" s="897">
        <f t="shared" si="98"/>
        <v>0</v>
      </c>
      <c r="F334" s="897"/>
      <c r="G334" s="897">
        <f t="shared" si="99"/>
        <v>0</v>
      </c>
      <c r="H334" s="897">
        <f t="shared" si="99"/>
        <v>0</v>
      </c>
      <c r="I334" s="897">
        <f t="shared" si="99"/>
        <v>0</v>
      </c>
      <c r="J334" s="897">
        <f t="shared" si="99"/>
        <v>0</v>
      </c>
      <c r="K334" s="897">
        <f t="shared" si="99"/>
        <v>0</v>
      </c>
      <c r="L334" s="897">
        <f t="shared" si="99"/>
        <v>0</v>
      </c>
      <c r="M334" s="897">
        <f t="shared" si="99"/>
        <v>0</v>
      </c>
      <c r="N334" s="897">
        <f t="shared" si="99"/>
        <v>0</v>
      </c>
      <c r="O334" s="897">
        <f t="shared" si="99"/>
        <v>0</v>
      </c>
      <c r="P334" s="897">
        <f t="shared" si="99"/>
        <v>0</v>
      </c>
      <c r="R334" s="897">
        <f t="shared" si="100"/>
        <v>0</v>
      </c>
      <c r="S334" s="897">
        <f t="shared" si="100"/>
        <v>0</v>
      </c>
      <c r="T334" s="897">
        <f t="shared" si="100"/>
        <v>0</v>
      </c>
      <c r="W334" s="897">
        <f t="shared" si="101"/>
        <v>0</v>
      </c>
    </row>
    <row r="335" spans="1:23" hidden="1">
      <c r="A335" s="890"/>
      <c r="B335" s="870" t="str">
        <f>IF(OR((B331="~"),(C335="~")),"~","")</f>
        <v>~</v>
      </c>
      <c r="C335" s="870" t="s">
        <v>1096</v>
      </c>
      <c r="E335" s="897">
        <f t="shared" si="98"/>
        <v>0</v>
      </c>
      <c r="F335" s="897"/>
      <c r="G335" s="897">
        <f t="shared" si="99"/>
        <v>0</v>
      </c>
      <c r="H335" s="897">
        <f t="shared" si="99"/>
        <v>0</v>
      </c>
      <c r="I335" s="897">
        <f t="shared" si="99"/>
        <v>0</v>
      </c>
      <c r="J335" s="897">
        <f t="shared" si="99"/>
        <v>0</v>
      </c>
      <c r="K335" s="897">
        <f t="shared" si="99"/>
        <v>0</v>
      </c>
      <c r="L335" s="897">
        <f t="shared" si="99"/>
        <v>0</v>
      </c>
      <c r="M335" s="897">
        <f t="shared" si="99"/>
        <v>0</v>
      </c>
      <c r="N335" s="897">
        <f t="shared" si="99"/>
        <v>0</v>
      </c>
      <c r="O335" s="897">
        <f t="shared" si="99"/>
        <v>0</v>
      </c>
      <c r="P335" s="897">
        <f t="shared" si="99"/>
        <v>0</v>
      </c>
      <c r="R335" s="897">
        <f t="shared" si="100"/>
        <v>0</v>
      </c>
      <c r="S335" s="897">
        <f t="shared" si="100"/>
        <v>0</v>
      </c>
      <c r="T335" s="897">
        <f t="shared" si="100"/>
        <v>0</v>
      </c>
      <c r="W335" s="897">
        <f t="shared" si="101"/>
        <v>0</v>
      </c>
    </row>
    <row r="336" spans="1:23" hidden="1">
      <c r="A336" s="890"/>
      <c r="B336" s="870" t="str">
        <f>IF(OR((B331="~"),(C336="~")),"~","")</f>
        <v>~</v>
      </c>
      <c r="C336" s="870" t="s">
        <v>1096</v>
      </c>
      <c r="E336" s="897">
        <f t="shared" si="98"/>
        <v>0</v>
      </c>
      <c r="F336" s="897"/>
      <c r="G336" s="897">
        <f t="shared" si="99"/>
        <v>0</v>
      </c>
      <c r="H336" s="897">
        <f t="shared" si="99"/>
        <v>0</v>
      </c>
      <c r="I336" s="897">
        <f t="shared" si="99"/>
        <v>0</v>
      </c>
      <c r="J336" s="897">
        <f t="shared" si="99"/>
        <v>0</v>
      </c>
      <c r="K336" s="897">
        <f t="shared" si="99"/>
        <v>0</v>
      </c>
      <c r="L336" s="897">
        <f t="shared" si="99"/>
        <v>0</v>
      </c>
      <c r="M336" s="897">
        <f t="shared" si="99"/>
        <v>0</v>
      </c>
      <c r="N336" s="897">
        <f t="shared" si="99"/>
        <v>0</v>
      </c>
      <c r="O336" s="897">
        <f t="shared" si="99"/>
        <v>0</v>
      </c>
      <c r="P336" s="897">
        <f t="shared" si="99"/>
        <v>0</v>
      </c>
      <c r="R336" s="897">
        <f t="shared" si="100"/>
        <v>0</v>
      </c>
      <c r="S336" s="897">
        <f t="shared" si="100"/>
        <v>0</v>
      </c>
      <c r="T336" s="897">
        <f t="shared" si="100"/>
        <v>0</v>
      </c>
      <c r="W336" s="897">
        <f t="shared" si="101"/>
        <v>0</v>
      </c>
    </row>
    <row r="337" spans="1:23" hidden="1">
      <c r="A337" s="891"/>
      <c r="B337" s="881" t="str">
        <f>IF(OR((B331="~"),(C337="~")),"~","")</f>
        <v>~</v>
      </c>
      <c r="C337" s="881" t="s">
        <v>1096</v>
      </c>
      <c r="D337" s="881"/>
      <c r="E337" s="898">
        <f t="shared" si="98"/>
        <v>0</v>
      </c>
      <c r="F337" s="898"/>
      <c r="G337" s="898">
        <f t="shared" si="99"/>
        <v>0</v>
      </c>
      <c r="H337" s="898">
        <f t="shared" si="99"/>
        <v>0</v>
      </c>
      <c r="I337" s="898">
        <f t="shared" si="99"/>
        <v>0</v>
      </c>
      <c r="J337" s="898">
        <f t="shared" si="99"/>
        <v>0</v>
      </c>
      <c r="K337" s="898">
        <f t="shared" si="99"/>
        <v>0</v>
      </c>
      <c r="L337" s="898">
        <f t="shared" si="99"/>
        <v>0</v>
      </c>
      <c r="M337" s="898">
        <f t="shared" si="99"/>
        <v>0</v>
      </c>
      <c r="N337" s="898">
        <f t="shared" si="99"/>
        <v>0</v>
      </c>
      <c r="O337" s="898">
        <f t="shared" si="99"/>
        <v>0</v>
      </c>
      <c r="P337" s="898">
        <f t="shared" si="99"/>
        <v>0</v>
      </c>
      <c r="R337" s="898">
        <f t="shared" si="100"/>
        <v>0</v>
      </c>
      <c r="S337" s="898">
        <f t="shared" si="100"/>
        <v>0</v>
      </c>
      <c r="T337" s="898">
        <f t="shared" si="100"/>
        <v>0</v>
      </c>
      <c r="W337" s="898">
        <f t="shared" si="101"/>
        <v>0</v>
      </c>
    </row>
    <row r="338" spans="1:23" hidden="1">
      <c r="A338" s="890"/>
      <c r="B338" s="870" t="str">
        <f>IF(OR((B331="~"),(C338="~")),"~","")</f>
        <v>~</v>
      </c>
      <c r="C338" s="870" t="str">
        <f>IF(B331="~","~","Sub-total")</f>
        <v>~</v>
      </c>
    </row>
    <row r="339" spans="1:23" hidden="1">
      <c r="A339" s="890"/>
      <c r="B339" s="870" t="str">
        <f>IF(OR((B331="~"),(C339="~")),"~","")</f>
        <v>~</v>
      </c>
      <c r="C339" s="865"/>
    </row>
    <row r="340" spans="1:23" hidden="1">
      <c r="A340" s="890"/>
      <c r="B340" s="870" t="s">
        <v>1096</v>
      </c>
      <c r="E340" s="897"/>
      <c r="F340" s="897"/>
      <c r="G340" s="897"/>
      <c r="H340" s="897"/>
      <c r="I340" s="897"/>
      <c r="J340" s="897"/>
      <c r="K340" s="897"/>
      <c r="L340" s="897"/>
      <c r="M340" s="897"/>
      <c r="N340" s="897"/>
      <c r="O340" s="897"/>
      <c r="P340" s="897"/>
      <c r="R340" s="897"/>
      <c r="S340" s="897"/>
      <c r="T340" s="897"/>
      <c r="W340" s="897"/>
    </row>
    <row r="341" spans="1:23" hidden="1">
      <c r="A341" s="890"/>
      <c r="B341" s="870" t="str">
        <f>IF(OR((B340="~"),(C341="~")),"~","")</f>
        <v>~</v>
      </c>
      <c r="C341" s="870" t="s">
        <v>1096</v>
      </c>
      <c r="E341" s="897">
        <f t="shared" ref="E341:E346" si="102">ROUND(IF($C341=0,0,E233/E$386),6)</f>
        <v>0</v>
      </c>
      <c r="F341" s="897"/>
      <c r="G341" s="897">
        <f t="shared" ref="G341:P346" si="103">ROUND(IF($C341=0,0,G233/G$386),6)</f>
        <v>0</v>
      </c>
      <c r="H341" s="897">
        <f t="shared" si="103"/>
        <v>0</v>
      </c>
      <c r="I341" s="897">
        <f t="shared" si="103"/>
        <v>0</v>
      </c>
      <c r="J341" s="897">
        <f t="shared" si="103"/>
        <v>0</v>
      </c>
      <c r="K341" s="897">
        <f t="shared" si="103"/>
        <v>0</v>
      </c>
      <c r="L341" s="897">
        <f t="shared" si="103"/>
        <v>0</v>
      </c>
      <c r="M341" s="897">
        <f t="shared" si="103"/>
        <v>0</v>
      </c>
      <c r="N341" s="897">
        <f t="shared" si="103"/>
        <v>0</v>
      </c>
      <c r="O341" s="897">
        <f t="shared" si="103"/>
        <v>0</v>
      </c>
      <c r="P341" s="897">
        <f t="shared" si="103"/>
        <v>0</v>
      </c>
      <c r="R341" s="897">
        <f t="shared" ref="R341:T346" si="104">ROUND(IF($C341=0,0,R233/R$386),6)</f>
        <v>0</v>
      </c>
      <c r="S341" s="897">
        <f t="shared" si="104"/>
        <v>0</v>
      </c>
      <c r="T341" s="897">
        <f t="shared" si="104"/>
        <v>0</v>
      </c>
      <c r="W341" s="897">
        <f t="shared" ref="W341:W346" si="105">ROUND(IF($C341=0,0,W233/W$386),6)</f>
        <v>0</v>
      </c>
    </row>
    <row r="342" spans="1:23" hidden="1">
      <c r="A342" s="890"/>
      <c r="B342" s="870" t="str">
        <f>IF(OR((B340="~"),(C342="~")),"~","")</f>
        <v>~</v>
      </c>
      <c r="C342" s="870" t="s">
        <v>1096</v>
      </c>
      <c r="E342" s="897">
        <f t="shared" si="102"/>
        <v>0</v>
      </c>
      <c r="F342" s="897"/>
      <c r="G342" s="897">
        <f t="shared" si="103"/>
        <v>0</v>
      </c>
      <c r="H342" s="897">
        <f t="shared" si="103"/>
        <v>0</v>
      </c>
      <c r="I342" s="897">
        <f t="shared" si="103"/>
        <v>0</v>
      </c>
      <c r="J342" s="897">
        <f t="shared" si="103"/>
        <v>0</v>
      </c>
      <c r="K342" s="897">
        <f t="shared" si="103"/>
        <v>0</v>
      </c>
      <c r="L342" s="897">
        <f t="shared" si="103"/>
        <v>0</v>
      </c>
      <c r="M342" s="897">
        <f t="shared" si="103"/>
        <v>0</v>
      </c>
      <c r="N342" s="897">
        <f t="shared" si="103"/>
        <v>0</v>
      </c>
      <c r="O342" s="897">
        <f t="shared" si="103"/>
        <v>0</v>
      </c>
      <c r="P342" s="897">
        <f t="shared" si="103"/>
        <v>0</v>
      </c>
      <c r="R342" s="897">
        <f t="shared" si="104"/>
        <v>0</v>
      </c>
      <c r="S342" s="897">
        <f t="shared" si="104"/>
        <v>0</v>
      </c>
      <c r="T342" s="897">
        <f t="shared" si="104"/>
        <v>0</v>
      </c>
      <c r="W342" s="897">
        <f t="shared" si="105"/>
        <v>0</v>
      </c>
    </row>
    <row r="343" spans="1:23" hidden="1">
      <c r="A343" s="890"/>
      <c r="B343" s="870" t="str">
        <f>IF(OR((B340="~"),(C343="~")),"~","")</f>
        <v>~</v>
      </c>
      <c r="C343" s="870" t="s">
        <v>1096</v>
      </c>
      <c r="E343" s="897">
        <f t="shared" si="102"/>
        <v>0</v>
      </c>
      <c r="F343" s="897"/>
      <c r="G343" s="897">
        <f t="shared" si="103"/>
        <v>0</v>
      </c>
      <c r="H343" s="897">
        <f t="shared" si="103"/>
        <v>0</v>
      </c>
      <c r="I343" s="897">
        <f t="shared" si="103"/>
        <v>0</v>
      </c>
      <c r="J343" s="897">
        <f t="shared" si="103"/>
        <v>0</v>
      </c>
      <c r="K343" s="897">
        <f t="shared" si="103"/>
        <v>0</v>
      </c>
      <c r="L343" s="897">
        <f t="shared" si="103"/>
        <v>0</v>
      </c>
      <c r="M343" s="897">
        <f t="shared" si="103"/>
        <v>0</v>
      </c>
      <c r="N343" s="897">
        <f t="shared" si="103"/>
        <v>0</v>
      </c>
      <c r="O343" s="897">
        <f t="shared" si="103"/>
        <v>0</v>
      </c>
      <c r="P343" s="897">
        <f t="shared" si="103"/>
        <v>0</v>
      </c>
      <c r="R343" s="897">
        <f t="shared" si="104"/>
        <v>0</v>
      </c>
      <c r="S343" s="897">
        <f t="shared" si="104"/>
        <v>0</v>
      </c>
      <c r="T343" s="897">
        <f t="shared" si="104"/>
        <v>0</v>
      </c>
      <c r="W343" s="897">
        <f t="shared" si="105"/>
        <v>0</v>
      </c>
    </row>
    <row r="344" spans="1:23" hidden="1">
      <c r="A344" s="890"/>
      <c r="B344" s="870" t="str">
        <f>IF(OR((B340="~"),(C344="~")),"~","")</f>
        <v>~</v>
      </c>
      <c r="C344" s="870" t="s">
        <v>1096</v>
      </c>
      <c r="E344" s="897">
        <f t="shared" si="102"/>
        <v>0</v>
      </c>
      <c r="F344" s="897"/>
      <c r="G344" s="897">
        <f t="shared" si="103"/>
        <v>0</v>
      </c>
      <c r="H344" s="897">
        <f t="shared" si="103"/>
        <v>0</v>
      </c>
      <c r="I344" s="897">
        <f t="shared" si="103"/>
        <v>0</v>
      </c>
      <c r="J344" s="897">
        <f t="shared" si="103"/>
        <v>0</v>
      </c>
      <c r="K344" s="897">
        <f t="shared" si="103"/>
        <v>0</v>
      </c>
      <c r="L344" s="897">
        <f t="shared" si="103"/>
        <v>0</v>
      </c>
      <c r="M344" s="897">
        <f t="shared" si="103"/>
        <v>0</v>
      </c>
      <c r="N344" s="897">
        <f t="shared" si="103"/>
        <v>0</v>
      </c>
      <c r="O344" s="897">
        <f t="shared" si="103"/>
        <v>0</v>
      </c>
      <c r="P344" s="897">
        <f t="shared" si="103"/>
        <v>0</v>
      </c>
      <c r="R344" s="897">
        <f t="shared" si="104"/>
        <v>0</v>
      </c>
      <c r="S344" s="897">
        <f t="shared" si="104"/>
        <v>0</v>
      </c>
      <c r="T344" s="897">
        <f t="shared" si="104"/>
        <v>0</v>
      </c>
      <c r="W344" s="897">
        <f t="shared" si="105"/>
        <v>0</v>
      </c>
    </row>
    <row r="345" spans="1:23" hidden="1">
      <c r="A345" s="890"/>
      <c r="B345" s="870" t="str">
        <f>IF(OR((B340="~"),(C345="~")),"~","")</f>
        <v>~</v>
      </c>
      <c r="C345" s="870" t="s">
        <v>1096</v>
      </c>
      <c r="E345" s="897">
        <f t="shared" si="102"/>
        <v>0</v>
      </c>
      <c r="F345" s="897"/>
      <c r="G345" s="897">
        <f t="shared" si="103"/>
        <v>0</v>
      </c>
      <c r="H345" s="897">
        <f t="shared" si="103"/>
        <v>0</v>
      </c>
      <c r="I345" s="897">
        <f t="shared" si="103"/>
        <v>0</v>
      </c>
      <c r="J345" s="897">
        <f t="shared" si="103"/>
        <v>0</v>
      </c>
      <c r="K345" s="897">
        <f t="shared" si="103"/>
        <v>0</v>
      </c>
      <c r="L345" s="897">
        <f t="shared" si="103"/>
        <v>0</v>
      </c>
      <c r="M345" s="897">
        <f t="shared" si="103"/>
        <v>0</v>
      </c>
      <c r="N345" s="897">
        <f t="shared" si="103"/>
        <v>0</v>
      </c>
      <c r="O345" s="897">
        <f t="shared" si="103"/>
        <v>0</v>
      </c>
      <c r="P345" s="897">
        <f t="shared" si="103"/>
        <v>0</v>
      </c>
      <c r="R345" s="897">
        <f t="shared" si="104"/>
        <v>0</v>
      </c>
      <c r="S345" s="897">
        <f t="shared" si="104"/>
        <v>0</v>
      </c>
      <c r="T345" s="897">
        <f t="shared" si="104"/>
        <v>0</v>
      </c>
      <c r="W345" s="897">
        <f t="shared" si="105"/>
        <v>0</v>
      </c>
    </row>
    <row r="346" spans="1:23" hidden="1">
      <c r="A346" s="891"/>
      <c r="B346" s="881" t="str">
        <f>IF(OR((B340="~"),(C346="~")),"~","")</f>
        <v>~</v>
      </c>
      <c r="C346" s="881" t="s">
        <v>1096</v>
      </c>
      <c r="D346" s="881"/>
      <c r="E346" s="898">
        <f t="shared" si="102"/>
        <v>0</v>
      </c>
      <c r="F346" s="898"/>
      <c r="G346" s="898">
        <f t="shared" si="103"/>
        <v>0</v>
      </c>
      <c r="H346" s="898">
        <f t="shared" si="103"/>
        <v>0</v>
      </c>
      <c r="I346" s="898">
        <f t="shared" si="103"/>
        <v>0</v>
      </c>
      <c r="J346" s="898">
        <f t="shared" si="103"/>
        <v>0</v>
      </c>
      <c r="K346" s="898">
        <f t="shared" si="103"/>
        <v>0</v>
      </c>
      <c r="L346" s="898">
        <f t="shared" si="103"/>
        <v>0</v>
      </c>
      <c r="M346" s="898">
        <f t="shared" si="103"/>
        <v>0</v>
      </c>
      <c r="N346" s="898">
        <f t="shared" si="103"/>
        <v>0</v>
      </c>
      <c r="O346" s="898">
        <f t="shared" si="103"/>
        <v>0</v>
      </c>
      <c r="P346" s="898">
        <f t="shared" si="103"/>
        <v>0</v>
      </c>
      <c r="R346" s="898">
        <f t="shared" si="104"/>
        <v>0</v>
      </c>
      <c r="S346" s="898">
        <f t="shared" si="104"/>
        <v>0</v>
      </c>
      <c r="T346" s="898">
        <f t="shared" si="104"/>
        <v>0</v>
      </c>
      <c r="W346" s="898">
        <f t="shared" si="105"/>
        <v>0</v>
      </c>
    </row>
    <row r="347" spans="1:23" hidden="1">
      <c r="A347" s="890"/>
      <c r="B347" s="870" t="str">
        <f>IF(OR((B340="~"),(C347="~")),"~","")</f>
        <v>~</v>
      </c>
      <c r="C347" s="870" t="str">
        <f>IF(B340="~","~","Sub-total")</f>
        <v>~</v>
      </c>
    </row>
    <row r="348" spans="1:23" hidden="1">
      <c r="A348" s="890"/>
      <c r="B348" s="870" t="str">
        <f>IF(OR((B340="~"),(C348="~")),"~","")</f>
        <v>~</v>
      </c>
      <c r="C348" s="865"/>
    </row>
    <row r="349" spans="1:23" hidden="1">
      <c r="A349" s="890"/>
      <c r="B349" s="870" t="s">
        <v>1096</v>
      </c>
      <c r="E349" s="897"/>
      <c r="F349" s="897"/>
      <c r="G349" s="897"/>
      <c r="H349" s="897"/>
      <c r="I349" s="897"/>
      <c r="J349" s="897"/>
      <c r="K349" s="897"/>
      <c r="L349" s="897"/>
      <c r="M349" s="897"/>
      <c r="N349" s="897"/>
      <c r="O349" s="897"/>
      <c r="P349" s="897"/>
      <c r="R349" s="897"/>
      <c r="S349" s="897"/>
      <c r="T349" s="897"/>
      <c r="W349" s="897"/>
    </row>
    <row r="350" spans="1:23" hidden="1">
      <c r="A350" s="890"/>
      <c r="B350" s="870" t="str">
        <f>IF(OR((B349="~"),(C350="~")),"~","")</f>
        <v>~</v>
      </c>
      <c r="C350" s="870" t="s">
        <v>1096</v>
      </c>
      <c r="E350" s="897">
        <f t="shared" ref="E350:E355" si="106">ROUND(IF($C350=0,0,E242/E$386),6)</f>
        <v>0</v>
      </c>
      <c r="F350" s="897"/>
      <c r="G350" s="897">
        <f t="shared" ref="G350:P355" si="107">ROUND(IF($C350=0,0,G242/G$386),6)</f>
        <v>0</v>
      </c>
      <c r="H350" s="897">
        <f t="shared" si="107"/>
        <v>0</v>
      </c>
      <c r="I350" s="897">
        <f t="shared" si="107"/>
        <v>0</v>
      </c>
      <c r="J350" s="897">
        <f t="shared" si="107"/>
        <v>0</v>
      </c>
      <c r="K350" s="897">
        <f t="shared" si="107"/>
        <v>0</v>
      </c>
      <c r="L350" s="897">
        <f t="shared" si="107"/>
        <v>0</v>
      </c>
      <c r="M350" s="897">
        <f t="shared" si="107"/>
        <v>0</v>
      </c>
      <c r="N350" s="897">
        <f t="shared" si="107"/>
        <v>0</v>
      </c>
      <c r="O350" s="897">
        <f t="shared" si="107"/>
        <v>0</v>
      </c>
      <c r="P350" s="897">
        <f t="shared" si="107"/>
        <v>0</v>
      </c>
      <c r="R350" s="897">
        <f t="shared" ref="R350:T355" si="108">ROUND(IF($C350=0,0,R242/R$386),6)</f>
        <v>0</v>
      </c>
      <c r="S350" s="897">
        <f t="shared" si="108"/>
        <v>0</v>
      </c>
      <c r="T350" s="897">
        <f t="shared" si="108"/>
        <v>0</v>
      </c>
      <c r="W350" s="897">
        <f t="shared" ref="W350:W355" si="109">ROUND(IF($C350=0,0,W242/W$386),6)</f>
        <v>0</v>
      </c>
    </row>
    <row r="351" spans="1:23" hidden="1">
      <c r="A351" s="890"/>
      <c r="B351" s="870" t="str">
        <f>IF(OR((B349="~"),(C351="~")),"~","")</f>
        <v>~</v>
      </c>
      <c r="C351" s="870" t="s">
        <v>1096</v>
      </c>
      <c r="E351" s="897">
        <f t="shared" si="106"/>
        <v>0</v>
      </c>
      <c r="F351" s="897"/>
      <c r="G351" s="897">
        <f t="shared" si="107"/>
        <v>0</v>
      </c>
      <c r="H351" s="897">
        <f t="shared" si="107"/>
        <v>0</v>
      </c>
      <c r="I351" s="897">
        <f t="shared" si="107"/>
        <v>0</v>
      </c>
      <c r="J351" s="897">
        <f t="shared" si="107"/>
        <v>0</v>
      </c>
      <c r="K351" s="897">
        <f t="shared" si="107"/>
        <v>0</v>
      </c>
      <c r="L351" s="897">
        <f t="shared" si="107"/>
        <v>0</v>
      </c>
      <c r="M351" s="897">
        <f t="shared" si="107"/>
        <v>0</v>
      </c>
      <c r="N351" s="897">
        <f t="shared" si="107"/>
        <v>0</v>
      </c>
      <c r="O351" s="897">
        <f t="shared" si="107"/>
        <v>0</v>
      </c>
      <c r="P351" s="897">
        <f t="shared" si="107"/>
        <v>0</v>
      </c>
      <c r="R351" s="897">
        <f t="shared" si="108"/>
        <v>0</v>
      </c>
      <c r="S351" s="897">
        <f t="shared" si="108"/>
        <v>0</v>
      </c>
      <c r="T351" s="897">
        <f t="shared" si="108"/>
        <v>0</v>
      </c>
      <c r="W351" s="897">
        <f t="shared" si="109"/>
        <v>0</v>
      </c>
    </row>
    <row r="352" spans="1:23" hidden="1">
      <c r="A352" s="890"/>
      <c r="B352" s="870" t="str">
        <f>IF(OR((B349="~"),(C352="~")),"~","")</f>
        <v>~</v>
      </c>
      <c r="C352" s="870" t="s">
        <v>1096</v>
      </c>
      <c r="E352" s="897">
        <f t="shared" si="106"/>
        <v>0</v>
      </c>
      <c r="F352" s="897"/>
      <c r="G352" s="897">
        <f t="shared" si="107"/>
        <v>0</v>
      </c>
      <c r="H352" s="897">
        <f t="shared" si="107"/>
        <v>0</v>
      </c>
      <c r="I352" s="897">
        <f t="shared" si="107"/>
        <v>0</v>
      </c>
      <c r="J352" s="897">
        <f t="shared" si="107"/>
        <v>0</v>
      </c>
      <c r="K352" s="897">
        <f t="shared" si="107"/>
        <v>0</v>
      </c>
      <c r="L352" s="897">
        <f t="shared" si="107"/>
        <v>0</v>
      </c>
      <c r="M352" s="897">
        <f t="shared" si="107"/>
        <v>0</v>
      </c>
      <c r="N352" s="897">
        <f t="shared" si="107"/>
        <v>0</v>
      </c>
      <c r="O352" s="897">
        <f t="shared" si="107"/>
        <v>0</v>
      </c>
      <c r="P352" s="897">
        <f t="shared" si="107"/>
        <v>0</v>
      </c>
      <c r="R352" s="897">
        <f t="shared" si="108"/>
        <v>0</v>
      </c>
      <c r="S352" s="897">
        <f t="shared" si="108"/>
        <v>0</v>
      </c>
      <c r="T352" s="897">
        <f t="shared" si="108"/>
        <v>0</v>
      </c>
      <c r="W352" s="897">
        <f t="shared" si="109"/>
        <v>0</v>
      </c>
    </row>
    <row r="353" spans="1:23" hidden="1">
      <c r="A353" s="890"/>
      <c r="B353" s="870" t="str">
        <f>IF(OR((B349="~"),(C353="~")),"~","")</f>
        <v>~</v>
      </c>
      <c r="C353" s="870" t="s">
        <v>1096</v>
      </c>
      <c r="E353" s="897">
        <f t="shared" si="106"/>
        <v>0</v>
      </c>
      <c r="F353" s="897"/>
      <c r="G353" s="897">
        <f t="shared" si="107"/>
        <v>0</v>
      </c>
      <c r="H353" s="897">
        <f t="shared" si="107"/>
        <v>0</v>
      </c>
      <c r="I353" s="897">
        <f t="shared" si="107"/>
        <v>0</v>
      </c>
      <c r="J353" s="897">
        <f t="shared" si="107"/>
        <v>0</v>
      </c>
      <c r="K353" s="897">
        <f t="shared" si="107"/>
        <v>0</v>
      </c>
      <c r="L353" s="897">
        <f t="shared" si="107"/>
        <v>0</v>
      </c>
      <c r="M353" s="897">
        <f t="shared" si="107"/>
        <v>0</v>
      </c>
      <c r="N353" s="897">
        <f t="shared" si="107"/>
        <v>0</v>
      </c>
      <c r="O353" s="897">
        <f t="shared" si="107"/>
        <v>0</v>
      </c>
      <c r="P353" s="897">
        <f t="shared" si="107"/>
        <v>0</v>
      </c>
      <c r="R353" s="897">
        <f t="shared" si="108"/>
        <v>0</v>
      </c>
      <c r="S353" s="897">
        <f t="shared" si="108"/>
        <v>0</v>
      </c>
      <c r="T353" s="897">
        <f t="shared" si="108"/>
        <v>0</v>
      </c>
      <c r="W353" s="897">
        <f t="shared" si="109"/>
        <v>0</v>
      </c>
    </row>
    <row r="354" spans="1:23" hidden="1">
      <c r="A354" s="890"/>
      <c r="B354" s="870" t="str">
        <f>IF(OR((B349="~"),(C354="~")),"~","")</f>
        <v>~</v>
      </c>
      <c r="C354" s="870" t="s">
        <v>1096</v>
      </c>
      <c r="E354" s="897">
        <f t="shared" si="106"/>
        <v>0</v>
      </c>
      <c r="F354" s="897"/>
      <c r="G354" s="897">
        <f t="shared" si="107"/>
        <v>0</v>
      </c>
      <c r="H354" s="897">
        <f t="shared" si="107"/>
        <v>0</v>
      </c>
      <c r="I354" s="897">
        <f t="shared" si="107"/>
        <v>0</v>
      </c>
      <c r="J354" s="897">
        <f t="shared" si="107"/>
        <v>0</v>
      </c>
      <c r="K354" s="897">
        <f t="shared" si="107"/>
        <v>0</v>
      </c>
      <c r="L354" s="897">
        <f t="shared" si="107"/>
        <v>0</v>
      </c>
      <c r="M354" s="897">
        <f t="shared" si="107"/>
        <v>0</v>
      </c>
      <c r="N354" s="897">
        <f t="shared" si="107"/>
        <v>0</v>
      </c>
      <c r="O354" s="897">
        <f t="shared" si="107"/>
        <v>0</v>
      </c>
      <c r="P354" s="897">
        <f t="shared" si="107"/>
        <v>0</v>
      </c>
      <c r="R354" s="897">
        <f t="shared" si="108"/>
        <v>0</v>
      </c>
      <c r="S354" s="897">
        <f t="shared" si="108"/>
        <v>0</v>
      </c>
      <c r="T354" s="897">
        <f t="shared" si="108"/>
        <v>0</v>
      </c>
      <c r="W354" s="897">
        <f t="shared" si="109"/>
        <v>0</v>
      </c>
    </row>
    <row r="355" spans="1:23" hidden="1">
      <c r="A355" s="891"/>
      <c r="B355" s="881" t="str">
        <f>IF(OR((B349="~"),(C355="~")),"~","")</f>
        <v>~</v>
      </c>
      <c r="C355" s="881" t="s">
        <v>1096</v>
      </c>
      <c r="D355" s="881"/>
      <c r="E355" s="898">
        <f t="shared" si="106"/>
        <v>0</v>
      </c>
      <c r="F355" s="898"/>
      <c r="G355" s="898">
        <f t="shared" si="107"/>
        <v>0</v>
      </c>
      <c r="H355" s="898">
        <f t="shared" si="107"/>
        <v>0</v>
      </c>
      <c r="I355" s="898">
        <f t="shared" si="107"/>
        <v>0</v>
      </c>
      <c r="J355" s="898">
        <f t="shared" si="107"/>
        <v>0</v>
      </c>
      <c r="K355" s="898">
        <f t="shared" si="107"/>
        <v>0</v>
      </c>
      <c r="L355" s="898">
        <f t="shared" si="107"/>
        <v>0</v>
      </c>
      <c r="M355" s="898">
        <f t="shared" si="107"/>
        <v>0</v>
      </c>
      <c r="N355" s="898">
        <f t="shared" si="107"/>
        <v>0</v>
      </c>
      <c r="O355" s="898">
        <f t="shared" si="107"/>
        <v>0</v>
      </c>
      <c r="P355" s="898">
        <f t="shared" si="107"/>
        <v>0</v>
      </c>
      <c r="R355" s="898">
        <f t="shared" si="108"/>
        <v>0</v>
      </c>
      <c r="S355" s="898">
        <f t="shared" si="108"/>
        <v>0</v>
      </c>
      <c r="T355" s="898">
        <f t="shared" si="108"/>
        <v>0</v>
      </c>
      <c r="W355" s="898">
        <f t="shared" si="109"/>
        <v>0</v>
      </c>
    </row>
    <row r="356" spans="1:23" hidden="1">
      <c r="A356" s="890"/>
      <c r="B356" s="870" t="str">
        <f>IF(OR((B349="~"),(C356="~")),"~","")</f>
        <v>~</v>
      </c>
      <c r="C356" s="870" t="str">
        <f>IF(B349="~","~","Sub-total")</f>
        <v>~</v>
      </c>
    </row>
    <row r="357" spans="1:23" hidden="1">
      <c r="A357" s="890"/>
      <c r="B357" s="870" t="str">
        <f>IF(OR((B349="~"),(C357="~")),"~","")</f>
        <v>~</v>
      </c>
      <c r="C357" s="865"/>
    </row>
    <row r="358" spans="1:23" hidden="1">
      <c r="A358" s="890"/>
      <c r="B358" s="870" t="s">
        <v>1096</v>
      </c>
      <c r="E358" s="897"/>
      <c r="F358" s="897"/>
      <c r="G358" s="897"/>
      <c r="H358" s="897"/>
      <c r="I358" s="897"/>
      <c r="J358" s="897"/>
      <c r="K358" s="897"/>
      <c r="L358" s="897"/>
      <c r="M358" s="897"/>
      <c r="N358" s="897"/>
      <c r="O358" s="897"/>
      <c r="P358" s="897"/>
      <c r="R358" s="897"/>
      <c r="S358" s="897"/>
      <c r="T358" s="897"/>
      <c r="W358" s="897"/>
    </row>
    <row r="359" spans="1:23" hidden="1">
      <c r="A359" s="890"/>
      <c r="B359" s="870" t="str">
        <f>IF(OR((B358="~"),(C359="~")),"~","")</f>
        <v>~</v>
      </c>
      <c r="C359" s="870" t="s">
        <v>1096</v>
      </c>
      <c r="E359" s="897">
        <f t="shared" ref="E359:E364" si="110">ROUND(IF($C359=0,0,E251/E$386),6)</f>
        <v>0</v>
      </c>
      <c r="F359" s="897"/>
      <c r="G359" s="897">
        <f t="shared" ref="G359:P364" si="111">ROUND(IF($C359=0,0,G251/G$386),6)</f>
        <v>0</v>
      </c>
      <c r="H359" s="897">
        <f t="shared" si="111"/>
        <v>0</v>
      </c>
      <c r="I359" s="897">
        <f t="shared" si="111"/>
        <v>0</v>
      </c>
      <c r="J359" s="897">
        <f t="shared" si="111"/>
        <v>0</v>
      </c>
      <c r="K359" s="897">
        <f t="shared" si="111"/>
        <v>0</v>
      </c>
      <c r="L359" s="897">
        <f t="shared" si="111"/>
        <v>0</v>
      </c>
      <c r="M359" s="897">
        <f t="shared" si="111"/>
        <v>0</v>
      </c>
      <c r="N359" s="897">
        <f t="shared" si="111"/>
        <v>0</v>
      </c>
      <c r="O359" s="897">
        <f t="shared" si="111"/>
        <v>0</v>
      </c>
      <c r="P359" s="897">
        <f t="shared" si="111"/>
        <v>0</v>
      </c>
      <c r="R359" s="897">
        <f t="shared" ref="R359:T364" si="112">ROUND(IF($C359=0,0,R251/R$386),6)</f>
        <v>0</v>
      </c>
      <c r="S359" s="897">
        <f t="shared" si="112"/>
        <v>0</v>
      </c>
      <c r="T359" s="897">
        <f t="shared" si="112"/>
        <v>0</v>
      </c>
      <c r="W359" s="897">
        <f t="shared" ref="W359:W364" si="113">ROUND(IF($C359=0,0,W251/W$386),6)</f>
        <v>0</v>
      </c>
    </row>
    <row r="360" spans="1:23" hidden="1">
      <c r="A360" s="890"/>
      <c r="B360" s="870" t="str">
        <f>IF(OR((B358="~"),(C360="~")),"~","")</f>
        <v>~</v>
      </c>
      <c r="C360" s="870" t="s">
        <v>1096</v>
      </c>
      <c r="E360" s="897">
        <f t="shared" si="110"/>
        <v>0</v>
      </c>
      <c r="F360" s="897"/>
      <c r="G360" s="897">
        <f t="shared" si="111"/>
        <v>0</v>
      </c>
      <c r="H360" s="897">
        <f t="shared" si="111"/>
        <v>0</v>
      </c>
      <c r="I360" s="897">
        <f t="shared" si="111"/>
        <v>0</v>
      </c>
      <c r="J360" s="897">
        <f t="shared" si="111"/>
        <v>0</v>
      </c>
      <c r="K360" s="897">
        <f t="shared" si="111"/>
        <v>0</v>
      </c>
      <c r="L360" s="897">
        <f t="shared" si="111"/>
        <v>0</v>
      </c>
      <c r="M360" s="897">
        <f t="shared" si="111"/>
        <v>0</v>
      </c>
      <c r="N360" s="897">
        <f t="shared" si="111"/>
        <v>0</v>
      </c>
      <c r="O360" s="897">
        <f t="shared" si="111"/>
        <v>0</v>
      </c>
      <c r="P360" s="897">
        <f t="shared" si="111"/>
        <v>0</v>
      </c>
      <c r="R360" s="897">
        <f t="shared" si="112"/>
        <v>0</v>
      </c>
      <c r="S360" s="897">
        <f t="shared" si="112"/>
        <v>0</v>
      </c>
      <c r="T360" s="897">
        <f t="shared" si="112"/>
        <v>0</v>
      </c>
      <c r="W360" s="897">
        <f t="shared" si="113"/>
        <v>0</v>
      </c>
    </row>
    <row r="361" spans="1:23" hidden="1">
      <c r="A361" s="890"/>
      <c r="B361" s="870" t="str">
        <f>IF(OR((B358="~"),(C361="~")),"~","")</f>
        <v>~</v>
      </c>
      <c r="C361" s="870" t="s">
        <v>1096</v>
      </c>
      <c r="E361" s="897">
        <f t="shared" si="110"/>
        <v>0</v>
      </c>
      <c r="F361" s="897"/>
      <c r="G361" s="897">
        <f t="shared" si="111"/>
        <v>0</v>
      </c>
      <c r="H361" s="897">
        <f t="shared" si="111"/>
        <v>0</v>
      </c>
      <c r="I361" s="897">
        <f t="shared" si="111"/>
        <v>0</v>
      </c>
      <c r="J361" s="897">
        <f t="shared" si="111"/>
        <v>0</v>
      </c>
      <c r="K361" s="897">
        <f t="shared" si="111"/>
        <v>0</v>
      </c>
      <c r="L361" s="897">
        <f t="shared" si="111"/>
        <v>0</v>
      </c>
      <c r="M361" s="897">
        <f t="shared" si="111"/>
        <v>0</v>
      </c>
      <c r="N361" s="897">
        <f t="shared" si="111"/>
        <v>0</v>
      </c>
      <c r="O361" s="897">
        <f t="shared" si="111"/>
        <v>0</v>
      </c>
      <c r="P361" s="897">
        <f t="shared" si="111"/>
        <v>0</v>
      </c>
      <c r="R361" s="897">
        <f t="shared" si="112"/>
        <v>0</v>
      </c>
      <c r="S361" s="897">
        <f t="shared" si="112"/>
        <v>0</v>
      </c>
      <c r="T361" s="897">
        <f t="shared" si="112"/>
        <v>0</v>
      </c>
      <c r="W361" s="897">
        <f t="shared" si="113"/>
        <v>0</v>
      </c>
    </row>
    <row r="362" spans="1:23" hidden="1">
      <c r="A362" s="890"/>
      <c r="B362" s="870" t="str">
        <f>IF(OR((B358="~"),(C362="~")),"~","")</f>
        <v>~</v>
      </c>
      <c r="C362" s="870" t="s">
        <v>1096</v>
      </c>
      <c r="E362" s="897">
        <f t="shared" si="110"/>
        <v>0</v>
      </c>
      <c r="F362" s="897"/>
      <c r="G362" s="897">
        <f t="shared" si="111"/>
        <v>0</v>
      </c>
      <c r="H362" s="897">
        <f t="shared" si="111"/>
        <v>0</v>
      </c>
      <c r="I362" s="897">
        <f t="shared" si="111"/>
        <v>0</v>
      </c>
      <c r="J362" s="897">
        <f t="shared" si="111"/>
        <v>0</v>
      </c>
      <c r="K362" s="897">
        <f t="shared" si="111"/>
        <v>0</v>
      </c>
      <c r="L362" s="897">
        <f t="shared" si="111"/>
        <v>0</v>
      </c>
      <c r="M362" s="897">
        <f t="shared" si="111"/>
        <v>0</v>
      </c>
      <c r="N362" s="897">
        <f t="shared" si="111"/>
        <v>0</v>
      </c>
      <c r="O362" s="897">
        <f t="shared" si="111"/>
        <v>0</v>
      </c>
      <c r="P362" s="897">
        <f t="shared" si="111"/>
        <v>0</v>
      </c>
      <c r="R362" s="897">
        <f t="shared" si="112"/>
        <v>0</v>
      </c>
      <c r="S362" s="897">
        <f t="shared" si="112"/>
        <v>0</v>
      </c>
      <c r="T362" s="897">
        <f t="shared" si="112"/>
        <v>0</v>
      </c>
      <c r="W362" s="897">
        <f t="shared" si="113"/>
        <v>0</v>
      </c>
    </row>
    <row r="363" spans="1:23" hidden="1">
      <c r="A363" s="890"/>
      <c r="B363" s="870" t="str">
        <f>IF(OR((B358="~"),(C363="~")),"~","")</f>
        <v>~</v>
      </c>
      <c r="C363" s="870" t="s">
        <v>1096</v>
      </c>
      <c r="E363" s="897">
        <f t="shared" si="110"/>
        <v>0</v>
      </c>
      <c r="F363" s="897"/>
      <c r="G363" s="897">
        <f t="shared" si="111"/>
        <v>0</v>
      </c>
      <c r="H363" s="897">
        <f t="shared" si="111"/>
        <v>0</v>
      </c>
      <c r="I363" s="897">
        <f t="shared" si="111"/>
        <v>0</v>
      </c>
      <c r="J363" s="897">
        <f t="shared" si="111"/>
        <v>0</v>
      </c>
      <c r="K363" s="897">
        <f t="shared" si="111"/>
        <v>0</v>
      </c>
      <c r="L363" s="897">
        <f t="shared" si="111"/>
        <v>0</v>
      </c>
      <c r="M363" s="897">
        <f t="shared" si="111"/>
        <v>0</v>
      </c>
      <c r="N363" s="897">
        <f t="shared" si="111"/>
        <v>0</v>
      </c>
      <c r="O363" s="897">
        <f t="shared" si="111"/>
        <v>0</v>
      </c>
      <c r="P363" s="897">
        <f t="shared" si="111"/>
        <v>0</v>
      </c>
      <c r="R363" s="897">
        <f t="shared" si="112"/>
        <v>0</v>
      </c>
      <c r="S363" s="897">
        <f t="shared" si="112"/>
        <v>0</v>
      </c>
      <c r="T363" s="897">
        <f t="shared" si="112"/>
        <v>0</v>
      </c>
      <c r="W363" s="897">
        <f t="shared" si="113"/>
        <v>0</v>
      </c>
    </row>
    <row r="364" spans="1:23" hidden="1">
      <c r="A364" s="891"/>
      <c r="B364" s="881" t="str">
        <f>IF(OR((B358="~"),(C364="~")),"~","")</f>
        <v>~</v>
      </c>
      <c r="C364" s="881" t="s">
        <v>1096</v>
      </c>
      <c r="D364" s="881"/>
      <c r="E364" s="898">
        <f t="shared" si="110"/>
        <v>0</v>
      </c>
      <c r="F364" s="898"/>
      <c r="G364" s="898">
        <f t="shared" si="111"/>
        <v>0</v>
      </c>
      <c r="H364" s="898">
        <f t="shared" si="111"/>
        <v>0</v>
      </c>
      <c r="I364" s="898">
        <f t="shared" si="111"/>
        <v>0</v>
      </c>
      <c r="J364" s="898">
        <f t="shared" si="111"/>
        <v>0</v>
      </c>
      <c r="K364" s="898">
        <f t="shared" si="111"/>
        <v>0</v>
      </c>
      <c r="L364" s="898">
        <f t="shared" si="111"/>
        <v>0</v>
      </c>
      <c r="M364" s="898">
        <f t="shared" si="111"/>
        <v>0</v>
      </c>
      <c r="N364" s="898">
        <f t="shared" si="111"/>
        <v>0</v>
      </c>
      <c r="O364" s="898">
        <f t="shared" si="111"/>
        <v>0</v>
      </c>
      <c r="P364" s="898">
        <f t="shared" si="111"/>
        <v>0</v>
      </c>
      <c r="R364" s="898">
        <f t="shared" si="112"/>
        <v>0</v>
      </c>
      <c r="S364" s="898">
        <f t="shared" si="112"/>
        <v>0</v>
      </c>
      <c r="T364" s="898">
        <f t="shared" si="112"/>
        <v>0</v>
      </c>
      <c r="W364" s="898">
        <f t="shared" si="113"/>
        <v>0</v>
      </c>
    </row>
    <row r="365" spans="1:23" hidden="1">
      <c r="A365" s="890"/>
      <c r="B365" s="870" t="str">
        <f>IF(OR((B358="~"),(C365="~")),"~","")</f>
        <v>~</v>
      </c>
      <c r="C365" s="870" t="str">
        <f>IF(B358="~","~","Sub-total")</f>
        <v>~</v>
      </c>
    </row>
    <row r="366" spans="1:23" hidden="1">
      <c r="A366" s="890"/>
      <c r="B366" s="870" t="str">
        <f>IF(OR((B358="~"),(C366="~")),"~","")</f>
        <v>~</v>
      </c>
      <c r="C366" s="865"/>
    </row>
    <row r="367" spans="1:23" hidden="1">
      <c r="A367" s="890"/>
      <c r="B367" s="870" t="s">
        <v>1096</v>
      </c>
      <c r="E367" s="897"/>
      <c r="F367" s="897"/>
      <c r="G367" s="897"/>
      <c r="H367" s="897"/>
      <c r="I367" s="897"/>
      <c r="J367" s="897"/>
      <c r="K367" s="897"/>
      <c r="L367" s="897"/>
      <c r="M367" s="897"/>
      <c r="N367" s="897"/>
      <c r="O367" s="897"/>
      <c r="P367" s="897"/>
      <c r="R367" s="897"/>
      <c r="S367" s="897"/>
      <c r="T367" s="897"/>
      <c r="W367" s="897"/>
    </row>
    <row r="368" spans="1:23" hidden="1">
      <c r="A368" s="890"/>
      <c r="B368" s="870" t="str">
        <f>IF(OR((B367="~"),(C368="~")),"~","")</f>
        <v>~</v>
      </c>
      <c r="C368" s="870" t="s">
        <v>1096</v>
      </c>
      <c r="E368" s="897">
        <f t="shared" ref="E368:E373" si="114">ROUND(IF($C368=0,0,E260/E$386),6)</f>
        <v>0</v>
      </c>
      <c r="F368" s="897"/>
      <c r="G368" s="897">
        <f t="shared" ref="G368:P373" si="115">ROUND(IF($C368=0,0,G260/G$386),6)</f>
        <v>0</v>
      </c>
      <c r="H368" s="897">
        <f t="shared" si="115"/>
        <v>0</v>
      </c>
      <c r="I368" s="897">
        <f t="shared" si="115"/>
        <v>0</v>
      </c>
      <c r="J368" s="897">
        <f t="shared" si="115"/>
        <v>0</v>
      </c>
      <c r="K368" s="897">
        <f t="shared" si="115"/>
        <v>0</v>
      </c>
      <c r="L368" s="897">
        <f t="shared" si="115"/>
        <v>0</v>
      </c>
      <c r="M368" s="897">
        <f t="shared" si="115"/>
        <v>0</v>
      </c>
      <c r="N368" s="897">
        <f t="shared" si="115"/>
        <v>0</v>
      </c>
      <c r="O368" s="897">
        <f t="shared" si="115"/>
        <v>0</v>
      </c>
      <c r="P368" s="897">
        <f t="shared" si="115"/>
        <v>0</v>
      </c>
      <c r="R368" s="897">
        <f t="shared" ref="R368:T373" si="116">ROUND(IF($C368=0,0,R260/R$386),6)</f>
        <v>0</v>
      </c>
      <c r="S368" s="897">
        <f t="shared" si="116"/>
        <v>0</v>
      </c>
      <c r="T368" s="897">
        <f t="shared" si="116"/>
        <v>0</v>
      </c>
      <c r="W368" s="897">
        <f t="shared" ref="W368:W373" si="117">ROUND(IF($C368=0,0,W260/W$386),6)</f>
        <v>0</v>
      </c>
    </row>
    <row r="369" spans="1:23" hidden="1">
      <c r="A369" s="890"/>
      <c r="B369" s="870" t="str">
        <f>IF(OR((B367="~"),(C369="~")),"~","")</f>
        <v>~</v>
      </c>
      <c r="C369" s="870" t="s">
        <v>1096</v>
      </c>
      <c r="E369" s="897">
        <f t="shared" si="114"/>
        <v>0</v>
      </c>
      <c r="F369" s="897"/>
      <c r="G369" s="897">
        <f t="shared" si="115"/>
        <v>0</v>
      </c>
      <c r="H369" s="897">
        <f t="shared" si="115"/>
        <v>0</v>
      </c>
      <c r="I369" s="897">
        <f t="shared" si="115"/>
        <v>0</v>
      </c>
      <c r="J369" s="897">
        <f t="shared" si="115"/>
        <v>0</v>
      </c>
      <c r="K369" s="897">
        <f t="shared" si="115"/>
        <v>0</v>
      </c>
      <c r="L369" s="897">
        <f t="shared" si="115"/>
        <v>0</v>
      </c>
      <c r="M369" s="897">
        <f t="shared" si="115"/>
        <v>0</v>
      </c>
      <c r="N369" s="897">
        <f t="shared" si="115"/>
        <v>0</v>
      </c>
      <c r="O369" s="897">
        <f t="shared" si="115"/>
        <v>0</v>
      </c>
      <c r="P369" s="897">
        <f t="shared" si="115"/>
        <v>0</v>
      </c>
      <c r="R369" s="897">
        <f t="shared" si="116"/>
        <v>0</v>
      </c>
      <c r="S369" s="897">
        <f t="shared" si="116"/>
        <v>0</v>
      </c>
      <c r="T369" s="897">
        <f t="shared" si="116"/>
        <v>0</v>
      </c>
      <c r="W369" s="897">
        <f t="shared" si="117"/>
        <v>0</v>
      </c>
    </row>
    <row r="370" spans="1:23" hidden="1">
      <c r="A370" s="890"/>
      <c r="B370" s="870" t="str">
        <f>IF(OR((B367="~"),(C370="~")),"~","")</f>
        <v>~</v>
      </c>
      <c r="C370" s="870" t="s">
        <v>1096</v>
      </c>
      <c r="E370" s="897">
        <f t="shared" si="114"/>
        <v>0</v>
      </c>
      <c r="F370" s="897"/>
      <c r="G370" s="897">
        <f t="shared" si="115"/>
        <v>0</v>
      </c>
      <c r="H370" s="897">
        <f t="shared" si="115"/>
        <v>0</v>
      </c>
      <c r="I370" s="897">
        <f t="shared" si="115"/>
        <v>0</v>
      </c>
      <c r="J370" s="897">
        <f t="shared" si="115"/>
        <v>0</v>
      </c>
      <c r="K370" s="897">
        <f t="shared" si="115"/>
        <v>0</v>
      </c>
      <c r="L370" s="897">
        <f t="shared" si="115"/>
        <v>0</v>
      </c>
      <c r="M370" s="897">
        <f t="shared" si="115"/>
        <v>0</v>
      </c>
      <c r="N370" s="897">
        <f t="shared" si="115"/>
        <v>0</v>
      </c>
      <c r="O370" s="897">
        <f t="shared" si="115"/>
        <v>0</v>
      </c>
      <c r="P370" s="897">
        <f t="shared" si="115"/>
        <v>0</v>
      </c>
      <c r="R370" s="897">
        <f t="shared" si="116"/>
        <v>0</v>
      </c>
      <c r="S370" s="897">
        <f t="shared" si="116"/>
        <v>0</v>
      </c>
      <c r="T370" s="897">
        <f t="shared" si="116"/>
        <v>0</v>
      </c>
      <c r="W370" s="897">
        <f t="shared" si="117"/>
        <v>0</v>
      </c>
    </row>
    <row r="371" spans="1:23" hidden="1">
      <c r="A371" s="890"/>
      <c r="B371" s="870" t="str">
        <f>IF(OR((B367="~"),(C371="~")),"~","")</f>
        <v>~</v>
      </c>
      <c r="C371" s="870" t="s">
        <v>1096</v>
      </c>
      <c r="E371" s="897">
        <f t="shared" si="114"/>
        <v>0</v>
      </c>
      <c r="F371" s="897"/>
      <c r="G371" s="897">
        <f t="shared" si="115"/>
        <v>0</v>
      </c>
      <c r="H371" s="897">
        <f t="shared" si="115"/>
        <v>0</v>
      </c>
      <c r="I371" s="897">
        <f t="shared" si="115"/>
        <v>0</v>
      </c>
      <c r="J371" s="897">
        <f t="shared" si="115"/>
        <v>0</v>
      </c>
      <c r="K371" s="897">
        <f t="shared" si="115"/>
        <v>0</v>
      </c>
      <c r="L371" s="897">
        <f t="shared" si="115"/>
        <v>0</v>
      </c>
      <c r="M371" s="897">
        <f t="shared" si="115"/>
        <v>0</v>
      </c>
      <c r="N371" s="897">
        <f t="shared" si="115"/>
        <v>0</v>
      </c>
      <c r="O371" s="897">
        <f t="shared" si="115"/>
        <v>0</v>
      </c>
      <c r="P371" s="897">
        <f t="shared" si="115"/>
        <v>0</v>
      </c>
      <c r="R371" s="897">
        <f t="shared" si="116"/>
        <v>0</v>
      </c>
      <c r="S371" s="897">
        <f t="shared" si="116"/>
        <v>0</v>
      </c>
      <c r="T371" s="897">
        <f t="shared" si="116"/>
        <v>0</v>
      </c>
      <c r="W371" s="897">
        <f t="shared" si="117"/>
        <v>0</v>
      </c>
    </row>
    <row r="372" spans="1:23" hidden="1">
      <c r="A372" s="890"/>
      <c r="B372" s="870" t="str">
        <f>IF(OR((B367="~"),(C372="~")),"~","")</f>
        <v>~</v>
      </c>
      <c r="C372" s="870" t="s">
        <v>1096</v>
      </c>
      <c r="E372" s="897">
        <f t="shared" si="114"/>
        <v>0</v>
      </c>
      <c r="F372" s="897"/>
      <c r="G372" s="897">
        <f t="shared" si="115"/>
        <v>0</v>
      </c>
      <c r="H372" s="897">
        <f t="shared" si="115"/>
        <v>0</v>
      </c>
      <c r="I372" s="897">
        <f t="shared" si="115"/>
        <v>0</v>
      </c>
      <c r="J372" s="897">
        <f t="shared" si="115"/>
        <v>0</v>
      </c>
      <c r="K372" s="897">
        <f t="shared" si="115"/>
        <v>0</v>
      </c>
      <c r="L372" s="897">
        <f t="shared" si="115"/>
        <v>0</v>
      </c>
      <c r="M372" s="897">
        <f t="shared" si="115"/>
        <v>0</v>
      </c>
      <c r="N372" s="897">
        <f t="shared" si="115"/>
        <v>0</v>
      </c>
      <c r="O372" s="897">
        <f t="shared" si="115"/>
        <v>0</v>
      </c>
      <c r="P372" s="897">
        <f t="shared" si="115"/>
        <v>0</v>
      </c>
      <c r="R372" s="897">
        <f t="shared" si="116"/>
        <v>0</v>
      </c>
      <c r="S372" s="897">
        <f t="shared" si="116"/>
        <v>0</v>
      </c>
      <c r="T372" s="897">
        <f t="shared" si="116"/>
        <v>0</v>
      </c>
      <c r="W372" s="897">
        <f t="shared" si="117"/>
        <v>0</v>
      </c>
    </row>
    <row r="373" spans="1:23" hidden="1">
      <c r="A373" s="891"/>
      <c r="B373" s="881" t="str">
        <f>IF(OR((B367="~"),(C373="~")),"~","")</f>
        <v>~</v>
      </c>
      <c r="C373" s="881" t="s">
        <v>1096</v>
      </c>
      <c r="D373" s="881"/>
      <c r="E373" s="898">
        <f t="shared" si="114"/>
        <v>0</v>
      </c>
      <c r="F373" s="898"/>
      <c r="G373" s="898">
        <f t="shared" si="115"/>
        <v>0</v>
      </c>
      <c r="H373" s="898">
        <f t="shared" si="115"/>
        <v>0</v>
      </c>
      <c r="I373" s="898">
        <f t="shared" si="115"/>
        <v>0</v>
      </c>
      <c r="J373" s="898">
        <f t="shared" si="115"/>
        <v>0</v>
      </c>
      <c r="K373" s="898">
        <f t="shared" si="115"/>
        <v>0</v>
      </c>
      <c r="L373" s="898">
        <f t="shared" si="115"/>
        <v>0</v>
      </c>
      <c r="M373" s="898">
        <f t="shared" si="115"/>
        <v>0</v>
      </c>
      <c r="N373" s="898">
        <f t="shared" si="115"/>
        <v>0</v>
      </c>
      <c r="O373" s="898">
        <f t="shared" si="115"/>
        <v>0</v>
      </c>
      <c r="P373" s="898">
        <f t="shared" si="115"/>
        <v>0</v>
      </c>
      <c r="R373" s="898">
        <f t="shared" si="116"/>
        <v>0</v>
      </c>
      <c r="S373" s="898">
        <f t="shared" si="116"/>
        <v>0</v>
      </c>
      <c r="T373" s="898">
        <f t="shared" si="116"/>
        <v>0</v>
      </c>
      <c r="W373" s="898">
        <f t="shared" si="117"/>
        <v>0</v>
      </c>
    </row>
    <row r="374" spans="1:23" hidden="1">
      <c r="A374" s="890"/>
      <c r="B374" s="870" t="str">
        <f>IF(OR((B367="~"),(C374="~")),"~","")</f>
        <v>~</v>
      </c>
      <c r="C374" s="870" t="str">
        <f>IF(B367="~","~","Sub-total")</f>
        <v>~</v>
      </c>
    </row>
    <row r="375" spans="1:23" hidden="1">
      <c r="A375" s="890"/>
      <c r="B375" s="870" t="str">
        <f>IF(OR((B367="~"),(C375="~")),"~","")</f>
        <v>~</v>
      </c>
    </row>
    <row r="376" spans="1:23">
      <c r="A376" s="890">
        <f>+A311+1</f>
        <v>27</v>
      </c>
    </row>
    <row r="377" spans="1:23">
      <c r="A377" s="890">
        <f>+A376+1</f>
        <v>28</v>
      </c>
      <c r="C377" s="865" t="s">
        <v>94</v>
      </c>
    </row>
    <row r="378" spans="1:23">
      <c r="A378" s="890">
        <f t="shared" ref="A378:A386" si="118">+A377+1</f>
        <v>29</v>
      </c>
      <c r="B378" s="870" t="str">
        <f>IF(OR((C377="~"),(C378="~")),"~","")</f>
        <v/>
      </c>
      <c r="C378" s="870" t="s">
        <v>1093</v>
      </c>
      <c r="E378" s="897">
        <f t="shared" ref="E378:E384" si="119">ROUND(IF($C378=0,0,E270/E$386),6)</f>
        <v>3.0615E-2</v>
      </c>
      <c r="F378" s="897"/>
      <c r="G378" s="897">
        <f t="shared" ref="G378:P384" si="120">ROUND(IF($C378=0,0,G270/G$386),6)</f>
        <v>4.095E-2</v>
      </c>
      <c r="H378" s="897">
        <f t="shared" si="120"/>
        <v>3.1133999999999998E-2</v>
      </c>
      <c r="I378" s="897">
        <f t="shared" si="120"/>
        <v>2.7699999999999999E-2</v>
      </c>
      <c r="J378" s="897">
        <f t="shared" si="120"/>
        <v>2.1506999999999998E-2</v>
      </c>
      <c r="K378" s="897">
        <f t="shared" si="120"/>
        <v>2.3761000000000001E-2</v>
      </c>
      <c r="L378" s="897">
        <f t="shared" si="120"/>
        <v>2.4301E-2</v>
      </c>
      <c r="M378" s="897">
        <f t="shared" si="120"/>
        <v>1.0309E-2</v>
      </c>
      <c r="N378" s="897">
        <f t="shared" si="120"/>
        <v>9.3700000000000001E-4</v>
      </c>
      <c r="O378" s="897">
        <f t="shared" si="120"/>
        <v>1.8994E-2</v>
      </c>
      <c r="P378" s="897">
        <f t="shared" si="120"/>
        <v>4.0735E-2</v>
      </c>
      <c r="R378" s="897">
        <f t="shared" ref="R378:T384" si="121">ROUND(IF($C378=0,0,R270/R$386),6)</f>
        <v>2.3129E-2</v>
      </c>
      <c r="S378" s="897">
        <f t="shared" si="121"/>
        <v>3.8952000000000001E-2</v>
      </c>
      <c r="T378" s="897">
        <f t="shared" si="121"/>
        <v>2.9895999999999999E-2</v>
      </c>
      <c r="W378" s="897">
        <f t="shared" ref="W378:W384" si="122">ROUND(IF($C378=0,0,W270/W$386),6)</f>
        <v>2.3182999999999999E-2</v>
      </c>
    </row>
    <row r="379" spans="1:23">
      <c r="A379" s="890">
        <f t="shared" si="118"/>
        <v>30</v>
      </c>
      <c r="B379" s="870" t="str">
        <f>IF(OR((C377="~"),(C379="~")),"~","")</f>
        <v/>
      </c>
      <c r="C379" s="870" t="s">
        <v>1094</v>
      </c>
      <c r="E379" s="897">
        <f t="shared" si="119"/>
        <v>4.6917E-2</v>
      </c>
      <c r="F379" s="897"/>
      <c r="G379" s="897">
        <f t="shared" si="120"/>
        <v>5.0994999999999999E-2</v>
      </c>
      <c r="H379" s="897">
        <f t="shared" si="120"/>
        <v>5.0994999999999999E-2</v>
      </c>
      <c r="I379" s="897">
        <f t="shared" si="120"/>
        <v>5.0994999999999999E-2</v>
      </c>
      <c r="J379" s="897">
        <f t="shared" si="120"/>
        <v>5.0994999999999999E-2</v>
      </c>
      <c r="K379" s="897">
        <f t="shared" si="120"/>
        <v>5.0994999999999999E-2</v>
      </c>
      <c r="L379" s="897">
        <f t="shared" si="120"/>
        <v>5.0994999999999999E-2</v>
      </c>
      <c r="M379" s="897">
        <f t="shared" si="120"/>
        <v>5.0994999999999999E-2</v>
      </c>
      <c r="N379" s="897">
        <f t="shared" si="120"/>
        <v>4.4029999999999998E-3</v>
      </c>
      <c r="O379" s="897">
        <f t="shared" si="120"/>
        <v>5.0994999999999999E-2</v>
      </c>
      <c r="P379" s="897">
        <f t="shared" si="120"/>
        <v>5.0994999999999999E-2</v>
      </c>
      <c r="R379" s="897">
        <f t="shared" si="121"/>
        <v>5.0994999999999999E-2</v>
      </c>
      <c r="S379" s="897">
        <f t="shared" si="121"/>
        <v>5.0994999999999999E-2</v>
      </c>
      <c r="T379" s="897">
        <f t="shared" si="121"/>
        <v>5.0994999999999999E-2</v>
      </c>
      <c r="W379" s="897">
        <f t="shared" si="122"/>
        <v>5.0994999999999999E-2</v>
      </c>
    </row>
    <row r="380" spans="1:23">
      <c r="A380" s="890">
        <f t="shared" si="118"/>
        <v>31</v>
      </c>
      <c r="B380" s="870" t="str">
        <f>IF(OR((C377="~"),(C380="~")),"~","")</f>
        <v/>
      </c>
      <c r="C380" s="870" t="s">
        <v>1095</v>
      </c>
      <c r="E380" s="897">
        <f t="shared" si="119"/>
        <v>6.5420000000000001E-3</v>
      </c>
      <c r="F380" s="897"/>
      <c r="G380" s="897">
        <f t="shared" si="120"/>
        <v>1.1077999999999999E-2</v>
      </c>
      <c r="H380" s="897">
        <f t="shared" si="120"/>
        <v>4.1250000000000002E-3</v>
      </c>
      <c r="I380" s="897">
        <f t="shared" si="120"/>
        <v>1.3929999999999999E-3</v>
      </c>
      <c r="J380" s="897">
        <f t="shared" si="120"/>
        <v>5.6499999999999996E-4</v>
      </c>
      <c r="K380" s="897">
        <f t="shared" si="120"/>
        <v>1.6969999999999999E-3</v>
      </c>
      <c r="L380" s="897">
        <f t="shared" si="120"/>
        <v>6.6699999999999995E-4</v>
      </c>
      <c r="M380" s="897">
        <f t="shared" si="120"/>
        <v>1.93E-4</v>
      </c>
      <c r="N380" s="897">
        <f t="shared" si="120"/>
        <v>2.0900000000000001E-4</v>
      </c>
      <c r="O380" s="897">
        <f t="shared" si="120"/>
        <v>0.15726100000000001</v>
      </c>
      <c r="P380" s="897">
        <f t="shared" si="120"/>
        <v>5.5500000000000002E-3</v>
      </c>
      <c r="R380" s="897">
        <f t="shared" si="121"/>
        <v>1.3929999999999999E-3</v>
      </c>
      <c r="S380" s="897">
        <f t="shared" si="121"/>
        <v>9.0200000000000002E-4</v>
      </c>
      <c r="T380" s="897">
        <f t="shared" si="121"/>
        <v>4.947E-3</v>
      </c>
      <c r="W380" s="897">
        <f t="shared" si="122"/>
        <v>1.392E-3</v>
      </c>
    </row>
    <row r="381" spans="1:23">
      <c r="A381" s="890">
        <f t="shared" si="118"/>
        <v>32</v>
      </c>
      <c r="B381" s="870" t="str">
        <f>IF(OR((C377="~"),(C381="~")),"~","")</f>
        <v>~</v>
      </c>
      <c r="C381" s="870" t="s">
        <v>1096</v>
      </c>
      <c r="E381" s="897">
        <f t="shared" si="119"/>
        <v>0</v>
      </c>
      <c r="F381" s="897"/>
      <c r="G381" s="897">
        <f t="shared" si="120"/>
        <v>0</v>
      </c>
      <c r="H381" s="897">
        <f t="shared" si="120"/>
        <v>0</v>
      </c>
      <c r="I381" s="897">
        <f t="shared" si="120"/>
        <v>0</v>
      </c>
      <c r="J381" s="897">
        <f t="shared" si="120"/>
        <v>0</v>
      </c>
      <c r="K381" s="897">
        <f t="shared" si="120"/>
        <v>0</v>
      </c>
      <c r="L381" s="897">
        <f t="shared" si="120"/>
        <v>0</v>
      </c>
      <c r="M381" s="897">
        <f t="shared" si="120"/>
        <v>0</v>
      </c>
      <c r="N381" s="897">
        <f t="shared" si="120"/>
        <v>0</v>
      </c>
      <c r="O381" s="897">
        <f t="shared" si="120"/>
        <v>0</v>
      </c>
      <c r="P381" s="897">
        <f t="shared" si="120"/>
        <v>0</v>
      </c>
      <c r="R381" s="897">
        <f t="shared" si="121"/>
        <v>0</v>
      </c>
      <c r="S381" s="897">
        <f t="shared" si="121"/>
        <v>0</v>
      </c>
      <c r="T381" s="897">
        <f t="shared" si="121"/>
        <v>0</v>
      </c>
      <c r="W381" s="897">
        <f t="shared" si="122"/>
        <v>0</v>
      </c>
    </row>
    <row r="382" spans="1:23">
      <c r="A382" s="890">
        <f t="shared" si="118"/>
        <v>33</v>
      </c>
      <c r="B382" s="870" t="str">
        <f>IF(OR((C377="~"),(C382="~")),"~","")</f>
        <v>~</v>
      </c>
      <c r="C382" s="870" t="s">
        <v>1096</v>
      </c>
      <c r="E382" s="897">
        <f t="shared" si="119"/>
        <v>0</v>
      </c>
      <c r="F382" s="897"/>
      <c r="G382" s="897">
        <f t="shared" si="120"/>
        <v>0</v>
      </c>
      <c r="H382" s="897">
        <f t="shared" si="120"/>
        <v>0</v>
      </c>
      <c r="I382" s="897">
        <f t="shared" si="120"/>
        <v>0</v>
      </c>
      <c r="J382" s="897">
        <f t="shared" si="120"/>
        <v>0</v>
      </c>
      <c r="K382" s="897">
        <f t="shared" si="120"/>
        <v>0</v>
      </c>
      <c r="L382" s="897">
        <f t="shared" si="120"/>
        <v>0</v>
      </c>
      <c r="M382" s="897">
        <f t="shared" si="120"/>
        <v>0</v>
      </c>
      <c r="N382" s="897">
        <f t="shared" si="120"/>
        <v>0</v>
      </c>
      <c r="O382" s="897">
        <f t="shared" si="120"/>
        <v>0</v>
      </c>
      <c r="P382" s="897">
        <f t="shared" si="120"/>
        <v>0</v>
      </c>
      <c r="R382" s="897">
        <f t="shared" si="121"/>
        <v>0</v>
      </c>
      <c r="S382" s="897">
        <f t="shared" si="121"/>
        <v>0</v>
      </c>
      <c r="T382" s="897">
        <f t="shared" si="121"/>
        <v>0</v>
      </c>
      <c r="W382" s="897">
        <f t="shared" si="122"/>
        <v>0</v>
      </c>
    </row>
    <row r="383" spans="1:23">
      <c r="A383" s="890">
        <f t="shared" si="118"/>
        <v>34</v>
      </c>
      <c r="B383" s="870" t="str">
        <f>IF(OR((C377="~"),(C383="~")),"~","")</f>
        <v>~</v>
      </c>
      <c r="C383" s="870" t="s">
        <v>1096</v>
      </c>
      <c r="E383" s="897">
        <f t="shared" si="119"/>
        <v>0</v>
      </c>
      <c r="F383" s="897"/>
      <c r="G383" s="897">
        <f t="shared" si="120"/>
        <v>0</v>
      </c>
      <c r="H383" s="897">
        <f t="shared" si="120"/>
        <v>0</v>
      </c>
      <c r="I383" s="897">
        <f t="shared" si="120"/>
        <v>0</v>
      </c>
      <c r="J383" s="897">
        <f t="shared" si="120"/>
        <v>0</v>
      </c>
      <c r="K383" s="897">
        <f t="shared" si="120"/>
        <v>0</v>
      </c>
      <c r="L383" s="897">
        <f t="shared" si="120"/>
        <v>0</v>
      </c>
      <c r="M383" s="897">
        <f t="shared" si="120"/>
        <v>0</v>
      </c>
      <c r="N383" s="897">
        <f t="shared" si="120"/>
        <v>0</v>
      </c>
      <c r="O383" s="897">
        <f t="shared" si="120"/>
        <v>0</v>
      </c>
      <c r="P383" s="897">
        <f t="shared" si="120"/>
        <v>0</v>
      </c>
      <c r="R383" s="897">
        <f t="shared" si="121"/>
        <v>0</v>
      </c>
      <c r="S383" s="897">
        <f t="shared" si="121"/>
        <v>0</v>
      </c>
      <c r="T383" s="897">
        <f t="shared" si="121"/>
        <v>0</v>
      </c>
      <c r="W383" s="897">
        <f t="shared" si="122"/>
        <v>0</v>
      </c>
    </row>
    <row r="384" spans="1:23">
      <c r="A384" s="891">
        <f t="shared" si="118"/>
        <v>35</v>
      </c>
      <c r="B384" s="881"/>
      <c r="C384" s="881" t="s">
        <v>178</v>
      </c>
      <c r="D384" s="881"/>
      <c r="E384" s="898">
        <f t="shared" si="119"/>
        <v>8.4072999999999995E-2</v>
      </c>
      <c r="F384" s="898"/>
      <c r="G384" s="898">
        <f t="shared" si="120"/>
        <v>0.103023</v>
      </c>
      <c r="H384" s="898">
        <f t="shared" si="120"/>
        <v>8.6253999999999997E-2</v>
      </c>
      <c r="I384" s="898">
        <f t="shared" si="120"/>
        <v>8.0088999999999994E-2</v>
      </c>
      <c r="J384" s="898">
        <f t="shared" si="120"/>
        <v>7.3066999999999993E-2</v>
      </c>
      <c r="K384" s="898">
        <f t="shared" si="120"/>
        <v>7.6452999999999993E-2</v>
      </c>
      <c r="L384" s="898">
        <f t="shared" si="120"/>
        <v>7.5962000000000002E-2</v>
      </c>
      <c r="M384" s="898">
        <f t="shared" si="120"/>
        <v>6.1497000000000003E-2</v>
      </c>
      <c r="N384" s="898">
        <f t="shared" si="120"/>
        <v>5.5500000000000002E-3</v>
      </c>
      <c r="O384" s="898">
        <f t="shared" si="120"/>
        <v>0.22724900000000001</v>
      </c>
      <c r="P384" s="898">
        <f t="shared" si="120"/>
        <v>9.7280000000000005E-2</v>
      </c>
      <c r="R384" s="898">
        <f t="shared" si="121"/>
        <v>7.5517000000000001E-2</v>
      </c>
      <c r="S384" s="898">
        <f t="shared" si="121"/>
        <v>9.0848999999999999E-2</v>
      </c>
      <c r="T384" s="898">
        <f t="shared" si="121"/>
        <v>8.5837999999999998E-2</v>
      </c>
      <c r="W384" s="898">
        <f t="shared" si="122"/>
        <v>7.5569999999999998E-2</v>
      </c>
    </row>
    <row r="385" spans="1:23">
      <c r="A385" s="890">
        <f t="shared" si="118"/>
        <v>36</v>
      </c>
      <c r="B385" s="870" t="str">
        <f>IF(OR((C377="~"),(C385="~")),"~","")</f>
        <v/>
      </c>
    </row>
    <row r="386" spans="1:23">
      <c r="A386" s="891">
        <f t="shared" si="118"/>
        <v>37</v>
      </c>
      <c r="B386" s="881"/>
      <c r="C386" s="881" t="s">
        <v>1100</v>
      </c>
      <c r="D386" s="881"/>
      <c r="E386" s="899">
        <f>SUM(G386:P386)</f>
        <v>24452276608.805584</v>
      </c>
      <c r="F386" s="899"/>
      <c r="G386" s="899">
        <v>11362694034.5944</v>
      </c>
      <c r="H386" s="899">
        <v>2983708616.2943888</v>
      </c>
      <c r="I386" s="899">
        <v>3072024705.4856691</v>
      </c>
      <c r="J386" s="899">
        <v>2026649549.543107</v>
      </c>
      <c r="K386" s="899">
        <v>1452577471.3449566</v>
      </c>
      <c r="L386" s="899">
        <v>692524766.1750226</v>
      </c>
      <c r="M386" s="899">
        <v>632887813.72208166</v>
      </c>
      <c r="N386" s="899">
        <v>2140447568.8055859</v>
      </c>
      <c r="O386" s="899">
        <v>81534389.017231286</v>
      </c>
      <c r="P386" s="899">
        <v>7227693.8231415441</v>
      </c>
      <c r="R386" s="899">
        <v>1323003367.1184549</v>
      </c>
      <c r="S386" s="899">
        <v>4594563.3633324662</v>
      </c>
      <c r="T386" s="899">
        <v>124979540.86316925</v>
      </c>
      <c r="W386" s="899">
        <f>SUM(R386:S386)</f>
        <v>1327597930.4817874</v>
      </c>
    </row>
    <row r="391" spans="1:23">
      <c r="C391" s="865" t="s">
        <v>1101</v>
      </c>
    </row>
    <row r="392" spans="1:23">
      <c r="C392" s="870" t="s">
        <v>1102</v>
      </c>
      <c r="E392" s="871">
        <v>1066837</v>
      </c>
    </row>
    <row r="393" spans="1:23">
      <c r="C393" s="870" t="s">
        <v>1103</v>
      </c>
      <c r="E393" s="871">
        <v>298124</v>
      </c>
    </row>
    <row r="394" spans="1:23">
      <c r="C394" s="870" t="s">
        <v>1104</v>
      </c>
      <c r="E394" s="871">
        <v>5732477</v>
      </c>
    </row>
    <row r="395" spans="1:23">
      <c r="C395" s="870" t="s">
        <v>151</v>
      </c>
      <c r="E395" s="871">
        <v>49687577</v>
      </c>
    </row>
    <row r="396" spans="1:23" ht="13.5" thickBot="1">
      <c r="C396" s="873" t="s">
        <v>1105</v>
      </c>
      <c r="D396" s="873"/>
      <c r="E396" s="874">
        <f>SUM(E392:E395)</f>
        <v>56785015</v>
      </c>
    </row>
    <row r="397" spans="1:23" ht="13.5" thickTop="1"/>
    <row r="398" spans="1:23">
      <c r="C398" s="870" t="s">
        <v>1106</v>
      </c>
    </row>
    <row r="399" spans="1:23">
      <c r="C399" s="870" t="s">
        <v>1107</v>
      </c>
      <c r="E399" s="871">
        <f>SUM(G399:P399)</f>
        <v>3156.2620830000001</v>
      </c>
      <c r="F399" s="871"/>
      <c r="G399" s="871">
        <v>2806.3921923543894</v>
      </c>
      <c r="H399" s="871">
        <v>223.31648439552188</v>
      </c>
      <c r="I399" s="871">
        <v>69.386885977642848</v>
      </c>
      <c r="J399" s="871">
        <v>49.170149628014293</v>
      </c>
      <c r="K399" s="871">
        <v>0.324787728001528</v>
      </c>
      <c r="L399" s="871">
        <v>0</v>
      </c>
      <c r="M399" s="871">
        <v>0</v>
      </c>
      <c r="N399" s="871">
        <v>0</v>
      </c>
      <c r="O399" s="871">
        <v>7.6715829164301059</v>
      </c>
      <c r="P399" s="871">
        <v>0</v>
      </c>
    </row>
    <row r="400" spans="1:23">
      <c r="C400" s="870" t="s">
        <v>1108</v>
      </c>
      <c r="E400" s="871">
        <f>SUM(G400:P400)</f>
        <v>8322384.0846997639</v>
      </c>
      <c r="F400" s="871"/>
      <c r="G400" s="871">
        <v>4505830.5175522659</v>
      </c>
      <c r="H400" s="871">
        <v>1085372.4193105921</v>
      </c>
      <c r="I400" s="871">
        <v>1071097.8083712796</v>
      </c>
      <c r="J400" s="871">
        <v>670507.62986630504</v>
      </c>
      <c r="K400" s="871">
        <v>490784.65890570771</v>
      </c>
      <c r="L400" s="871">
        <v>228875.32233668369</v>
      </c>
      <c r="M400" s="871">
        <v>196728.1055040505</v>
      </c>
      <c r="N400" s="871">
        <v>12701.967376421959</v>
      </c>
      <c r="O400" s="871">
        <v>57476.800913484738</v>
      </c>
      <c r="P400" s="871">
        <v>3008.8545629724204</v>
      </c>
    </row>
    <row r="401" spans="3:16">
      <c r="C401" s="870" t="s">
        <v>1109</v>
      </c>
      <c r="E401" s="871">
        <f>SUM(G401:P401)</f>
        <v>76958872.988314256</v>
      </c>
      <c r="F401" s="871"/>
      <c r="G401" s="871">
        <v>43724369.615239263</v>
      </c>
      <c r="H401" s="871">
        <v>9755593.545740949</v>
      </c>
      <c r="I401" s="871">
        <v>9160747.5527026989</v>
      </c>
      <c r="J401" s="871">
        <v>5520961.091313798</v>
      </c>
      <c r="K401" s="871">
        <v>4158310.0798694501</v>
      </c>
      <c r="L401" s="871">
        <v>1953217.7313460791</v>
      </c>
      <c r="M401" s="871">
        <v>1558623.7570331665</v>
      </c>
      <c r="N401" s="871">
        <v>432721.20013552817</v>
      </c>
      <c r="O401" s="871">
        <v>667978.78579966538</v>
      </c>
      <c r="P401" s="871">
        <v>26349.629133651706</v>
      </c>
    </row>
    <row r="402" spans="3:16">
      <c r="C402" s="870" t="s">
        <v>1110</v>
      </c>
      <c r="E402" s="871">
        <f>SUM(G402:P402)</f>
        <v>46784333.661285006</v>
      </c>
      <c r="F402" s="871"/>
      <c r="G402" s="871">
        <v>26735773.185477238</v>
      </c>
      <c r="H402" s="871">
        <v>5699793.7699698629</v>
      </c>
      <c r="I402" s="871">
        <v>5533751.5709256381</v>
      </c>
      <c r="J402" s="871">
        <v>3190824.7595601641</v>
      </c>
      <c r="K402" s="871">
        <v>2496128.1693306263</v>
      </c>
      <c r="L402" s="871">
        <v>1167710.5015878908</v>
      </c>
      <c r="M402" s="871">
        <v>864609.68780021847</v>
      </c>
      <c r="N402" s="871">
        <v>579103.23880219087</v>
      </c>
      <c r="O402" s="871">
        <v>500354.36568125116</v>
      </c>
      <c r="P402" s="871">
        <v>16284.412149918395</v>
      </c>
    </row>
    <row r="403" spans="3:16">
      <c r="E403" s="871"/>
      <c r="F403" s="871"/>
      <c r="G403" s="871"/>
      <c r="H403" s="871"/>
      <c r="I403" s="871"/>
      <c r="J403" s="871"/>
      <c r="K403" s="871"/>
      <c r="L403" s="871"/>
      <c r="M403" s="871"/>
      <c r="N403" s="871"/>
      <c r="O403" s="871"/>
      <c r="P403" s="871"/>
    </row>
    <row r="404" spans="3:16">
      <c r="C404" s="870" t="str">
        <f>+C399</f>
        <v xml:space="preserve">CAE - Uncollect Accts </v>
      </c>
      <c r="E404" s="871">
        <f>SUM(G404:P404)</f>
        <v>1066837</v>
      </c>
      <c r="F404" s="871"/>
      <c r="G404" s="871">
        <f>+G399/$E399*$E392</f>
        <v>948578.71386556199</v>
      </c>
      <c r="H404" s="871">
        <f t="shared" ref="H404:P404" si="123">+H399/$E399*$E392</f>
        <v>75482.41622464321</v>
      </c>
      <c r="I404" s="871">
        <f t="shared" si="123"/>
        <v>23453.216282144389</v>
      </c>
      <c r="J404" s="871">
        <f t="shared" si="123"/>
        <v>16619.828626158447</v>
      </c>
      <c r="K404" s="871">
        <f t="shared" si="123"/>
        <v>109.78035291943344</v>
      </c>
      <c r="L404" s="871">
        <f t="shared" si="123"/>
        <v>0</v>
      </c>
      <c r="M404" s="871">
        <f t="shared" si="123"/>
        <v>0</v>
      </c>
      <c r="N404" s="871">
        <f t="shared" si="123"/>
        <v>0</v>
      </c>
      <c r="O404" s="871">
        <f t="shared" si="123"/>
        <v>2593.0446485725324</v>
      </c>
      <c r="P404" s="871">
        <f t="shared" si="123"/>
        <v>0</v>
      </c>
    </row>
    <row r="405" spans="3:16">
      <c r="C405" s="870" t="str">
        <f>+C400</f>
        <v xml:space="preserve">A&amp;G Exp - Reg Comm Exp </v>
      </c>
      <c r="E405" s="871">
        <f>SUM(G405:P405)</f>
        <v>298124.00000000006</v>
      </c>
      <c r="F405" s="871"/>
      <c r="G405" s="871">
        <f t="shared" ref="G405:P407" si="124">+G400/$E400*$E393</f>
        <v>161407.6211267786</v>
      </c>
      <c r="H405" s="871">
        <f t="shared" si="124"/>
        <v>38880.153071693305</v>
      </c>
      <c r="I405" s="871">
        <f t="shared" si="124"/>
        <v>38368.808717916683</v>
      </c>
      <c r="J405" s="871">
        <f t="shared" si="124"/>
        <v>24018.888651601286</v>
      </c>
      <c r="K405" s="871">
        <f t="shared" si="124"/>
        <v>17580.861945628843</v>
      </c>
      <c r="L405" s="871">
        <f t="shared" si="124"/>
        <v>8198.7596224673707</v>
      </c>
      <c r="M405" s="871">
        <f t="shared" si="124"/>
        <v>7047.1837310552792</v>
      </c>
      <c r="N405" s="871">
        <f t="shared" si="124"/>
        <v>455.00919971840381</v>
      </c>
      <c r="O405" s="871">
        <f t="shared" si="124"/>
        <v>2058.9309050316306</v>
      </c>
      <c r="P405" s="871">
        <f t="shared" si="124"/>
        <v>107.78302810857957</v>
      </c>
    </row>
    <row r="406" spans="3:16">
      <c r="C406" s="870" t="str">
        <f>+C401</f>
        <v>Other Taxes - Wash Excise - Allocated</v>
      </c>
      <c r="E406" s="871">
        <f>SUM(G406:P406)</f>
        <v>5732476.9999999981</v>
      </c>
      <c r="F406" s="871"/>
      <c r="G406" s="871">
        <f t="shared" si="124"/>
        <v>3256920.6567892106</v>
      </c>
      <c r="H406" s="871">
        <f t="shared" si="124"/>
        <v>726670.14797371218</v>
      </c>
      <c r="I406" s="871">
        <f t="shared" si="124"/>
        <v>682361.53427881422</v>
      </c>
      <c r="J406" s="871">
        <f t="shared" si="124"/>
        <v>411242.80079643219</v>
      </c>
      <c r="K406" s="871">
        <f t="shared" si="124"/>
        <v>309742.28137851442</v>
      </c>
      <c r="L406" s="871">
        <f t="shared" si="124"/>
        <v>145490.38059112095</v>
      </c>
      <c r="M406" s="871">
        <f t="shared" si="124"/>
        <v>116098.04681265156</v>
      </c>
      <c r="N406" s="871">
        <f t="shared" si="124"/>
        <v>32232.336972579771</v>
      </c>
      <c r="O406" s="871">
        <f t="shared" si="124"/>
        <v>49756.095397420198</v>
      </c>
      <c r="P406" s="871">
        <f t="shared" si="124"/>
        <v>1962.7190095432422</v>
      </c>
    </row>
    <row r="407" spans="3:16">
      <c r="C407" s="870" t="str">
        <f>+C402</f>
        <v>Current Federal Income Tax @ Rate</v>
      </c>
      <c r="E407" s="871">
        <f>SUM(G407:P407)</f>
        <v>49687577</v>
      </c>
      <c r="F407" s="871"/>
      <c r="G407" s="871">
        <f>+G402/$E402*$E395</f>
        <v>28394885.314082038</v>
      </c>
      <c r="H407" s="871">
        <f t="shared" si="124"/>
        <v>6053499.529990294</v>
      </c>
      <c r="I407" s="871">
        <f t="shared" si="124"/>
        <v>5877153.4349493701</v>
      </c>
      <c r="J407" s="871">
        <f t="shared" si="124"/>
        <v>3388834.2213442884</v>
      </c>
      <c r="K407" s="871">
        <f t="shared" si="124"/>
        <v>2651027.617779647</v>
      </c>
      <c r="L407" s="871">
        <f t="shared" si="124"/>
        <v>1240173.8129140069</v>
      </c>
      <c r="M407" s="871">
        <f t="shared" si="124"/>
        <v>918263.80917486269</v>
      </c>
      <c r="N407" s="871">
        <f t="shared" si="124"/>
        <v>615040.00414447533</v>
      </c>
      <c r="O407" s="871">
        <f t="shared" si="124"/>
        <v>531404.29982540582</v>
      </c>
      <c r="P407" s="871">
        <f t="shared" si="124"/>
        <v>17294.955795605998</v>
      </c>
    </row>
    <row r="408" spans="3:16" ht="13.5" thickBot="1">
      <c r="C408" s="873" t="s">
        <v>1105</v>
      </c>
      <c r="D408" s="887"/>
      <c r="E408" s="887">
        <f>SUM(E404:E407)</f>
        <v>56785015</v>
      </c>
      <c r="F408" s="887">
        <f t="shared" ref="F408:P408" si="125">SUM(F404:F407)</f>
        <v>0</v>
      </c>
      <c r="G408" s="887">
        <f t="shared" si="125"/>
        <v>32761792.305863589</v>
      </c>
      <c r="H408" s="887">
        <f t="shared" si="125"/>
        <v>6894532.2472603424</v>
      </c>
      <c r="I408" s="887">
        <f t="shared" si="125"/>
        <v>6621336.9942282457</v>
      </c>
      <c r="J408" s="887">
        <f t="shared" si="125"/>
        <v>3840715.7394184805</v>
      </c>
      <c r="K408" s="887">
        <f t="shared" si="125"/>
        <v>2978460.5414567096</v>
      </c>
      <c r="L408" s="887">
        <f t="shared" si="125"/>
        <v>1393862.9531275951</v>
      </c>
      <c r="M408" s="887">
        <f t="shared" si="125"/>
        <v>1041409.0397185695</v>
      </c>
      <c r="N408" s="887">
        <f t="shared" si="125"/>
        <v>647727.35031677352</v>
      </c>
      <c r="O408" s="887">
        <f t="shared" si="125"/>
        <v>585812.37077643024</v>
      </c>
      <c r="P408" s="887">
        <f t="shared" si="125"/>
        <v>19365.45783325782</v>
      </c>
    </row>
    <row r="409" spans="3:16" ht="13.5" thickTop="1">
      <c r="E409" s="871"/>
      <c r="F409" s="871"/>
      <c r="G409" s="871"/>
      <c r="H409" s="871"/>
      <c r="I409" s="871"/>
      <c r="J409" s="871"/>
      <c r="K409" s="871"/>
      <c r="L409" s="871"/>
      <c r="M409" s="871"/>
      <c r="N409" s="871"/>
      <c r="O409" s="871"/>
      <c r="P409" s="871"/>
    </row>
    <row r="410" spans="3:16" ht="13.5" thickBot="1">
      <c r="C410" s="873" t="s">
        <v>1086</v>
      </c>
      <c r="D410" s="873"/>
      <c r="E410" s="874">
        <f>SUM(G410:P410)</f>
        <v>149061985.94033805</v>
      </c>
      <c r="F410" s="874"/>
      <c r="G410" s="874">
        <v>88769313.608200416</v>
      </c>
      <c r="H410" s="874">
        <v>16662175.942359034</v>
      </c>
      <c r="I410" s="874">
        <v>15786993.877654433</v>
      </c>
      <c r="J410" s="874">
        <v>9477258.1591227632</v>
      </c>
      <c r="K410" s="874">
        <v>7204729.479781297</v>
      </c>
      <c r="L410" s="874">
        <v>6351782.8704589102</v>
      </c>
      <c r="M410" s="874">
        <v>2519205.9781431518</v>
      </c>
      <c r="N410" s="874">
        <v>455715.94033800025</v>
      </c>
      <c r="O410" s="874">
        <v>1428720.0842800688</v>
      </c>
      <c r="P410" s="874">
        <v>406090</v>
      </c>
    </row>
    <row r="411" spans="3:16" ht="13.5" thickTop="1"/>
  </sheetData>
  <mergeCells count="16">
    <mergeCell ref="A61:P61"/>
    <mergeCell ref="A1:P1"/>
    <mergeCell ref="A2:P2"/>
    <mergeCell ref="A3:P3"/>
    <mergeCell ref="C31:H31"/>
    <mergeCell ref="A60:P60"/>
    <mergeCell ref="A278:P278"/>
    <mergeCell ref="A279:P279"/>
    <mergeCell ref="A280:P280"/>
    <mergeCell ref="A281:P281"/>
    <mergeCell ref="A62:P62"/>
    <mergeCell ref="A63:P63"/>
    <mergeCell ref="A170:P170"/>
    <mergeCell ref="A171:P171"/>
    <mergeCell ref="A172:P172"/>
    <mergeCell ref="A173:P173"/>
  </mergeCells>
  <conditionalFormatting sqref="E57:T57">
    <cfRule type="cellIs" dxfId="3" priority="3" stopIfTrue="1" operator="lessThan">
      <formula>0.95</formula>
    </cfRule>
    <cfRule type="cellIs" dxfId="2" priority="4" stopIfTrue="1" operator="greaterThan">
      <formula>1.05</formula>
    </cfRule>
  </conditionalFormatting>
  <conditionalFormatting sqref="W57">
    <cfRule type="cellIs" dxfId="1" priority="1" stopIfTrue="1" operator="lessThan">
      <formula>0.95</formula>
    </cfRule>
    <cfRule type="cellIs" dxfId="0" priority="2" stopIfTrue="1" operator="greaterThan">
      <formula>1.05</formula>
    </cfRule>
  </conditionalFormatting>
  <printOptions horizontalCentered="1"/>
  <pageMargins left="0.25" right="0.25" top="0.53" bottom="0.79" header="0.22" footer="0.46"/>
  <pageSetup scale="60" fitToHeight="7" pageOrder="overThenDown" orientation="landscape" r:id="rId1"/>
  <headerFooter alignWithMargins="0">
    <oddHeader>&amp;RDocket No. UE-16xxxx
ECOS Model
JAP-xx</oddHeader>
    <oddFooter>&amp;RCOS Reports
&amp;A
Page &amp;P of &amp;N</oddFooter>
  </headerFooter>
  <rowBreaks count="3" manualBreakCount="3">
    <brk id="59" max="16383" man="1"/>
    <brk id="169" max="16383" man="1"/>
    <brk id="2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ECC2929-5340-4E48-AEFC-6DEF9337FCD5}"/>
</file>

<file path=customXml/itemProps2.xml><?xml version="1.0" encoding="utf-8"?>
<ds:datastoreItem xmlns:ds="http://schemas.openxmlformats.org/officeDocument/2006/customXml" ds:itemID="{63EAACE6-9845-480A-8B7C-71469E9BCC35}"/>
</file>

<file path=customXml/itemProps3.xml><?xml version="1.0" encoding="utf-8"?>
<ds:datastoreItem xmlns:ds="http://schemas.openxmlformats.org/officeDocument/2006/customXml" ds:itemID="{1931CB17-B02E-4E28-A99E-7207BD31956B}"/>
</file>

<file path=customXml/itemProps4.xml><?xml version="1.0" encoding="utf-8"?>
<ds:datastoreItem xmlns:ds="http://schemas.openxmlformats.org/officeDocument/2006/customXml" ds:itemID="{E8C4A948-AA75-4CDD-935D-0370678E36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68</vt:i4>
      </vt:variant>
    </vt:vector>
  </HeadingPairs>
  <TitlesOfParts>
    <vt:vector size="85" baseType="lpstr">
      <vt:lpstr>BGM-3 (1) Lead</vt:lpstr>
      <vt:lpstr>BGM-3 (2) Detail </vt:lpstr>
      <vt:lpstr>BGM-3 (3) Param</vt:lpstr>
      <vt:lpstr>BGM-3 (4) Rstng Adj</vt:lpstr>
      <vt:lpstr>BGM-3 (5) PF Adj.</vt:lpstr>
      <vt:lpstr>Work Papers==&gt;</vt:lpstr>
      <vt:lpstr>Power Cost Bridge to A-1</vt:lpstr>
      <vt:lpstr>Exh.A-1</vt:lpstr>
      <vt:lpstr>JAP-07</vt:lpstr>
      <vt:lpstr>For Prod Adj Expense</vt:lpstr>
      <vt:lpstr>For Prod Adj Ratebase</vt:lpstr>
      <vt:lpstr>Verify Pwr Costs</vt:lpstr>
      <vt:lpstr>RJR Prod O&amp;M</vt:lpstr>
      <vt:lpstr>PKW RY PC1</vt:lpstr>
      <vt:lpstr>Centralia Equity Kicker</vt:lpstr>
      <vt:lpstr>Trans Ratebase</vt:lpstr>
      <vt:lpstr>Trans OATT Revenue</vt:lpstr>
      <vt:lpstr>Case_Name</vt:lpstr>
      <vt:lpstr>'BGM-3 (3) Param'!k_3.01_Deficiency</vt:lpstr>
      <vt:lpstr>'BGM-3 (3) Param'!k_3.02_COC</vt:lpstr>
      <vt:lpstr>k_3.03_ConvFact</vt:lpstr>
      <vt:lpstr>k_6.01_RevAndExp</vt:lpstr>
      <vt:lpstr>k_6.02_Temp_Norm</vt:lpstr>
      <vt:lpstr>k_6.03_Pass_through_Rev_Exp</vt:lpstr>
      <vt:lpstr>k_6.04_Federal_Income_Tax</vt:lpstr>
      <vt:lpstr>k_6.05_Tax_Benefit_Interest</vt:lpstr>
      <vt:lpstr>k_6.06_Depreciation_Study</vt:lpstr>
      <vt:lpstr>k_6.07_Norm_Injuries_Damages</vt:lpstr>
      <vt:lpstr>k_6.08_Bad_Debts</vt:lpstr>
      <vt:lpstr>k_6.09_Incentive_Pay</vt:lpstr>
      <vt:lpstr>k_6.10_Directors_Officers_Insurance</vt:lpstr>
      <vt:lpstr>k_6.11_Int_Customer_Deposits</vt:lpstr>
      <vt:lpstr>k_6.12_Rate_Case_Expenses</vt:lpstr>
      <vt:lpstr>k_6.13_Defferred_Gains_Losses</vt:lpstr>
      <vt:lpstr>k_6.14_Property_Liability_Insurance</vt:lpstr>
      <vt:lpstr>k_6.15_Pension_Plan</vt:lpstr>
      <vt:lpstr>k_6.16_Wage_Increase</vt:lpstr>
      <vt:lpstr>k_6.17_Investment_Plan</vt:lpstr>
      <vt:lpstr>k_6.18_Employee_Insurance</vt:lpstr>
      <vt:lpstr>k_6.19_EnvironmRemediation</vt:lpstr>
      <vt:lpstr>k_6.20_PaymentProc_Cost</vt:lpstr>
      <vt:lpstr>k_6.21_SoKservCent</vt:lpstr>
      <vt:lpstr>k_6.22_ExcTax</vt:lpstr>
      <vt:lpstr>k_7.01_Power_Costs</vt:lpstr>
      <vt:lpstr>k_7.01_Power_Costs_p2</vt:lpstr>
      <vt:lpstr>k_7.02_Montana</vt:lpstr>
      <vt:lpstr>k_7.03_Wild_Hors_Sol</vt:lpstr>
      <vt:lpstr>k_7.04_ASC_815</vt:lpstr>
      <vt:lpstr>k_7.05_storm</vt:lpstr>
      <vt:lpstr>k_7.06_Reg_Asset</vt:lpstr>
      <vt:lpstr>k_7.07_Glacier_Bat_St</vt:lpstr>
      <vt:lpstr>k_7.08_EIM</vt:lpstr>
      <vt:lpstr>k_7.09_GoldendaleCU</vt:lpstr>
      <vt:lpstr>k_7.10_MintFarm_CU</vt:lpstr>
      <vt:lpstr>k_7.11_White_River</vt:lpstr>
      <vt:lpstr>k_7.12_Hydro_Grants</vt:lpstr>
      <vt:lpstr>k_7.13_Productn_Adj</vt:lpstr>
      <vt:lpstr>k_A_1</vt:lpstr>
      <vt:lpstr>k_Docket_Number</vt:lpstr>
      <vt:lpstr>k_FITrate</vt:lpstr>
      <vt:lpstr>keep_KJB_4_Electric_Summary</vt:lpstr>
      <vt:lpstr>keep_STATE_UTILITY_TAX</vt:lpstr>
      <vt:lpstr>keep_TESTYEAR</vt:lpstr>
      <vt:lpstr>keep_WUTC_FILING_FEE</vt:lpstr>
      <vt:lpstr>kp_Summary</vt:lpstr>
      <vt:lpstr>kp_SumPg1</vt:lpstr>
      <vt:lpstr>kp_SumPg2</vt:lpstr>
      <vt:lpstr>kp_SumPg3</vt:lpstr>
      <vt:lpstr>kp_SumPg4</vt:lpstr>
      <vt:lpstr>kp_SumPg5</vt:lpstr>
      <vt:lpstr>'BGM-3 (1) Lead'!Print_Area</vt:lpstr>
      <vt:lpstr>'BGM-3 (2) Detail '!Print_Area</vt:lpstr>
      <vt:lpstr>'BGM-3 (3) Param'!Print_Area</vt:lpstr>
      <vt:lpstr>'BGM-3 (5) PF Adj.'!Print_Area</vt:lpstr>
      <vt:lpstr>'Exh.A-1'!Print_Area</vt:lpstr>
      <vt:lpstr>'For Prod Adj Expense'!Print_Area</vt:lpstr>
      <vt:lpstr>'For Prod Adj Ratebase'!Print_Area</vt:lpstr>
      <vt:lpstr>'JAP-07'!Print_Area</vt:lpstr>
      <vt:lpstr>'PKW RY PC1'!Print_Area</vt:lpstr>
      <vt:lpstr>'Power Cost Bridge to A-1'!Print_Area</vt:lpstr>
      <vt:lpstr>'RJR Prod O&amp;M'!Print_Area</vt:lpstr>
      <vt:lpstr>'BGM-3 (1) Lead'!Print_Titles</vt:lpstr>
      <vt:lpstr>'BGM-3 (2) Detail '!Print_Titles</vt:lpstr>
      <vt:lpstr>'BGM-3 (5) PF Adj.'!Print_Titles</vt:lpstr>
      <vt:lpstr>'JAP-07'!Print_Titles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PACCAR.com Job Description</dc:title>
  <dc:subject>TWELVE MOS. ENDED 6/30/95</dc:subject>
  <dc:creator>Janna D. Greif</dc:creator>
  <cp:lastModifiedBy>Mullins</cp:lastModifiedBy>
  <cp:lastPrinted>2017-06-29T17:10:07Z</cp:lastPrinted>
  <dcterms:created xsi:type="dcterms:W3CDTF">1997-10-13T22:59:17Z</dcterms:created>
  <dcterms:modified xsi:type="dcterms:W3CDTF">2017-06-29T19:54:26Z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