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my_white_utc_wa_gov/Documents/Energy/Avista 2020 GRC 200900 01/Exhibits/Completed Exhibits/"/>
    </mc:Choice>
  </mc:AlternateContent>
  <xr:revisionPtr revIDLastSave="55" documentId="14_{673847F3-14B4-4569-BCD7-5566852D1954}" xr6:coauthVersionLast="46" xr6:coauthVersionMax="46" xr10:uidLastSave="{6655E28A-5AFB-4B25-9D19-116A6DFC6620}"/>
  <bookViews>
    <workbookView xWindow="516" yWindow="473" windowWidth="11993" windowHeight="9876" xr2:uid="{5048DD19-627F-443F-8899-A707163AB3EB}"/>
  </bookViews>
  <sheets>
    <sheet name="3.16 Electric" sheetId="1" r:id="rId1"/>
    <sheet name="3.16 Gas 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2" l="1"/>
  <c r="K73" i="2"/>
  <c r="K72" i="2"/>
  <c r="K70" i="2"/>
  <c r="K69" i="2"/>
  <c r="K64" i="2"/>
  <c r="K63" i="2"/>
  <c r="K53" i="2"/>
  <c r="K50" i="2"/>
  <c r="K45" i="2"/>
  <c r="K44" i="2"/>
  <c r="K34" i="2" l="1"/>
  <c r="K33" i="2"/>
  <c r="J78" i="1" l="1"/>
  <c r="J77" i="1"/>
  <c r="J76" i="1"/>
  <c r="J72" i="1"/>
  <c r="J71" i="1"/>
  <c r="J68" i="1"/>
  <c r="J65" i="1"/>
  <c r="J64" i="1"/>
  <c r="J61" i="1"/>
  <c r="J52" i="1"/>
  <c r="J49" i="1"/>
  <c r="J44" i="1"/>
  <c r="J43" i="1"/>
  <c r="J42" i="1"/>
  <c r="J32" i="1"/>
  <c r="H66" i="1" l="1"/>
  <c r="L43" i="1"/>
  <c r="L44" i="1"/>
  <c r="L45" i="1"/>
  <c r="M77" i="2"/>
  <c r="M68" i="2"/>
  <c r="M62" i="2"/>
  <c r="M56" i="2"/>
  <c r="M55" i="2"/>
  <c r="M44" i="2"/>
  <c r="M45" i="2"/>
  <c r="M46" i="2"/>
  <c r="M43" i="2"/>
  <c r="M40" i="2"/>
  <c r="M39" i="2"/>
  <c r="M35" i="2"/>
  <c r="M33" i="2"/>
  <c r="M28" i="2"/>
  <c r="M29" i="2"/>
  <c r="M27" i="2"/>
  <c r="M23" i="2"/>
  <c r="M22" i="2"/>
  <c r="M21" i="2"/>
  <c r="M16" i="2"/>
  <c r="M15" i="2"/>
  <c r="M14" i="2"/>
  <c r="I73" i="2"/>
  <c r="M73" i="2" s="1"/>
  <c r="I70" i="2"/>
  <c r="M70" i="2" s="1"/>
  <c r="I69" i="2"/>
  <c r="M69" i="2" s="1"/>
  <c r="I64" i="2"/>
  <c r="M64" i="2" s="1"/>
  <c r="I63" i="2"/>
  <c r="M63" i="2" s="1"/>
  <c r="I47" i="2"/>
  <c r="I36" i="2"/>
  <c r="I34" i="2"/>
  <c r="M34" i="2" s="1"/>
  <c r="I30" i="2"/>
  <c r="I24" i="2"/>
  <c r="I17" i="2"/>
  <c r="I10" i="2"/>
  <c r="M47" i="2" l="1"/>
  <c r="I48" i="2"/>
  <c r="I50" i="2" s="1"/>
  <c r="M50" i="2" s="1"/>
  <c r="I71" i="2"/>
  <c r="I65" i="2"/>
  <c r="I72" i="2" s="1"/>
  <c r="I74" i="2" l="1"/>
  <c r="I81" i="2" s="1"/>
  <c r="I54" i="2" s="1"/>
  <c r="M72" i="2"/>
  <c r="I53" i="2"/>
  <c r="M53" i="2" l="1"/>
  <c r="I58" i="2"/>
  <c r="I85" i="2" l="1"/>
  <c r="I86" i="2" s="1"/>
  <c r="I83" i="2" l="1"/>
  <c r="L78" i="1" l="1"/>
  <c r="L76" i="1"/>
  <c r="L69" i="1"/>
  <c r="L70" i="1"/>
  <c r="L71" i="1"/>
  <c r="L72" i="1"/>
  <c r="L68" i="1"/>
  <c r="L65" i="1"/>
  <c r="L63" i="1"/>
  <c r="L62" i="1"/>
  <c r="L64" i="1"/>
  <c r="L61" i="1"/>
  <c r="L42" i="1"/>
  <c r="L32" i="1"/>
  <c r="L35" i="1" s="1"/>
  <c r="H73" i="1"/>
  <c r="H71" i="1"/>
  <c r="H65" i="1"/>
  <c r="H64" i="1"/>
  <c r="H61" i="1"/>
  <c r="H46" i="1"/>
  <c r="H32" i="1"/>
  <c r="H35" i="1" s="1"/>
  <c r="H28" i="1"/>
  <c r="H19" i="1"/>
  <c r="H17" i="1"/>
  <c r="H74" i="1" l="1"/>
  <c r="H77" i="1" s="1"/>
  <c r="H81" i="1" s="1"/>
  <c r="H47" i="1"/>
  <c r="H49" i="1" s="1"/>
  <c r="H52" i="1" l="1"/>
  <c r="H57" i="1" l="1"/>
  <c r="M76" i="2"/>
  <c r="M78" i="2"/>
  <c r="M75" i="2"/>
  <c r="K74" i="2"/>
  <c r="K65" i="2"/>
  <c r="K47" i="2"/>
  <c r="K30" i="2"/>
  <c r="K36" i="2"/>
  <c r="M30" i="2"/>
  <c r="H85" i="1" l="1"/>
  <c r="H86" i="1" s="1"/>
  <c r="H83" i="1" s="1"/>
  <c r="K48" i="2"/>
  <c r="K81" i="2"/>
  <c r="K54" i="2" s="1"/>
  <c r="M54" i="2" s="1"/>
  <c r="M58" i="2" s="1"/>
  <c r="M74" i="2"/>
  <c r="K58" i="2" l="1"/>
  <c r="K71" i="2"/>
  <c r="G71" i="1" l="1"/>
  <c r="G73" i="1" s="1"/>
  <c r="G64" i="1"/>
  <c r="G66" i="1" s="1"/>
  <c r="G42" i="1"/>
  <c r="G46" i="1" s="1"/>
  <c r="G32" i="1"/>
  <c r="G35" i="1" s="1"/>
  <c r="G28" i="1"/>
  <c r="G17" i="1"/>
  <c r="G19" i="1" s="1"/>
  <c r="G47" i="1" l="1"/>
  <c r="G49" i="1" s="1"/>
  <c r="G74" i="1"/>
  <c r="G77" i="1" s="1"/>
  <c r="G81" i="1" s="1"/>
  <c r="G53" i="1" s="1"/>
  <c r="G52" i="1" l="1"/>
  <c r="G57" i="1" s="1"/>
  <c r="G85" i="1" l="1"/>
  <c r="G86" i="1" s="1"/>
  <c r="G83" i="1" s="1"/>
  <c r="H73" i="2"/>
  <c r="H70" i="2"/>
  <c r="H69" i="2"/>
  <c r="H64" i="2"/>
  <c r="H63" i="2"/>
  <c r="M65" i="2" s="1"/>
  <c r="H47" i="2"/>
  <c r="H34" i="2"/>
  <c r="H33" i="2"/>
  <c r="H30" i="2"/>
  <c r="H24" i="2"/>
  <c r="H17" i="2"/>
  <c r="M71" i="2" l="1"/>
  <c r="M36" i="2"/>
  <c r="M48" i="2" s="1"/>
  <c r="H71" i="2"/>
  <c r="H36" i="2"/>
  <c r="H65" i="2"/>
  <c r="H48" i="2"/>
  <c r="H50" i="2" s="1"/>
  <c r="H72" i="2" l="1"/>
  <c r="H74" i="2" l="1"/>
  <c r="H81" i="2" s="1"/>
  <c r="H54" i="2" s="1"/>
  <c r="M81" i="2"/>
  <c r="J28" i="1"/>
  <c r="J17" i="1"/>
  <c r="J19" i="1" s="1"/>
  <c r="J66" i="1" l="1"/>
  <c r="L66" i="1"/>
  <c r="J35" i="1"/>
  <c r="J46" i="1"/>
  <c r="L46" i="1"/>
  <c r="J73" i="1"/>
  <c r="J74" i="1" s="1"/>
  <c r="J81" i="1" s="1"/>
  <c r="J53" i="1" s="1"/>
  <c r="L53" i="1" s="1"/>
  <c r="L73" i="1"/>
  <c r="H58" i="2"/>
  <c r="K85" i="2"/>
  <c r="M85" i="2" s="1"/>
  <c r="K86" i="2" l="1"/>
  <c r="M86" i="2" s="1"/>
  <c r="L47" i="1"/>
  <c r="L74" i="1"/>
  <c r="L77" i="1" s="1"/>
  <c r="L81" i="1" s="1"/>
  <c r="J47" i="1"/>
  <c r="L49" i="1" s="1"/>
  <c r="H85" i="2"/>
  <c r="H86" i="2" l="1"/>
  <c r="H83" i="2" s="1"/>
  <c r="K83" i="2"/>
  <c r="M83" i="2" s="1"/>
  <c r="J57" i="1" l="1"/>
  <c r="J85" i="1" s="1"/>
  <c r="L85" i="1" s="1"/>
  <c r="L52" i="1"/>
  <c r="L57" i="1" l="1"/>
  <c r="J86" i="1"/>
  <c r="J83" i="1" s="1"/>
  <c r="L83" i="1" s="1"/>
  <c r="L86" i="1" l="1"/>
</calcChain>
</file>

<file path=xl/sharedStrings.xml><?xml version="1.0" encoding="utf-8"?>
<sst xmlns="http://schemas.openxmlformats.org/spreadsheetml/2006/main" count="183" uniqueCount="128">
  <si>
    <t xml:space="preserve">AVISTA UTILITIES 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</si>
  <si>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</si>
  <si>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</si>
  <si>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</si>
  <si>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</si>
  <si>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</si>
  <si>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</si>
  <si>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</si>
  <si>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</si>
  <si>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</si>
  <si>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</si>
  <si>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</si>
  <si>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</si>
  <si>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</si>
  <si>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</si>
  <si>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</si>
  <si>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</si>
  <si>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</si>
  <si>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</si>
  <si>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</si>
  <si>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</si>
  <si>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</si>
  <si>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</si>
  <si>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</si>
  <si>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</si>
  <si>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</si>
  <si>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</si>
  <si>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</si>
  <si>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</si>
  <si>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</si>
  <si>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</si>
  <si>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</si>
  <si>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</si>
  <si>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</si>
  <si>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</si>
  <si>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</si>
  <si>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</si>
  <si>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</si>
  <si>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</si>
  <si>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</si>
  <si>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</si>
  <si>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</si>
  <si>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</si>
  <si>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</si>
  <si>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</si>
  <si>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</si>
  <si>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</si>
  <si>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</si>
  <si>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</si>
  <si>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</si>
  <si>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</si>
  <si>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</si>
  <si>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</si>
  <si>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</si>
  <si>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</si>
  <si>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</si>
  <si>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</si>
  <si>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 xml:space="preserve">Revenue Conversion Factor </t>
  </si>
  <si>
    <t>NOI Requirement</t>
  </si>
  <si>
    <t xml:space="preserve">Revenue Requirement </t>
  </si>
  <si>
    <t>Pro Forma</t>
  </si>
  <si>
    <t xml:space="preserve">AMI </t>
  </si>
  <si>
    <t>Capital</t>
  </si>
  <si>
    <t>E-AMI</t>
  </si>
  <si>
    <t xml:space="preserve">Staff's Revised </t>
  </si>
  <si>
    <t xml:space="preserve">As filed </t>
  </si>
  <si>
    <t>AVISTA UTILITIES</t>
  </si>
  <si>
    <t xml:space="preserve">(000'S OF DOLLARS)   </t>
  </si>
  <si>
    <t>Adjsutment Number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</si>
  <si>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</si>
  <si>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</si>
  <si>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</si>
  <si>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</si>
  <si>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</si>
  <si>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</si>
  <si>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</si>
  <si>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</si>
  <si>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</si>
  <si>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</si>
  <si>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</si>
  <si>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</si>
  <si>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</si>
  <si>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</si>
  <si>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</si>
  <si>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</si>
  <si>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</si>
  <si>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</si>
  <si>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</si>
  <si>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</si>
  <si>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</si>
  <si>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</si>
  <si>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</si>
  <si>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</si>
  <si>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</si>
  <si>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</si>
  <si>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</si>
  <si>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</si>
  <si>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</si>
  <si>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</si>
  <si>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</si>
  <si>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</si>
  <si>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</si>
  <si>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</si>
  <si>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</si>
  <si>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</si>
  <si>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</si>
  <si>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</si>
  <si>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</si>
  <si>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</si>
  <si>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OTHER</t>
  </si>
  <si>
    <t>TOTAL RATE BASE</t>
  </si>
  <si>
    <t>RATE OF RETURN</t>
  </si>
  <si>
    <t>REVENUE REQUIREMENT</t>
  </si>
  <si>
    <t>AMI</t>
  </si>
  <si>
    <t>Capital Adds</t>
  </si>
  <si>
    <t>G-PAMI</t>
  </si>
  <si>
    <t>Staff's Revised</t>
  </si>
  <si>
    <t>As filed</t>
  </si>
  <si>
    <t>Rate of Return</t>
  </si>
  <si>
    <t xml:space="preserve">Cost of Debt </t>
  </si>
  <si>
    <t>Company</t>
  </si>
  <si>
    <t>Staff</t>
  </si>
  <si>
    <t xml:space="preserve">Rate of return </t>
  </si>
  <si>
    <t xml:space="preserve">Company </t>
  </si>
  <si>
    <t>Difference</t>
  </si>
  <si>
    <t xml:space="preserve">STAFF'S RECALCULATION OF REVENUE REQUIREMENT RELATED TO RESTATING ADJUSTMENT 3.16, PRO FORMA CAPITAL ADDITIONS (NATURAL GAS) </t>
  </si>
  <si>
    <t xml:space="preserve">STAFF'S RECALCULATION OF REVENUE REQUIREMENT RELATED TO RESTATING ADJUSTMENT 3.16, PRO FORMA CAPITAL ADDITIONS (ELECTRIC) </t>
  </si>
  <si>
    <t>Company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</si>
</sst>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u/>
      <sz val="7.5"/>
      <color theme="0"/>
      <name val="Arial"/>
      <family val="2"/>
    </font>
    <font>
      <sz val="10"/>
      <name val="Arial"/>
    </font>
    <font>
      <sz val="10"/>
      <name val="Geneva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color theme="0"/>
      <name val="Arial"/>
      <family val="2"/>
    </font>
    <font>
      <sz val="12"/>
      <color indexed="10"/>
      <name val="Times New Roman"/>
      <family val="1"/>
    </font>
    <font>
      <sz val="10"/>
      <name val="Tahoma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6" fillId="0" borderId="0" applyFont="0" applyFill="0" applyBorder="0" applyAlignment="0" applyProtection="0"/>
    <xf numFmtId="0" fontId="14" fillId="2" borderId="0"/>
    <xf numFmtId="0" fontId="1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2" fontId="5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left"/>
    </xf>
    <xf numFmtId="37" fontId="3" fillId="0" borderId="0" xfId="2" applyNumberFormat="1" applyFont="1" applyAlignment="1">
      <alignment horizontal="center"/>
    </xf>
    <xf numFmtId="5" fontId="3" fillId="0" borderId="0" xfId="2" applyNumberFormat="1" applyFont="1"/>
    <xf numFmtId="37" fontId="3" fillId="0" borderId="0" xfId="2" applyNumberFormat="1" applyFont="1"/>
    <xf numFmtId="1" fontId="3" fillId="0" borderId="0" xfId="3" applyNumberFormat="1" applyFont="1" applyAlignment="1">
      <alignment horizontal="center"/>
    </xf>
    <xf numFmtId="9" fontId="3" fillId="0" borderId="0" xfId="1" applyFont="1" applyFill="1"/>
    <xf numFmtId="3" fontId="3" fillId="0" borderId="0" xfId="3" applyNumberFormat="1" applyFont="1" applyAlignment="1">
      <alignment horizontal="center"/>
    </xf>
    <xf numFmtId="37" fontId="7" fillId="0" borderId="0" xfId="2" applyNumberFormat="1" applyFont="1"/>
    <xf numFmtId="0" fontId="3" fillId="0" borderId="0" xfId="2" applyFont="1" applyAlignment="1">
      <alignment vertical="top"/>
    </xf>
    <xf numFmtId="165" fontId="3" fillId="0" borderId="0" xfId="1" applyNumberFormat="1" applyFont="1"/>
    <xf numFmtId="0" fontId="9" fillId="0" borderId="0" xfId="7"/>
    <xf numFmtId="0" fontId="3" fillId="0" borderId="0" xfId="12" applyFont="1"/>
    <xf numFmtId="0" fontId="3" fillId="0" borderId="0" xfId="12" applyNumberFormat="1" applyFont="1" applyAlignment="1">
      <alignment horizontal="center"/>
    </xf>
    <xf numFmtId="5" fontId="3" fillId="0" borderId="0" xfId="12" applyNumberFormat="1" applyFont="1"/>
    <xf numFmtId="37" fontId="3" fillId="0" borderId="0" xfId="12" applyNumberFormat="1" applyFont="1"/>
    <xf numFmtId="0" fontId="3" fillId="0" borderId="0" xfId="12" applyNumberFormat="1" applyFont="1" applyBorder="1" applyAlignment="1">
      <alignment horizontal="center"/>
    </xf>
    <xf numFmtId="37" fontId="3" fillId="0" borderId="0" xfId="12" applyNumberFormat="1" applyFont="1" applyBorder="1"/>
    <xf numFmtId="0" fontId="3" fillId="0" borderId="0" xfId="7" applyFont="1"/>
    <xf numFmtId="0" fontId="3" fillId="0" borderId="0" xfId="12" applyNumberFormat="1" applyFont="1" applyFill="1" applyAlignment="1">
      <alignment horizontal="center"/>
    </xf>
    <xf numFmtId="0" fontId="3" fillId="0" borderId="0" xfId="12" applyNumberFormat="1" applyFont="1" applyAlignment="1">
      <alignment horizontal="left"/>
    </xf>
    <xf numFmtId="0" fontId="5" fillId="0" borderId="0" xfId="12" applyNumberFormat="1" applyFont="1" applyAlignment="1">
      <alignment horizontal="center"/>
    </xf>
    <xf numFmtId="0" fontId="5" fillId="0" borderId="0" xfId="12" applyFont="1" applyAlignment="1">
      <alignment horizontal="center"/>
    </xf>
    <xf numFmtId="0" fontId="5" fillId="0" borderId="1" xfId="12" applyNumberFormat="1" applyFont="1" applyBorder="1" applyAlignment="1">
      <alignment horizontal="center"/>
    </xf>
    <xf numFmtId="0" fontId="5" fillId="0" borderId="2" xfId="12" applyFont="1" applyBorder="1" applyAlignment="1">
      <alignment horizontal="center"/>
    </xf>
    <xf numFmtId="0" fontId="5" fillId="0" borderId="3" xfId="12" applyFont="1" applyBorder="1" applyAlignment="1">
      <alignment horizontal="center"/>
    </xf>
    <xf numFmtId="0" fontId="3" fillId="0" borderId="11" xfId="12" applyFont="1" applyBorder="1"/>
    <xf numFmtId="0" fontId="5" fillId="0" borderId="4" xfId="12" applyNumberFormat="1" applyFont="1" applyBorder="1" applyAlignment="1">
      <alignment horizontal="center"/>
    </xf>
    <xf numFmtId="0" fontId="5" fillId="0" borderId="5" xfId="12" applyFont="1" applyBorder="1" applyAlignment="1">
      <alignment horizontal="center"/>
    </xf>
    <xf numFmtId="0" fontId="5" fillId="0" borderId="0" xfId="12" applyFont="1" applyBorder="1" applyAlignment="1">
      <alignment horizontal="center"/>
    </xf>
    <xf numFmtId="0" fontId="3" fillId="0" borderId="12" xfId="12" applyFont="1" applyBorder="1"/>
    <xf numFmtId="0" fontId="5" fillId="0" borderId="6" xfId="12" applyNumberFormat="1" applyFont="1" applyBorder="1" applyAlignment="1">
      <alignment horizontal="center"/>
    </xf>
    <xf numFmtId="0" fontId="5" fillId="0" borderId="7" xfId="12" applyFont="1" applyBorder="1" applyAlignment="1">
      <alignment horizontal="center"/>
    </xf>
    <xf numFmtId="0" fontId="5" fillId="0" borderId="8" xfId="12" applyFont="1" applyBorder="1" applyAlignment="1">
      <alignment horizontal="center"/>
    </xf>
    <xf numFmtId="0" fontId="5" fillId="0" borderId="13" xfId="12" applyFont="1" applyBorder="1" applyAlignment="1">
      <alignment horizontal="center"/>
    </xf>
    <xf numFmtId="0" fontId="3" fillId="0" borderId="0" xfId="12" applyFont="1" applyAlignment="1">
      <alignment horizontal="left"/>
    </xf>
    <xf numFmtId="0" fontId="3" fillId="0" borderId="0" xfId="12" applyFont="1" applyBorder="1"/>
    <xf numFmtId="5" fontId="5" fillId="0" borderId="0" xfId="12" applyNumberFormat="1" applyFont="1"/>
    <xf numFmtId="0" fontId="3" fillId="0" borderId="0" xfId="12" applyFont="1" applyFill="1"/>
    <xf numFmtId="0" fontId="3" fillId="0" borderId="0" xfId="11" applyFont="1" applyFill="1"/>
    <xf numFmtId="0" fontId="3" fillId="0" borderId="0" xfId="11" applyFont="1" applyFill="1" applyBorder="1"/>
    <xf numFmtId="0" fontId="3" fillId="0" borderId="0" xfId="12" applyNumberFormat="1" applyFont="1" applyFill="1" applyBorder="1" applyAlignment="1">
      <alignment horizontal="center"/>
    </xf>
    <xf numFmtId="0" fontId="3" fillId="0" borderId="0" xfId="12" applyFont="1" applyFill="1" applyBorder="1"/>
    <xf numFmtId="0" fontId="3" fillId="0" borderId="0" xfId="11" applyFont="1" applyFill="1" applyBorder="1" applyAlignment="1">
      <alignment horizontal="right"/>
    </xf>
    <xf numFmtId="3" fontId="11" fillId="0" borderId="0" xfId="7" applyNumberFormat="1" applyFont="1" applyFill="1" applyAlignment="1"/>
    <xf numFmtId="165" fontId="3" fillId="0" borderId="0" xfId="1" applyNumberFormat="1" applyFont="1" applyFill="1"/>
    <xf numFmtId="0" fontId="4" fillId="0" borderId="0" xfId="0" applyFont="1"/>
    <xf numFmtId="0" fontId="9" fillId="0" borderId="0" xfId="7"/>
    <xf numFmtId="0" fontId="3" fillId="0" borderId="0" xfId="12" applyNumberFormat="1" applyFont="1" applyAlignment="1">
      <alignment horizontal="center"/>
    </xf>
    <xf numFmtId="5" fontId="3" fillId="0" borderId="0" xfId="12" applyNumberFormat="1" applyFont="1"/>
    <xf numFmtId="37" fontId="3" fillId="0" borderId="0" xfId="12" applyNumberFormat="1" applyFont="1"/>
    <xf numFmtId="37" fontId="3" fillId="0" borderId="0" xfId="12" applyNumberFormat="1" applyFont="1" applyBorder="1"/>
    <xf numFmtId="0" fontId="4" fillId="0" borderId="0" xfId="7" applyFont="1" applyFill="1"/>
    <xf numFmtId="0" fontId="5" fillId="0" borderId="0" xfId="12" applyFont="1" applyAlignment="1">
      <alignment horizontal="center"/>
    </xf>
    <xf numFmtId="0" fontId="5" fillId="0" borderId="0" xfId="12" applyFont="1" applyBorder="1" applyAlignment="1">
      <alignment horizontal="center"/>
    </xf>
    <xf numFmtId="0" fontId="3" fillId="0" borderId="0" xfId="12" applyFont="1" applyBorder="1"/>
    <xf numFmtId="5" fontId="5" fillId="0" borderId="0" xfId="12" applyNumberFormat="1" applyFont="1"/>
    <xf numFmtId="0" fontId="3" fillId="0" borderId="0" xfId="12" applyFont="1" applyFill="1"/>
    <xf numFmtId="0" fontId="3" fillId="0" borderId="0" xfId="11" applyFont="1" applyFill="1"/>
    <xf numFmtId="0" fontId="3" fillId="0" borderId="0" xfId="11" applyFont="1" applyFill="1" applyBorder="1"/>
    <xf numFmtId="0" fontId="3" fillId="0" borderId="0" xfId="12" applyFont="1" applyFill="1" applyBorder="1"/>
    <xf numFmtId="0" fontId="3" fillId="0" borderId="0" xfId="11" applyFont="1" applyFill="1" applyBorder="1" applyAlignment="1">
      <alignment horizontal="right"/>
    </xf>
    <xf numFmtId="3" fontId="11" fillId="0" borderId="0" xfId="7" applyNumberFormat="1" applyFont="1" applyFill="1" applyAlignment="1"/>
    <xf numFmtId="0" fontId="5" fillId="0" borderId="0" xfId="11" applyFont="1" applyFill="1"/>
    <xf numFmtId="0" fontId="16" fillId="0" borderId="0" xfId="0" applyFont="1"/>
    <xf numFmtId="42" fontId="0" fillId="0" borderId="0" xfId="0" applyNumberFormat="1"/>
    <xf numFmtId="0" fontId="16" fillId="0" borderId="0" xfId="0" applyFont="1" applyFill="1"/>
    <xf numFmtId="41" fontId="16" fillId="0" borderId="0" xfId="0" applyNumberFormat="1" applyFont="1" applyFill="1"/>
    <xf numFmtId="41" fontId="4" fillId="0" borderId="0" xfId="2" applyNumberFormat="1" applyFont="1"/>
    <xf numFmtId="0" fontId="17" fillId="0" borderId="0" xfId="0" applyFont="1"/>
    <xf numFmtId="41" fontId="11" fillId="0" borderId="0" xfId="4" applyNumberFormat="1" applyFont="1" applyAlignment="1">
      <alignment horizontal="left"/>
    </xf>
    <xf numFmtId="41" fontId="11" fillId="0" borderId="0" xfId="4" quotePrefix="1" applyNumberFormat="1" applyFont="1" applyAlignment="1">
      <alignment horizontal="center"/>
    </xf>
    <xf numFmtId="41" fontId="11" fillId="3" borderId="1" xfId="2" applyNumberFormat="1" applyFont="1" applyFill="1" applyBorder="1" applyAlignment="1">
      <alignment horizontal="center"/>
    </xf>
    <xf numFmtId="41" fontId="11" fillId="3" borderId="4" xfId="2" applyNumberFormat="1" applyFont="1" applyFill="1" applyBorder="1" applyAlignment="1">
      <alignment horizontal="center"/>
    </xf>
    <xf numFmtId="41" fontId="11" fillId="3" borderId="14" xfId="2" applyNumberFormat="1" applyFont="1" applyFill="1" applyBorder="1" applyAlignment="1">
      <alignment horizontal="center"/>
    </xf>
    <xf numFmtId="41" fontId="11" fillId="3" borderId="6" xfId="2" applyNumberFormat="1" applyFont="1" applyFill="1" applyBorder="1" applyAlignment="1">
      <alignment horizontal="center"/>
    </xf>
    <xf numFmtId="2" fontId="11" fillId="3" borderId="0" xfId="5" applyNumberFormat="1" applyFont="1" applyFill="1" applyAlignment="1" applyProtection="1">
      <alignment horizontal="center"/>
    </xf>
    <xf numFmtId="2" fontId="11" fillId="0" borderId="0" xfId="5" applyNumberFormat="1" applyFont="1" applyAlignment="1" applyProtection="1">
      <alignment horizontal="center"/>
    </xf>
    <xf numFmtId="5" fontId="4" fillId="0" borderId="0" xfId="6" applyNumberFormat="1" applyFont="1"/>
    <xf numFmtId="41" fontId="4" fillId="0" borderId="8" xfId="2" applyNumberFormat="1" applyFont="1" applyBorder="1"/>
    <xf numFmtId="41" fontId="4" fillId="0" borderId="0" xfId="2" applyNumberFormat="1" applyFont="1" applyFill="1"/>
    <xf numFmtId="41" fontId="4" fillId="0" borderId="8" xfId="2" applyNumberFormat="1" applyFont="1" applyFill="1" applyBorder="1"/>
    <xf numFmtId="0" fontId="17" fillId="0" borderId="0" xfId="0" applyFont="1" applyFill="1"/>
    <xf numFmtId="41" fontId="17" fillId="0" borderId="0" xfId="0" applyNumberFormat="1" applyFont="1" applyFill="1"/>
    <xf numFmtId="0" fontId="17" fillId="0" borderId="8" xfId="0" applyFont="1" applyFill="1" applyBorder="1"/>
    <xf numFmtId="41" fontId="17" fillId="0" borderId="10" xfId="0" applyNumberFormat="1" applyFont="1" applyFill="1" applyBorder="1"/>
    <xf numFmtId="5" fontId="4" fillId="0" borderId="9" xfId="2" applyNumberFormat="1" applyFont="1" applyBorder="1"/>
    <xf numFmtId="5" fontId="4" fillId="0" borderId="9" xfId="2" applyNumberFormat="1" applyFont="1" applyFill="1" applyBorder="1"/>
    <xf numFmtId="5" fontId="4" fillId="0" borderId="0" xfId="2" applyNumberFormat="1" applyFont="1"/>
    <xf numFmtId="41" fontId="17" fillId="0" borderId="8" xfId="0" applyNumberFormat="1" applyFont="1" applyFill="1" applyBorder="1"/>
    <xf numFmtId="41" fontId="4" fillId="0" borderId="3" xfId="2" applyNumberFormat="1" applyFont="1" applyBorder="1"/>
    <xf numFmtId="41" fontId="4" fillId="0" borderId="3" xfId="2" applyNumberFormat="1" applyFont="1" applyFill="1" applyBorder="1"/>
    <xf numFmtId="41" fontId="4" fillId="0" borderId="10" xfId="2" applyNumberFormat="1" applyFont="1" applyFill="1" applyBorder="1"/>
    <xf numFmtId="41" fontId="4" fillId="0" borderId="0" xfId="24" applyNumberFormat="1" applyFont="1" applyFill="1"/>
    <xf numFmtId="41" fontId="4" fillId="0" borderId="0" xfId="1" applyNumberFormat="1" applyFont="1" applyFill="1"/>
    <xf numFmtId="41" fontId="4" fillId="0" borderId="0" xfId="2" applyNumberFormat="1" applyFont="1" applyAlignment="1">
      <alignment vertical="top"/>
    </xf>
    <xf numFmtId="41" fontId="4" fillId="0" borderId="0" xfId="2" applyNumberFormat="1" applyFont="1" applyFill="1" applyAlignment="1">
      <alignment vertical="top"/>
    </xf>
    <xf numFmtId="41" fontId="4" fillId="0" borderId="10" xfId="2" applyNumberFormat="1" applyFont="1" applyBorder="1"/>
    <xf numFmtId="164" fontId="4" fillId="0" borderId="0" xfId="24" applyNumberFormat="1" applyFont="1" applyBorder="1"/>
    <xf numFmtId="164" fontId="4" fillId="0" borderId="0" xfId="1" applyNumberFormat="1" applyFont="1" applyFill="1" applyBorder="1"/>
    <xf numFmtId="3" fontId="4" fillId="0" borderId="0" xfId="12" applyNumberFormat="1" applyFont="1"/>
    <xf numFmtId="0" fontId="6" fillId="0" borderId="0" xfId="7" applyFont="1"/>
    <xf numFmtId="0" fontId="18" fillId="0" borderId="0" xfId="0" applyFont="1"/>
    <xf numFmtId="41" fontId="11" fillId="0" borderId="0" xfId="27" applyNumberFormat="1" applyFont="1" applyAlignment="1">
      <alignment horizontal="left"/>
    </xf>
    <xf numFmtId="41" fontId="11" fillId="0" borderId="0" xfId="27" applyNumberFormat="1" applyFont="1" applyFill="1" applyAlignment="1">
      <alignment horizontal="left"/>
    </xf>
    <xf numFmtId="3" fontId="11" fillId="0" borderId="0" xfId="12" applyNumberFormat="1" applyFont="1" applyAlignment="1">
      <alignment horizontal="center"/>
    </xf>
    <xf numFmtId="3" fontId="11" fillId="0" borderId="0" xfId="12" applyNumberFormat="1" applyFont="1" applyFill="1" applyAlignment="1">
      <alignment horizontal="center"/>
    </xf>
    <xf numFmtId="42" fontId="4" fillId="0" borderId="0" xfId="10" applyNumberFormat="1" applyFont="1"/>
    <xf numFmtId="42" fontId="4" fillId="0" borderId="0" xfId="10" applyNumberFormat="1" applyFont="1" applyFill="1"/>
    <xf numFmtId="42" fontId="18" fillId="0" borderId="0" xfId="0" applyNumberFormat="1" applyFont="1"/>
    <xf numFmtId="41" fontId="4" fillId="0" borderId="0" xfId="10" applyNumberFormat="1" applyFont="1"/>
    <xf numFmtId="41" fontId="4" fillId="0" borderId="0" xfId="10" applyNumberFormat="1" applyFont="1" applyFill="1"/>
    <xf numFmtId="41" fontId="4" fillId="0" borderId="8" xfId="10" applyNumberFormat="1" applyFont="1" applyBorder="1"/>
    <xf numFmtId="41" fontId="4" fillId="0" borderId="8" xfId="10" applyNumberFormat="1" applyFont="1" applyFill="1" applyBorder="1"/>
    <xf numFmtId="42" fontId="18" fillId="0" borderId="8" xfId="0" applyNumberFormat="1" applyFont="1" applyBorder="1"/>
    <xf numFmtId="41" fontId="4" fillId="0" borderId="0" xfId="12" applyNumberFormat="1" applyFont="1"/>
    <xf numFmtId="41" fontId="4" fillId="0" borderId="0" xfId="12" applyNumberFormat="1" applyFont="1" applyFill="1"/>
    <xf numFmtId="41" fontId="4" fillId="0" borderId="8" xfId="12" applyNumberFormat="1" applyFont="1" applyFill="1" applyBorder="1"/>
    <xf numFmtId="0" fontId="18" fillId="0" borderId="0" xfId="0" applyFont="1" applyFill="1"/>
    <xf numFmtId="41" fontId="18" fillId="0" borderId="0" xfId="0" applyNumberFormat="1" applyFont="1" applyFill="1"/>
    <xf numFmtId="166" fontId="4" fillId="0" borderId="0" xfId="8" applyNumberFormat="1" applyFont="1" applyFill="1"/>
    <xf numFmtId="41" fontId="4" fillId="0" borderId="8" xfId="12" applyNumberFormat="1" applyFont="1" applyBorder="1"/>
    <xf numFmtId="41" fontId="4" fillId="0" borderId="0" xfId="12" applyNumberFormat="1" applyFont="1" applyFill="1" applyBorder="1"/>
    <xf numFmtId="41" fontId="18" fillId="0" borderId="8" xfId="0" applyNumberFormat="1" applyFont="1" applyFill="1" applyBorder="1"/>
    <xf numFmtId="42" fontId="4" fillId="0" borderId="9" xfId="12" applyNumberFormat="1" applyFont="1" applyBorder="1"/>
    <xf numFmtId="42" fontId="4" fillId="0" borderId="9" xfId="12" applyNumberFormat="1" applyFont="1" applyFill="1" applyBorder="1"/>
    <xf numFmtId="41" fontId="4" fillId="0" borderId="10" xfId="12" applyNumberFormat="1" applyFont="1" applyBorder="1"/>
    <xf numFmtId="41" fontId="4" fillId="0" borderId="10" xfId="12" applyNumberFormat="1" applyFont="1" applyFill="1" applyBorder="1"/>
    <xf numFmtId="41" fontId="4" fillId="0" borderId="0" xfId="10" applyNumberFormat="1" applyFont="1" applyFill="1" applyBorder="1"/>
    <xf numFmtId="0" fontId="6" fillId="0" borderId="0" xfId="7" applyFont="1" applyFill="1"/>
    <xf numFmtId="42" fontId="11" fillId="0" borderId="9" xfId="12" applyNumberFormat="1" applyFont="1" applyBorder="1"/>
    <xf numFmtId="42" fontId="11" fillId="0" borderId="9" xfId="12" applyNumberFormat="1" applyFont="1" applyFill="1" applyBorder="1"/>
    <xf numFmtId="3" fontId="4" fillId="0" borderId="0" xfId="12" applyNumberFormat="1" applyFont="1" applyFill="1"/>
    <xf numFmtId="41" fontId="4" fillId="0" borderId="8" xfId="11" applyNumberFormat="1" applyFont="1" applyFill="1" applyBorder="1"/>
    <xf numFmtId="41" fontId="4" fillId="0" borderId="0" xfId="11" applyNumberFormat="1" applyFont="1" applyFill="1" applyBorder="1"/>
    <xf numFmtId="3" fontId="4" fillId="0" borderId="0" xfId="11" applyNumberFormat="1" applyFont="1"/>
    <xf numFmtId="3" fontId="4" fillId="0" borderId="0" xfId="11" applyNumberFormat="1" applyFont="1" applyFill="1"/>
    <xf numFmtId="3" fontId="4" fillId="0" borderId="0" xfId="11" applyNumberFormat="1" applyFont="1" applyFill="1" applyBorder="1"/>
    <xf numFmtId="3" fontId="4" fillId="0" borderId="0" xfId="12" applyNumberFormat="1" applyFont="1" applyFill="1" applyBorder="1"/>
    <xf numFmtId="41" fontId="3" fillId="0" borderId="0" xfId="2" applyNumberFormat="1" applyFont="1"/>
    <xf numFmtId="41" fontId="5" fillId="0" borderId="0" xfId="4" applyNumberFormat="1" applyFont="1" applyAlignment="1">
      <alignment horizontal="left"/>
    </xf>
    <xf numFmtId="41" fontId="5" fillId="0" borderId="0" xfId="4" quotePrefix="1" applyNumberFormat="1" applyFont="1" applyAlignment="1">
      <alignment horizontal="center"/>
    </xf>
    <xf numFmtId="2" fontId="5" fillId="0" borderId="0" xfId="5" applyNumberFormat="1" applyFont="1" applyAlignment="1" applyProtection="1">
      <alignment horizontal="center"/>
    </xf>
    <xf numFmtId="5" fontId="3" fillId="0" borderId="0" xfId="6" applyNumberFormat="1" applyFont="1"/>
    <xf numFmtId="41" fontId="3" fillId="0" borderId="8" xfId="2" applyNumberFormat="1" applyFont="1" applyBorder="1"/>
    <xf numFmtId="164" fontId="3" fillId="0" borderId="0" xfId="24" applyNumberFormat="1" applyFont="1" applyBorder="1"/>
    <xf numFmtId="41" fontId="5" fillId="3" borderId="1" xfId="2" applyNumberFormat="1" applyFont="1" applyFill="1" applyBorder="1" applyAlignment="1">
      <alignment horizontal="center"/>
    </xf>
    <xf numFmtId="41" fontId="5" fillId="3" borderId="4" xfId="2" applyNumberFormat="1" applyFont="1" applyFill="1" applyBorder="1" applyAlignment="1">
      <alignment horizontal="center"/>
    </xf>
    <xf numFmtId="41" fontId="5" fillId="3" borderId="6" xfId="2" applyNumberFormat="1" applyFont="1" applyFill="1" applyBorder="1" applyAlignment="1">
      <alignment horizontal="center"/>
    </xf>
    <xf numFmtId="2" fontId="5" fillId="3" borderId="0" xfId="5" applyNumberFormat="1" applyFont="1" applyFill="1" applyAlignment="1" applyProtection="1">
      <alignment horizontal="center"/>
    </xf>
    <xf numFmtId="41" fontId="3" fillId="0" borderId="0" xfId="2" applyNumberFormat="1" applyFont="1" applyFill="1"/>
    <xf numFmtId="3" fontId="3" fillId="0" borderId="0" xfId="12" applyNumberFormat="1" applyFont="1"/>
    <xf numFmtId="41" fontId="5" fillId="0" borderId="0" xfId="27" applyNumberFormat="1" applyFont="1" applyAlignment="1">
      <alignment horizontal="left"/>
    </xf>
    <xf numFmtId="3" fontId="19" fillId="0" borderId="0" xfId="12" applyNumberFormat="1" applyFont="1" applyAlignment="1">
      <alignment horizontal="center"/>
    </xf>
    <xf numFmtId="3" fontId="5" fillId="0" borderId="0" xfId="12" applyNumberFormat="1" applyFont="1" applyAlignment="1">
      <alignment horizontal="center"/>
    </xf>
    <xf numFmtId="42" fontId="3" fillId="0" borderId="0" xfId="10" applyNumberFormat="1" applyFont="1"/>
    <xf numFmtId="41" fontId="3" fillId="0" borderId="0" xfId="10" applyNumberFormat="1" applyFont="1"/>
    <xf numFmtId="41" fontId="3" fillId="0" borderId="8" xfId="10" applyNumberFormat="1" applyFont="1" applyBorder="1"/>
    <xf numFmtId="41" fontId="3" fillId="0" borderId="0" xfId="12" applyNumberFormat="1" applyFont="1"/>
    <xf numFmtId="166" fontId="3" fillId="0" borderId="0" xfId="8" applyNumberFormat="1" applyFont="1" applyFill="1"/>
    <xf numFmtId="41" fontId="3" fillId="0" borderId="8" xfId="12" applyNumberFormat="1" applyFont="1" applyBorder="1"/>
    <xf numFmtId="42" fontId="3" fillId="0" borderId="9" xfId="12" applyNumberFormat="1" applyFont="1" applyBorder="1"/>
    <xf numFmtId="41" fontId="3" fillId="0" borderId="10" xfId="12" applyNumberFormat="1" applyFont="1" applyBorder="1"/>
    <xf numFmtId="42" fontId="5" fillId="0" borderId="9" xfId="12" applyNumberFormat="1" applyFont="1" applyBorder="1"/>
    <xf numFmtId="3" fontId="3" fillId="0" borderId="0" xfId="11" applyNumberFormat="1" applyFont="1"/>
    <xf numFmtId="42" fontId="18" fillId="0" borderId="0" xfId="0" applyNumberFormat="1" applyFont="1" applyBorder="1"/>
    <xf numFmtId="3" fontId="3" fillId="0" borderId="0" xfId="12" applyNumberFormat="1" applyFont="1" applyFill="1"/>
    <xf numFmtId="4" fontId="5" fillId="0" borderId="0" xfId="12" applyNumberFormat="1" applyFont="1" applyFill="1" applyAlignment="1">
      <alignment horizontal="center"/>
    </xf>
    <xf numFmtId="41" fontId="5" fillId="0" borderId="11" xfId="25" applyNumberFormat="1" applyFont="1" applyFill="1" applyBorder="1" applyAlignment="1">
      <alignment horizontal="center"/>
    </xf>
    <xf numFmtId="41" fontId="5" fillId="0" borderId="12" xfId="25" applyNumberFormat="1" applyFont="1" applyFill="1" applyBorder="1" applyAlignment="1">
      <alignment horizontal="center"/>
    </xf>
    <xf numFmtId="41" fontId="11" fillId="3" borderId="15" xfId="2" applyNumberFormat="1" applyFont="1" applyFill="1" applyBorder="1" applyAlignment="1">
      <alignment horizontal="center"/>
    </xf>
    <xf numFmtId="41" fontId="11" fillId="3" borderId="16" xfId="2" applyNumberFormat="1" applyFont="1" applyFill="1" applyBorder="1" applyAlignment="1">
      <alignment horizontal="center"/>
    </xf>
    <xf numFmtId="41" fontId="11" fillId="3" borderId="17" xfId="2" applyNumberFormat="1" applyFont="1" applyFill="1" applyBorder="1" applyAlignment="1">
      <alignment horizontal="center"/>
    </xf>
    <xf numFmtId="41" fontId="5" fillId="3" borderId="18" xfId="25" applyNumberFormat="1" applyFont="1" applyFill="1" applyBorder="1" applyAlignment="1">
      <alignment horizontal="center"/>
    </xf>
    <xf numFmtId="41" fontId="5" fillId="3" borderId="19" xfId="25" applyNumberFormat="1" applyFont="1" applyFill="1" applyBorder="1" applyAlignment="1">
      <alignment horizontal="center"/>
    </xf>
    <xf numFmtId="41" fontId="5" fillId="3" borderId="20" xfId="25" applyNumberFormat="1" applyFont="1" applyFill="1" applyBorder="1" applyAlignment="1">
      <alignment horizontal="center"/>
    </xf>
    <xf numFmtId="4" fontId="5" fillId="3" borderId="0" xfId="12" applyNumberFormat="1" applyFont="1" applyFill="1" applyAlignment="1">
      <alignment horizontal="center"/>
    </xf>
    <xf numFmtId="3" fontId="5" fillId="3" borderId="0" xfId="12" applyNumberFormat="1" applyFont="1" applyFill="1" applyAlignment="1">
      <alignment horizontal="center"/>
    </xf>
    <xf numFmtId="41" fontId="11" fillId="0" borderId="1" xfId="2" applyNumberFormat="1" applyFont="1" applyFill="1" applyBorder="1" applyAlignment="1">
      <alignment horizontal="center"/>
    </xf>
    <xf numFmtId="41" fontId="11" fillId="0" borderId="4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2" fontId="11" fillId="0" borderId="0" xfId="5" applyNumberFormat="1" applyFont="1" applyFill="1" applyAlignment="1" applyProtection="1">
      <alignment horizontal="center"/>
    </xf>
    <xf numFmtId="41" fontId="3" fillId="0" borderId="0" xfId="25" applyNumberFormat="1" applyFont="1" applyFill="1"/>
    <xf numFmtId="166" fontId="0" fillId="0" borderId="0" xfId="28" applyNumberFormat="1" applyFont="1" applyFill="1"/>
    <xf numFmtId="166" fontId="0" fillId="0" borderId="8" xfId="28" applyNumberFormat="1" applyFont="1" applyFill="1" applyBorder="1"/>
    <xf numFmtId="41" fontId="3" fillId="0" borderId="0" xfId="4" applyNumberFormat="1" applyFont="1"/>
    <xf numFmtId="41" fontId="3" fillId="0" borderId="0" xfId="6" applyNumberFormat="1" applyFont="1"/>
  </cellXfs>
  <cellStyles count="29">
    <cellStyle name="Comma" xfId="28" builtinId="3"/>
    <cellStyle name="Comma 2" xfId="26" xr:uid="{CF1D4FDF-8F32-4CA1-8F3E-253F60FD1D1E}"/>
    <cellStyle name="Comma 3" xfId="8" xr:uid="{7785FB63-7B43-48C2-BBF4-44F49968A247}"/>
    <cellStyle name="Currency 2" xfId="19" xr:uid="{82E4A1F2-ED96-40B4-AB04-96C8E29B2F9F}"/>
    <cellStyle name="Currency 3" xfId="9" xr:uid="{129DFA95-27EF-4889-8494-7649B4E9DEC2}"/>
    <cellStyle name="Followed Hyperlink" xfId="5" builtinId="9"/>
    <cellStyle name="Followed Hyperlink 2" xfId="16" xr:uid="{AFC2357E-012B-4E20-B712-94DA00B8979B}"/>
    <cellStyle name="Followed Hyperlink 3" xfId="15" xr:uid="{94313899-FBA6-451C-8F71-EA2E18EE4937}"/>
    <cellStyle name="Hyperlink" xfId="14" builtinId="8" customBuiltin="1"/>
    <cellStyle name="Hyperlink 2" xfId="17" xr:uid="{6EA88EAB-467C-4CFA-8114-F2A713E7483A}"/>
    <cellStyle name="Manual-Input" xfId="20" xr:uid="{EF104783-B456-4625-BACF-DA9574C34F60}"/>
    <cellStyle name="Normal" xfId="0" builtinId="0"/>
    <cellStyle name="Normal 2" xfId="21" xr:uid="{9AC1C35A-9B08-42F8-B7B9-686EDAD7CD2A}"/>
    <cellStyle name="Normal 2 2" xfId="22" xr:uid="{5D554A5A-EACA-43DC-8221-097039F5B0BA}"/>
    <cellStyle name="Normal 2 3" xfId="23" xr:uid="{6CC96FE8-8167-4369-AF99-A7CF15276305}"/>
    <cellStyle name="Normal 3" xfId="7" xr:uid="{7E2DD2DF-7B43-44CF-BE0F-D6E3622068DF}"/>
    <cellStyle name="Normal 6" xfId="18" xr:uid="{D0FEA392-B284-4FA4-B114-F4A001C721B9}"/>
    <cellStyle name="Normal_DFIT-WaEle_SUM" xfId="3" xr:uid="{058A8AE1-CD42-4EF7-9EFB-DD1268207134}"/>
    <cellStyle name="Normal_IDGas6_97" xfId="6" xr:uid="{6FAEDBDC-09F5-428E-83C8-3289B8823A6D}"/>
    <cellStyle name="Normal_IDGas6_97 2" xfId="10" xr:uid="{CC50A03B-FFD4-436F-97E8-7149B9C01DCD}"/>
    <cellStyle name="Normal_WAElec6_97" xfId="2" xr:uid="{13955D2D-FC68-4A77-A66E-60CE3E59BE2E}"/>
    <cellStyle name="Normal_WAElec6_97 2" xfId="25" xr:uid="{A7776D9B-989F-47C3-8C76-5A815939042F}"/>
    <cellStyle name="Normal_WAElec6_97 3" xfId="11" xr:uid="{4117D867-859F-43E4-9000-A44D6BC36CFC}"/>
    <cellStyle name="Normal_WAGas6_97" xfId="4" xr:uid="{BA0FC34F-9B73-4706-9114-59AF39801AD4}"/>
    <cellStyle name="Normal_WAGas6_97 2" xfId="27" xr:uid="{782D69F1-DF8A-42BF-9FB9-F6E9366A129B}"/>
    <cellStyle name="Normal_WAGas6_97 3" xfId="12" xr:uid="{A2AD1D0D-F2CC-4663-B632-F28646EDC328}"/>
    <cellStyle name="Percent" xfId="1" builtinId="5"/>
    <cellStyle name="Percent 2" xfId="24" xr:uid="{4C898D60-6DA6-428E-815A-5ED2647E43B7}"/>
    <cellStyle name="Percent 3" xfId="13" xr:uid="{DCBFA664-956A-4EAC-9BCF-A482B2CBBC43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y_white_utc_wa_gov/Documents/Energy/Avista%202020%20GRC%20200900%2001/Exhibits/Exh.%20AIW-3%20Avista's%20Response%20to%20UTC%20Staff-DR-107%20Supplemental%202%20-%203.16-Attachment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y_white_utc_wa_gov/Documents/Energy/Avista%202020%20GRC%20200900%2001/Exhibits/Exh.%20AIW-5,%20Avista's%20Response%20to%20UTC%20Staff-DR-107%20Supplemental%202%20-%203.16-Attachment%20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y_white_utc_wa_gov/Documents/Energy/Avista%202020%20GRC%20200900%2001/Exhibits/Exh.%20AIW-4%20Avista's%20Response%20to%20UTC%20Staff-DR-107%20Supplemental%202%20-%203.16-Attachment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y_white_utc_wa_gov/Documents/Energy/Avista%202020%20GRC%20200900%2001/Staff/Staff%20Copy%20of%20%20Staff-DR-107%20Supplemental%202%20-%203.16-Attachmen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justment"/>
      <sheetName val="AMI"/>
      <sheetName val="Amortization"/>
      <sheetName val="Electric-Old meter deferral"/>
      <sheetName val="Gas-Old meter deferral"/>
      <sheetName val="Old Meters"/>
      <sheetName val="Deprec Ex ADJ by Func"/>
    </sheetNames>
    <sheetDataSet>
      <sheetData sheetId="0"/>
      <sheetData sheetId="1">
        <row r="19">
          <cell r="B19">
            <v>53154880.75</v>
          </cell>
          <cell r="C19">
            <v>15576039.609999999</v>
          </cell>
        </row>
        <row r="24">
          <cell r="B24">
            <v>-14329979.960000001</v>
          </cell>
          <cell r="C24">
            <v>-4221722.7</v>
          </cell>
        </row>
        <row r="33">
          <cell r="B33">
            <v>-736925</v>
          </cell>
          <cell r="C33">
            <v>-160830</v>
          </cell>
        </row>
        <row r="42">
          <cell r="B42">
            <v>10133870.259090908</v>
          </cell>
        </row>
      </sheetData>
      <sheetData sheetId="2">
        <row r="32">
          <cell r="L32">
            <v>5267726.5995833334</v>
          </cell>
        </row>
        <row r="33">
          <cell r="C33">
            <v>-2631818.6745833331</v>
          </cell>
          <cell r="L33">
            <v>-867206.7150000002</v>
          </cell>
        </row>
      </sheetData>
      <sheetData sheetId="3"/>
      <sheetData sheetId="4"/>
      <sheetData sheetId="5"/>
      <sheetData sheetId="6"/>
      <sheetData sheetId="7">
        <row r="8">
          <cell r="F8">
            <v>2606892</v>
          </cell>
        </row>
        <row r="9">
          <cell r="F9">
            <v>456458</v>
          </cell>
        </row>
        <row r="14">
          <cell r="F14">
            <v>937156</v>
          </cell>
        </row>
        <row r="15">
          <cell r="F15">
            <v>75005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"/>
      <sheetName val="Revenue Requirement Reductions"/>
      <sheetName val="Updates"/>
      <sheetName val="Summary_RealizationSchedule"/>
      <sheetName val="Eliminate Regular Meter Reading"/>
      <sheetName val="Reduce Special Meter Reading"/>
      <sheetName val="Net Metering"/>
      <sheetName val="Customer Meter Base Repairs"/>
      <sheetName val="Natural Gas Meter Module Refres"/>
      <sheetName val="Meter Salvage Value"/>
      <sheetName val="Local Economy Jobs"/>
      <sheetName val="Open Close Transfer"/>
      <sheetName val="Credit Collections Connections"/>
      <sheetName val="After-Hours Fees"/>
      <sheetName val="Earlier Outage Notification"/>
      <sheetName val="More Rapid Restoration"/>
      <sheetName val="Reduced Customer Calls"/>
      <sheetName val="Avoided Single Lights Out"/>
      <sheetName val="Reduced Major Storms Cost"/>
      <sheetName val="Conservation Voltage Reduction"/>
      <sheetName val="Customer Energy Efficiency"/>
      <sheetName val="Behavioral Energy Efficiency "/>
      <sheetName val="Grid-Interactive Efficient Bldg"/>
      <sheetName val="Theft and Diversion"/>
      <sheetName val="Unbilled Usage"/>
      <sheetName val="Slow Failed Meters"/>
      <sheetName val="Stopped Meters"/>
      <sheetName val="Loss of Phase"/>
      <sheetName val="Estimated Bills"/>
      <sheetName val="Bill Inquiries"/>
      <sheetName val="Billing Analysis"/>
      <sheetName val="Rebilling"/>
      <sheetName val="Retail Load Analysis"/>
      <sheetName val="Meter Sampling"/>
      <sheetName val="ESRI_MAPINFO_SHEET"/>
    </sheetNames>
    <sheetDataSet>
      <sheetData sheetId="0">
        <row r="13">
          <cell r="H13">
            <v>2832766.4716307046</v>
          </cell>
        </row>
        <row r="14">
          <cell r="H14">
            <v>944255.49054356827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DJ-E"/>
      <sheetName val="Summary-Cost-E"/>
      <sheetName val="Summary-AD E"/>
      <sheetName val="ADJ-G"/>
      <sheetName val="Summary-Cost-G"/>
      <sheetName val="Summary-AD G"/>
      <sheetName val="Do NOT Print"/>
      <sheetName val="Cost Pivot"/>
      <sheetName val="Cost"/>
      <sheetName val="AD Pivot"/>
      <sheetName val="AD"/>
      <sheetName val="AF"/>
      <sheetName val="Func"/>
    </sheetNames>
    <sheetDataSet>
      <sheetData sheetId="0"/>
      <sheetData sheetId="1">
        <row r="6">
          <cell r="O6">
            <v>58180981.940897502</v>
          </cell>
        </row>
        <row r="7">
          <cell r="O7">
            <v>12781799.544080401</v>
          </cell>
        </row>
        <row r="8">
          <cell r="O8">
            <v>29981695.296652794</v>
          </cell>
        </row>
        <row r="11">
          <cell r="O11">
            <v>-9462954.14403175</v>
          </cell>
        </row>
        <row r="12">
          <cell r="O12">
            <v>-4706912.4794633454</v>
          </cell>
        </row>
        <row r="13">
          <cell r="O13">
            <v>-16280654.770729756</v>
          </cell>
        </row>
      </sheetData>
      <sheetData sheetId="2"/>
      <sheetData sheetId="3"/>
      <sheetData sheetId="4">
        <row r="6">
          <cell r="O6">
            <v>23981201.222936299</v>
          </cell>
        </row>
        <row r="7">
          <cell r="O7">
            <v>3558665.0264991</v>
          </cell>
        </row>
        <row r="8">
          <cell r="O8">
            <v>8630821.5451287981</v>
          </cell>
        </row>
        <row r="11">
          <cell r="O11">
            <v>-4098032.3530974328</v>
          </cell>
        </row>
        <row r="12">
          <cell r="O12">
            <v>-1318285.9439363449</v>
          </cell>
        </row>
        <row r="13">
          <cell r="O13">
            <v>-4624462.6951193567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justment"/>
      <sheetName val="AMI"/>
      <sheetName val="Amortization"/>
      <sheetName val="Electric-Old meter deferral"/>
      <sheetName val="Gas-Old meter deferral"/>
      <sheetName val="Old Meters"/>
      <sheetName val="Deprec Ex ADJ by Func"/>
    </sheetNames>
    <sheetDataSet>
      <sheetData sheetId="0"/>
      <sheetData sheetId="1">
        <row r="3">
          <cell r="B3">
            <v>-24366497.947500002</v>
          </cell>
        </row>
        <row r="42">
          <cell r="C42">
            <v>3491446.6691608382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561C-E5BA-410B-8563-FEAEB5B915FA}">
  <dimension ref="A1:M103"/>
  <sheetViews>
    <sheetView tabSelected="1" topLeftCell="A66" zoomScale="55" zoomScaleNormal="55" workbookViewId="0">
      <selection activeCell="G96" sqref="G96"/>
    </sheetView>
  </sheetViews>
  <sheetFormatPr defaultRowHeight="14"/>
  <cols>
    <col min="1" max="1" width="5" style="1" customWidth="1"/>
    <col min="2" max="3" width="1.69921875" style="2" customWidth="1"/>
    <col min="4" max="4" width="39" style="2" customWidth="1"/>
    <col min="5" max="5" width="13.8984375" style="2" customWidth="1"/>
    <col min="6" max="6" width="7.8984375" style="2" bestFit="1" customWidth="1"/>
    <col min="7" max="7" width="14.8984375" style="82" customWidth="1"/>
    <col min="8" max="8" width="19.8984375" style="153" bestFit="1" customWidth="1"/>
    <col min="9" max="9" width="5" style="82" customWidth="1"/>
    <col min="10" max="10" width="14.8984375" style="82" customWidth="1"/>
    <col min="11" max="11" width="8.796875" style="83"/>
    <col min="12" max="12" width="12.296875" style="83" customWidth="1"/>
    <col min="13" max="16384" width="8.796875" style="78"/>
  </cols>
  <sheetData>
    <row r="1" spans="1:12">
      <c r="D1" s="78"/>
      <c r="E1" s="78"/>
      <c r="F1" s="78"/>
    </row>
    <row r="2" spans="1:12">
      <c r="A2" s="3" t="s">
        <v>0</v>
      </c>
      <c r="D2" s="1"/>
      <c r="E2" s="1"/>
      <c r="F2" s="1"/>
    </row>
    <row r="3" spans="1:12">
      <c r="A3" s="3" t="s">
        <v>126</v>
      </c>
      <c r="D3" s="1"/>
      <c r="E3" s="1"/>
      <c r="F3" s="1"/>
      <c r="G3" s="84"/>
      <c r="H3" s="154"/>
      <c r="I3" s="84"/>
      <c r="J3" s="84"/>
    </row>
    <row r="4" spans="1:12">
      <c r="A4" s="3" t="s">
        <v>1</v>
      </c>
      <c r="D4" s="1"/>
      <c r="E4" s="1"/>
      <c r="F4" s="1"/>
      <c r="G4" s="84"/>
      <c r="H4" s="154"/>
      <c r="I4" s="84"/>
      <c r="J4" s="84"/>
    </row>
    <row r="5" spans="1:12">
      <c r="A5" s="3" t="s">
        <v>2</v>
      </c>
      <c r="D5" s="1"/>
      <c r="E5" s="1"/>
      <c r="F5" s="1"/>
      <c r="G5" s="84"/>
      <c r="H5" s="154"/>
      <c r="I5" s="84"/>
      <c r="J5" s="84"/>
    </row>
    <row r="6" spans="1:12">
      <c r="A6" s="4"/>
      <c r="B6" s="5"/>
      <c r="C6" s="5"/>
      <c r="D6" s="5"/>
      <c r="E6" s="5"/>
      <c r="F6" s="5"/>
      <c r="G6" s="85" t="s">
        <v>117</v>
      </c>
      <c r="H6" s="155" t="s">
        <v>127</v>
      </c>
      <c r="I6" s="85"/>
      <c r="J6" s="85" t="s">
        <v>64</v>
      </c>
    </row>
    <row r="7" spans="1:12">
      <c r="A7" s="6"/>
      <c r="B7" s="7"/>
      <c r="C7" s="8"/>
      <c r="D7" s="8"/>
      <c r="E7" s="8"/>
      <c r="F7" s="8"/>
      <c r="G7" s="86" t="s">
        <v>60</v>
      </c>
      <c r="H7" s="160" t="s">
        <v>60</v>
      </c>
      <c r="I7" s="192"/>
      <c r="J7" s="86" t="s">
        <v>60</v>
      </c>
    </row>
    <row r="8" spans="1:12">
      <c r="A8" s="9" t="s">
        <v>3</v>
      </c>
      <c r="B8" s="10"/>
      <c r="C8" s="5"/>
      <c r="D8" s="5"/>
      <c r="E8" s="5"/>
      <c r="F8" s="5"/>
      <c r="G8" s="87" t="s">
        <v>61</v>
      </c>
      <c r="H8" s="161" t="s">
        <v>61</v>
      </c>
      <c r="I8" s="193"/>
      <c r="J8" s="87" t="s">
        <v>61</v>
      </c>
      <c r="L8" s="88" t="s">
        <v>124</v>
      </c>
    </row>
    <row r="9" spans="1:12">
      <c r="A9" s="11" t="s">
        <v>4</v>
      </c>
      <c r="B9" s="12"/>
      <c r="C9" s="13"/>
      <c r="D9" s="13" t="s">
        <v>5</v>
      </c>
      <c r="E9" s="13"/>
      <c r="F9" s="13"/>
      <c r="G9" s="89" t="s">
        <v>62</v>
      </c>
      <c r="H9" s="162" t="s">
        <v>62</v>
      </c>
      <c r="I9" s="194"/>
      <c r="J9" s="89" t="s">
        <v>62</v>
      </c>
    </row>
    <row r="10" spans="1:12">
      <c r="A10" s="14"/>
      <c r="B10" s="15" t="s">
        <v>6</v>
      </c>
      <c r="C10" s="14"/>
      <c r="D10" s="14"/>
      <c r="E10" s="14"/>
      <c r="F10" s="14"/>
      <c r="G10" s="90">
        <v>3.16</v>
      </c>
      <c r="H10" s="163">
        <v>3.16</v>
      </c>
      <c r="I10" s="195"/>
      <c r="J10" s="90">
        <v>3.16</v>
      </c>
    </row>
    <row r="11" spans="1:12">
      <c r="A11" s="14"/>
      <c r="B11" s="15" t="s">
        <v>7</v>
      </c>
      <c r="C11" s="14"/>
      <c r="D11" s="14"/>
      <c r="E11" s="14"/>
      <c r="F11" s="14"/>
      <c r="G11" s="90" t="s">
        <v>63</v>
      </c>
      <c r="H11" s="163" t="s">
        <v>63</v>
      </c>
      <c r="I11" s="195"/>
      <c r="J11" s="90" t="s">
        <v>63</v>
      </c>
    </row>
    <row r="12" spans="1:12">
      <c r="A12" s="14"/>
      <c r="B12" s="15"/>
      <c r="C12" s="14"/>
      <c r="D12" s="14"/>
      <c r="E12" s="14"/>
      <c r="F12" s="14"/>
      <c r="G12" s="91"/>
      <c r="H12" s="156"/>
      <c r="I12" s="91"/>
      <c r="J12" s="91"/>
    </row>
    <row r="13" spans="1:12">
      <c r="B13" s="2" t="s">
        <v>8</v>
      </c>
    </row>
    <row r="14" spans="1:12">
      <c r="A14" s="16">
        <v>1</v>
      </c>
      <c r="B14" s="17" t="s">
        <v>9</v>
      </c>
      <c r="C14" s="17"/>
      <c r="D14" s="17"/>
      <c r="E14" s="17"/>
      <c r="F14" s="17"/>
      <c r="G14" s="92">
        <v>0</v>
      </c>
      <c r="H14" s="157">
        <v>0</v>
      </c>
      <c r="I14" s="92"/>
      <c r="J14" s="92">
        <v>0</v>
      </c>
    </row>
    <row r="15" spans="1:12">
      <c r="A15" s="16">
        <v>2</v>
      </c>
      <c r="B15" s="18" t="s">
        <v>10</v>
      </c>
      <c r="C15" s="18"/>
      <c r="D15" s="18"/>
      <c r="E15" s="18"/>
      <c r="F15" s="18"/>
      <c r="G15" s="82">
        <v>0</v>
      </c>
      <c r="H15" s="153">
        <v>0</v>
      </c>
      <c r="J15" s="82">
        <v>0</v>
      </c>
    </row>
    <row r="16" spans="1:12">
      <c r="A16" s="16">
        <v>3</v>
      </c>
      <c r="B16" s="18" t="s">
        <v>11</v>
      </c>
      <c r="C16" s="18"/>
      <c r="D16" s="18"/>
      <c r="E16" s="18"/>
      <c r="F16" s="18"/>
      <c r="G16" s="93">
        <v>0</v>
      </c>
      <c r="H16" s="158">
        <v>0</v>
      </c>
      <c r="I16" s="93"/>
      <c r="J16" s="93">
        <v>0</v>
      </c>
    </row>
    <row r="17" spans="1:13">
      <c r="A17" s="16">
        <v>4</v>
      </c>
      <c r="B17" s="18" t="s">
        <v>12</v>
      </c>
      <c r="C17" s="18"/>
      <c r="D17" s="18"/>
      <c r="E17" s="18"/>
      <c r="F17" s="18"/>
      <c r="G17" s="82">
        <f t="shared" ref="G17:H17" si="0">SUM(G14:G16)</f>
        <v>0</v>
      </c>
      <c r="H17" s="153">
        <f t="shared" si="0"/>
        <v>0</v>
      </c>
      <c r="J17" s="82">
        <f t="shared" ref="J17" si="1">SUM(J14:J16)</f>
        <v>0</v>
      </c>
    </row>
    <row r="18" spans="1:13">
      <c r="A18" s="16">
        <v>5</v>
      </c>
      <c r="B18" s="18" t="s">
        <v>13</v>
      </c>
      <c r="C18" s="18"/>
      <c r="D18" s="18"/>
      <c r="E18" s="18"/>
      <c r="F18" s="18"/>
      <c r="G18" s="93">
        <v>0</v>
      </c>
      <c r="H18" s="158">
        <v>0</v>
      </c>
      <c r="I18" s="93"/>
      <c r="J18" s="93">
        <v>0</v>
      </c>
    </row>
    <row r="19" spans="1:13">
      <c r="A19" s="16">
        <v>6</v>
      </c>
      <c r="B19" s="18" t="s">
        <v>14</v>
      </c>
      <c r="C19" s="18"/>
      <c r="D19" s="18"/>
      <c r="E19" s="18"/>
      <c r="F19" s="18"/>
      <c r="G19" s="82">
        <f t="shared" ref="G19:H19" si="2">SUM(G17:G18)</f>
        <v>0</v>
      </c>
      <c r="H19" s="153">
        <f t="shared" si="2"/>
        <v>0</v>
      </c>
      <c r="J19" s="82">
        <f t="shared" ref="J19" si="3">SUM(J17:J18)</f>
        <v>0</v>
      </c>
    </row>
    <row r="20" spans="1:13">
      <c r="A20" s="16"/>
      <c r="B20" s="18"/>
      <c r="C20" s="18"/>
      <c r="D20" s="18"/>
      <c r="E20" s="18"/>
      <c r="F20" s="18"/>
      <c r="J20" s="94"/>
    </row>
    <row r="21" spans="1:13">
      <c r="A21" s="16"/>
      <c r="B21" s="18" t="s">
        <v>15</v>
      </c>
      <c r="C21" s="18"/>
      <c r="D21" s="18"/>
      <c r="E21" s="18"/>
      <c r="F21" s="18"/>
      <c r="J21" s="94"/>
    </row>
    <row r="22" spans="1:13">
      <c r="A22" s="16"/>
      <c r="B22" s="18" t="s">
        <v>16</v>
      </c>
      <c r="C22" s="18"/>
      <c r="D22" s="18"/>
      <c r="E22" s="18"/>
      <c r="F22" s="18"/>
      <c r="J22" s="94"/>
    </row>
    <row r="23" spans="1:13">
      <c r="A23" s="16">
        <v>7</v>
      </c>
      <c r="B23" s="18"/>
      <c r="C23" s="18" t="s">
        <v>17</v>
      </c>
      <c r="D23" s="18"/>
      <c r="E23" s="18"/>
      <c r="F23" s="18"/>
      <c r="G23" s="82">
        <v>0</v>
      </c>
      <c r="H23" s="153">
        <v>0</v>
      </c>
      <c r="J23" s="94">
        <v>0</v>
      </c>
    </row>
    <row r="24" spans="1:13">
      <c r="A24" s="16">
        <v>8</v>
      </c>
      <c r="B24" s="18"/>
      <c r="C24" s="18" t="s">
        <v>18</v>
      </c>
      <c r="D24" s="18"/>
      <c r="E24" s="18"/>
      <c r="F24" s="18"/>
      <c r="G24" s="82">
        <v>0</v>
      </c>
      <c r="H24" s="153">
        <v>0</v>
      </c>
      <c r="J24" s="94">
        <v>0</v>
      </c>
    </row>
    <row r="25" spans="1:13">
      <c r="A25" s="16">
        <v>9</v>
      </c>
      <c r="B25" s="18"/>
      <c r="C25" s="18" t="s">
        <v>19</v>
      </c>
      <c r="D25" s="18"/>
      <c r="E25" s="18"/>
      <c r="F25" s="18"/>
      <c r="G25" s="82">
        <v>0</v>
      </c>
      <c r="H25" s="153">
        <v>0</v>
      </c>
      <c r="J25" s="94">
        <v>0</v>
      </c>
    </row>
    <row r="26" spans="1:13">
      <c r="A26" s="16">
        <v>10</v>
      </c>
      <c r="B26" s="18"/>
      <c r="C26" s="18" t="s">
        <v>20</v>
      </c>
      <c r="D26" s="18"/>
      <c r="E26" s="18"/>
      <c r="F26" s="18"/>
      <c r="G26" s="82">
        <v>0</v>
      </c>
      <c r="H26" s="153">
        <v>0</v>
      </c>
      <c r="J26" s="94">
        <v>0</v>
      </c>
    </row>
    <row r="27" spans="1:13">
      <c r="A27" s="16">
        <v>11</v>
      </c>
      <c r="B27" s="18"/>
      <c r="C27" s="18" t="s">
        <v>21</v>
      </c>
      <c r="D27" s="18"/>
      <c r="E27" s="18"/>
      <c r="F27" s="18"/>
      <c r="G27" s="93">
        <v>0</v>
      </c>
      <c r="H27" s="158">
        <v>0</v>
      </c>
      <c r="I27" s="93"/>
      <c r="J27" s="95">
        <v>0</v>
      </c>
    </row>
    <row r="28" spans="1:13">
      <c r="A28" s="16">
        <v>12</v>
      </c>
      <c r="B28" s="18" t="s">
        <v>22</v>
      </c>
      <c r="C28" s="18"/>
      <c r="D28" s="18"/>
      <c r="E28" s="18"/>
      <c r="F28" s="18"/>
      <c r="G28" s="82">
        <f t="shared" ref="G28:H28" si="4">SUM(G23:G27)</f>
        <v>0</v>
      </c>
      <c r="H28" s="153">
        <f t="shared" si="4"/>
        <v>0</v>
      </c>
      <c r="J28" s="94">
        <f t="shared" ref="J28" si="5">SUM(J23:J27)</f>
        <v>0</v>
      </c>
    </row>
    <row r="29" spans="1:13">
      <c r="A29" s="16"/>
      <c r="B29" s="18"/>
      <c r="C29" s="18"/>
      <c r="D29" s="18"/>
      <c r="E29" s="18"/>
      <c r="F29" s="18"/>
      <c r="J29" s="94"/>
      <c r="K29" s="96"/>
      <c r="L29" s="96"/>
      <c r="M29" s="80"/>
    </row>
    <row r="30" spans="1:13">
      <c r="A30" s="16"/>
      <c r="B30" s="18" t="s">
        <v>23</v>
      </c>
      <c r="C30" s="18"/>
      <c r="D30" s="18"/>
      <c r="E30" s="18"/>
      <c r="F30" s="18"/>
      <c r="J30" s="94"/>
      <c r="K30" s="96"/>
      <c r="L30" s="96"/>
      <c r="M30" s="80"/>
    </row>
    <row r="31" spans="1:13">
      <c r="A31" s="16">
        <v>13</v>
      </c>
      <c r="B31" s="18"/>
      <c r="C31" s="18" t="s">
        <v>17</v>
      </c>
      <c r="D31" s="18"/>
      <c r="E31" s="18"/>
      <c r="F31" s="18"/>
      <c r="J31" s="94"/>
      <c r="K31" s="96"/>
      <c r="L31" s="96"/>
      <c r="M31" s="80"/>
    </row>
    <row r="32" spans="1:13">
      <c r="A32" s="16">
        <v>14</v>
      </c>
      <c r="B32" s="18"/>
      <c r="C32" s="18" t="s">
        <v>24</v>
      </c>
      <c r="D32" s="18"/>
      <c r="E32" s="18"/>
      <c r="F32" s="18"/>
      <c r="G32" s="82">
        <f>2671-737</f>
        <v>1934</v>
      </c>
      <c r="H32" s="82">
        <f>2607-737</f>
        <v>1870</v>
      </c>
      <c r="J32" s="197">
        <f>+'[1]Deprec Ex ADJ by Func'!$F$8/1000+[1]Adjustment!$B$33/1000</f>
        <v>1869.9669999999999</v>
      </c>
      <c r="K32" s="96"/>
      <c r="L32" s="97">
        <f>+J32-H32</f>
        <v>-3.3000000000129148E-2</v>
      </c>
      <c r="M32" s="80"/>
    </row>
    <row r="33" spans="1:13">
      <c r="A33" s="16"/>
      <c r="B33" s="18"/>
      <c r="C33" s="18" t="s">
        <v>20</v>
      </c>
      <c r="D33" s="18"/>
      <c r="E33" s="18"/>
      <c r="F33" s="18"/>
      <c r="H33" s="82"/>
      <c r="J33" s="94"/>
      <c r="K33" s="96"/>
      <c r="L33" s="96"/>
      <c r="M33" s="80"/>
    </row>
    <row r="34" spans="1:13">
      <c r="A34" s="16">
        <v>15</v>
      </c>
      <c r="B34" s="18"/>
      <c r="C34" s="18" t="s">
        <v>21</v>
      </c>
      <c r="D34" s="18"/>
      <c r="E34" s="18"/>
      <c r="F34" s="18"/>
      <c r="G34" s="93">
        <v>0</v>
      </c>
      <c r="H34" s="93">
        <v>0</v>
      </c>
      <c r="I34" s="93"/>
      <c r="J34" s="95">
        <v>0</v>
      </c>
      <c r="K34" s="96"/>
      <c r="L34" s="98"/>
      <c r="M34" s="80"/>
    </row>
    <row r="35" spans="1:13">
      <c r="A35" s="16">
        <v>16</v>
      </c>
      <c r="B35" s="18" t="s">
        <v>25</v>
      </c>
      <c r="C35" s="18"/>
      <c r="D35" s="18"/>
      <c r="E35" s="18"/>
      <c r="F35" s="18"/>
      <c r="G35" s="82">
        <f t="shared" ref="G35" si="6">SUM(G31:G34)</f>
        <v>1934</v>
      </c>
      <c r="H35" s="82">
        <f t="shared" ref="H35" si="7">SUM(H31:H34)</f>
        <v>1870</v>
      </c>
      <c r="J35" s="94">
        <f t="shared" ref="J35:L35" si="8">SUM(J31:J34)</f>
        <v>1869.9669999999999</v>
      </c>
      <c r="K35" s="96"/>
      <c r="L35" s="94">
        <f t="shared" si="8"/>
        <v>-3.3000000000129148E-2</v>
      </c>
      <c r="M35" s="80"/>
    </row>
    <row r="36" spans="1:13">
      <c r="A36" s="18"/>
      <c r="B36" s="18"/>
      <c r="C36" s="18"/>
      <c r="D36" s="18"/>
      <c r="E36" s="18"/>
      <c r="F36" s="18"/>
      <c r="H36" s="82"/>
      <c r="J36" s="94"/>
      <c r="K36" s="96"/>
      <c r="L36" s="96"/>
      <c r="M36" s="80"/>
    </row>
    <row r="37" spans="1:13">
      <c r="A37" s="16">
        <v>17</v>
      </c>
      <c r="B37" s="18" t="s">
        <v>26</v>
      </c>
      <c r="C37" s="18"/>
      <c r="D37" s="18"/>
      <c r="E37" s="18"/>
      <c r="F37" s="18"/>
      <c r="G37" s="82">
        <v>0</v>
      </c>
      <c r="H37" s="82">
        <v>0</v>
      </c>
      <c r="J37" s="94">
        <v>0</v>
      </c>
      <c r="K37" s="96"/>
      <c r="L37" s="96"/>
      <c r="M37" s="80"/>
    </row>
    <row r="38" spans="1:13">
      <c r="A38" s="16">
        <v>18</v>
      </c>
      <c r="B38" s="18" t="s">
        <v>27</v>
      </c>
      <c r="C38" s="18"/>
      <c r="D38" s="18"/>
      <c r="E38" s="18"/>
      <c r="F38" s="18"/>
      <c r="G38" s="82">
        <v>0</v>
      </c>
      <c r="H38" s="82">
        <v>0</v>
      </c>
      <c r="J38" s="94">
        <v>0</v>
      </c>
      <c r="K38" s="96"/>
      <c r="L38" s="96"/>
      <c r="M38" s="80"/>
    </row>
    <row r="39" spans="1:13">
      <c r="A39" s="16">
        <v>19</v>
      </c>
      <c r="B39" s="18" t="s">
        <v>28</v>
      </c>
      <c r="C39" s="18"/>
      <c r="D39" s="18"/>
      <c r="E39" s="18"/>
      <c r="F39" s="18"/>
      <c r="G39" s="82">
        <v>0</v>
      </c>
      <c r="H39" s="82">
        <v>0</v>
      </c>
      <c r="J39" s="94">
        <v>0</v>
      </c>
      <c r="K39" s="96"/>
      <c r="L39" s="96"/>
      <c r="M39" s="80"/>
    </row>
    <row r="40" spans="1:13">
      <c r="A40" s="16"/>
      <c r="B40" s="18"/>
      <c r="C40" s="18"/>
      <c r="D40" s="18"/>
      <c r="E40" s="18"/>
      <c r="F40" s="18"/>
      <c r="H40" s="82"/>
      <c r="J40" s="94"/>
      <c r="K40" s="96"/>
      <c r="L40" s="96"/>
      <c r="M40" s="80"/>
    </row>
    <row r="41" spans="1:13">
      <c r="A41" s="18"/>
      <c r="B41" s="18" t="s">
        <v>29</v>
      </c>
      <c r="C41" s="18"/>
      <c r="D41" s="18"/>
      <c r="E41" s="18"/>
      <c r="F41" s="18"/>
      <c r="H41" s="82"/>
      <c r="J41" s="94"/>
      <c r="K41" s="96"/>
      <c r="L41" s="96"/>
      <c r="M41" s="80"/>
    </row>
    <row r="42" spans="1:13">
      <c r="A42" s="16">
        <v>20</v>
      </c>
      <c r="B42" s="18"/>
      <c r="C42" s="18" t="s">
        <v>17</v>
      </c>
      <c r="D42" s="18"/>
      <c r="E42" s="18"/>
      <c r="F42" s="18"/>
      <c r="G42" s="82">
        <f>-3189+203</f>
        <v>-2986</v>
      </c>
      <c r="H42" s="82">
        <v>-2833</v>
      </c>
      <c r="J42" s="197">
        <f>-[2]Adjustment!$H$13/1000</f>
        <v>-2832.7664716307045</v>
      </c>
      <c r="K42" s="96"/>
      <c r="L42" s="97">
        <f>+J42-H42</f>
        <v>0.23352836929552723</v>
      </c>
      <c r="M42" s="80"/>
    </row>
    <row r="43" spans="1:13">
      <c r="A43" s="16">
        <v>21</v>
      </c>
      <c r="B43" s="18"/>
      <c r="C43" s="18" t="s">
        <v>24</v>
      </c>
      <c r="D43" s="18"/>
      <c r="E43" s="18"/>
      <c r="F43" s="18"/>
      <c r="G43" s="82">
        <v>581</v>
      </c>
      <c r="H43" s="82">
        <v>456</v>
      </c>
      <c r="J43" s="197">
        <f>+'[1]Deprec Ex ADJ by Func'!$F$9/1000</f>
        <v>456.45800000000003</v>
      </c>
      <c r="K43" s="96"/>
      <c r="L43" s="97">
        <f t="shared" ref="L43:L45" si="9">+J43-H43</f>
        <v>0.45800000000002683</v>
      </c>
      <c r="M43" s="81"/>
    </row>
    <row r="44" spans="1:13">
      <c r="A44" s="16">
        <v>22</v>
      </c>
      <c r="B44" s="18"/>
      <c r="C44" s="18" t="s">
        <v>30</v>
      </c>
      <c r="D44" s="18"/>
      <c r="E44" s="18"/>
      <c r="F44" s="18"/>
      <c r="G44" s="82">
        <v>10133</v>
      </c>
      <c r="H44" s="82">
        <v>10134</v>
      </c>
      <c r="J44" s="197">
        <f>+[1]Adjustment!$B$42/1000</f>
        <v>10133.870259090907</v>
      </c>
      <c r="K44" s="96"/>
      <c r="L44" s="97">
        <f t="shared" si="9"/>
        <v>-0.12974090909301594</v>
      </c>
      <c r="M44" s="80"/>
    </row>
    <row r="45" spans="1:13">
      <c r="A45" s="16">
        <v>23</v>
      </c>
      <c r="B45" s="18"/>
      <c r="C45" s="18" t="s">
        <v>21</v>
      </c>
      <c r="D45" s="18"/>
      <c r="E45" s="18"/>
      <c r="F45" s="18"/>
      <c r="G45" s="93">
        <v>0</v>
      </c>
      <c r="H45" s="93">
        <v>0</v>
      </c>
      <c r="I45" s="93"/>
      <c r="J45" s="95">
        <v>0</v>
      </c>
      <c r="K45" s="96"/>
      <c r="L45" s="97">
        <f t="shared" si="9"/>
        <v>0</v>
      </c>
      <c r="M45" s="80"/>
    </row>
    <row r="46" spans="1:13">
      <c r="A46" s="16">
        <v>24</v>
      </c>
      <c r="B46" s="18" t="s">
        <v>31</v>
      </c>
      <c r="C46" s="18"/>
      <c r="D46" s="18"/>
      <c r="E46" s="18"/>
      <c r="F46" s="18"/>
      <c r="G46" s="93">
        <f t="shared" ref="G46" si="10">SUM(G42:G45)</f>
        <v>7728</v>
      </c>
      <c r="H46" s="93">
        <f t="shared" ref="H46" si="11">SUM(H42:H45)</f>
        <v>7757</v>
      </c>
      <c r="I46" s="93"/>
      <c r="J46" s="95">
        <f t="shared" ref="J46" si="12">SUM(J42:J45)</f>
        <v>7757.561787460203</v>
      </c>
      <c r="K46" s="96"/>
      <c r="L46" s="99">
        <f>SUM(L42:L45)</f>
        <v>0.56178746020253811</v>
      </c>
      <c r="M46" s="80"/>
    </row>
    <row r="47" spans="1:13">
      <c r="A47" s="16">
        <v>25</v>
      </c>
      <c r="B47" s="18" t="s">
        <v>32</v>
      </c>
      <c r="C47" s="18"/>
      <c r="D47" s="18"/>
      <c r="E47" s="18"/>
      <c r="F47" s="18"/>
      <c r="G47" s="93">
        <f t="shared" ref="G47:H47" si="13">G46+G39+G38+G37+G35+G28</f>
        <v>9662</v>
      </c>
      <c r="H47" s="93">
        <f t="shared" si="13"/>
        <v>9627</v>
      </c>
      <c r="I47" s="93"/>
      <c r="J47" s="95">
        <f t="shared" ref="J47:L47" si="14">J46+J39+J38+J37+J35+J28</f>
        <v>9627.5287874602036</v>
      </c>
      <c r="K47" s="96"/>
      <c r="L47" s="95">
        <f t="shared" si="14"/>
        <v>0.52878746020240897</v>
      </c>
      <c r="M47" s="80"/>
    </row>
    <row r="48" spans="1:13">
      <c r="A48" s="18"/>
      <c r="B48" s="18"/>
      <c r="C48" s="18"/>
      <c r="D48" s="18"/>
      <c r="E48" s="18"/>
      <c r="F48" s="18"/>
      <c r="H48" s="82"/>
      <c r="J48" s="94"/>
      <c r="K48" s="96"/>
      <c r="L48" s="96"/>
      <c r="M48" s="80"/>
    </row>
    <row r="49" spans="1:13">
      <c r="A49" s="16">
        <v>26</v>
      </c>
      <c r="B49" s="18" t="s">
        <v>33</v>
      </c>
      <c r="C49" s="18"/>
      <c r="D49" s="18"/>
      <c r="E49" s="18"/>
      <c r="F49" s="18"/>
      <c r="G49" s="82">
        <f>G19-G47</f>
        <v>-9662</v>
      </c>
      <c r="H49" s="82">
        <f>H19-H47</f>
        <v>-9627</v>
      </c>
      <c r="J49" s="153">
        <f>J19-J47</f>
        <v>-9627.5287874602036</v>
      </c>
      <c r="K49" s="96"/>
      <c r="L49" s="97">
        <f t="shared" ref="L49" si="15">+J49-H49</f>
        <v>-0.52878746020360268</v>
      </c>
      <c r="M49" s="80"/>
    </row>
    <row r="50" spans="1:13">
      <c r="A50" s="16"/>
      <c r="B50" s="18"/>
      <c r="C50" s="18"/>
      <c r="D50" s="18"/>
      <c r="E50" s="18"/>
      <c r="F50" s="18"/>
      <c r="H50" s="82"/>
      <c r="J50" s="94"/>
      <c r="K50" s="96"/>
      <c r="L50" s="96"/>
      <c r="M50" s="80"/>
    </row>
    <row r="51" spans="1:13">
      <c r="A51" s="19"/>
      <c r="B51" s="18" t="s">
        <v>34</v>
      </c>
      <c r="C51" s="18"/>
      <c r="D51" s="18"/>
      <c r="E51" s="18"/>
      <c r="F51" s="18"/>
      <c r="H51" s="82"/>
      <c r="J51" s="94"/>
      <c r="K51" s="96"/>
      <c r="L51" s="96"/>
      <c r="M51" s="80"/>
    </row>
    <row r="52" spans="1:13">
      <c r="A52" s="16">
        <v>27</v>
      </c>
      <c r="B52" s="18" t="s">
        <v>35</v>
      </c>
      <c r="C52" s="18"/>
      <c r="D52" s="20"/>
      <c r="E52" s="20"/>
      <c r="F52" s="20"/>
      <c r="G52" s="82">
        <f>G49*0.21</f>
        <v>-2029.02</v>
      </c>
      <c r="H52" s="82">
        <f>H49*0.21</f>
        <v>-2021.6699999999998</v>
      </c>
      <c r="J52" s="153">
        <f>J49*0.21</f>
        <v>-2021.7810453666427</v>
      </c>
      <c r="K52" s="96"/>
      <c r="L52" s="97">
        <f>+J52-H52</f>
        <v>-0.11104536664288389</v>
      </c>
      <c r="M52" s="80"/>
    </row>
    <row r="53" spans="1:13">
      <c r="A53" s="16">
        <v>28</v>
      </c>
      <c r="B53" s="18" t="s">
        <v>36</v>
      </c>
      <c r="C53" s="18"/>
      <c r="D53" s="18"/>
      <c r="E53" s="18"/>
      <c r="F53" s="18"/>
      <c r="G53" s="82">
        <f>(G81*E91)*-0.21</f>
        <v>-479.98490399999991</v>
      </c>
      <c r="H53" s="82">
        <v>-456</v>
      </c>
      <c r="J53" s="153">
        <f>+(J81*F91)*-0.21</f>
        <v>-470.8525350385338</v>
      </c>
      <c r="K53" s="96"/>
      <c r="L53" s="97">
        <f>+J53-H53</f>
        <v>-14.852535038533802</v>
      </c>
      <c r="M53" s="80"/>
    </row>
    <row r="54" spans="1:13">
      <c r="A54" s="16">
        <v>29</v>
      </c>
      <c r="B54" s="18" t="s">
        <v>37</v>
      </c>
      <c r="C54" s="18"/>
      <c r="D54" s="18"/>
      <c r="E54" s="18"/>
      <c r="F54" s="18"/>
      <c r="G54" s="82">
        <v>0</v>
      </c>
      <c r="H54" s="82">
        <v>0</v>
      </c>
      <c r="I54" s="164">
        <v>0</v>
      </c>
      <c r="J54" s="94">
        <v>0</v>
      </c>
      <c r="K54" s="96"/>
      <c r="L54" s="96"/>
      <c r="M54" s="80"/>
    </row>
    <row r="55" spans="1:13">
      <c r="A55" s="19">
        <v>30</v>
      </c>
      <c r="B55" s="18" t="s">
        <v>38</v>
      </c>
      <c r="C55" s="18"/>
      <c r="D55" s="18"/>
      <c r="E55" s="18"/>
      <c r="F55" s="18"/>
      <c r="G55" s="93">
        <v>0</v>
      </c>
      <c r="H55" s="93">
        <v>0</v>
      </c>
      <c r="I55" s="93"/>
      <c r="J55" s="95">
        <v>0</v>
      </c>
      <c r="K55" s="96"/>
      <c r="L55" s="98"/>
      <c r="M55" s="80"/>
    </row>
    <row r="56" spans="1:13">
      <c r="H56" s="82"/>
      <c r="J56" s="94"/>
      <c r="K56" s="96"/>
      <c r="L56" s="96"/>
      <c r="M56" s="80"/>
    </row>
    <row r="57" spans="1:13" ht="14.55" thickBot="1">
      <c r="A57" s="21">
        <v>31</v>
      </c>
      <c r="B57" s="17" t="s">
        <v>39</v>
      </c>
      <c r="C57" s="17"/>
      <c r="D57" s="17"/>
      <c r="E57" s="17"/>
      <c r="F57" s="17"/>
      <c r="G57" s="100">
        <f t="shared" ref="G57" si="16">G49-SUM(G52:G55)</f>
        <v>-7152.9950960000006</v>
      </c>
      <c r="H57" s="100">
        <f t="shared" ref="H57" si="17">H49-SUM(H52:H55)</f>
        <v>-7149.33</v>
      </c>
      <c r="I57" s="100"/>
      <c r="J57" s="101">
        <f t="shared" ref="J57" si="18">J49-SUM(J52:J55)</f>
        <v>-7134.8952070550276</v>
      </c>
      <c r="K57" s="96"/>
      <c r="L57" s="101">
        <f>+J57-H57</f>
        <v>14.434792944972287</v>
      </c>
      <c r="M57" s="80"/>
    </row>
    <row r="58" spans="1:13" ht="14.55" thickTop="1">
      <c r="A58" s="21"/>
      <c r="H58" s="82"/>
      <c r="J58" s="94"/>
      <c r="K58" s="96"/>
      <c r="L58" s="96"/>
      <c r="M58" s="80"/>
    </row>
    <row r="59" spans="1:13">
      <c r="A59" s="21"/>
      <c r="B59" s="2" t="s">
        <v>40</v>
      </c>
      <c r="H59" s="82"/>
      <c r="J59" s="94"/>
      <c r="K59" s="96"/>
      <c r="L59" s="96"/>
      <c r="M59" s="80"/>
    </row>
    <row r="60" spans="1:13">
      <c r="B60" s="2" t="s">
        <v>41</v>
      </c>
      <c r="H60" s="82"/>
      <c r="J60" s="94"/>
      <c r="K60" s="96"/>
      <c r="L60" s="96"/>
      <c r="M60" s="80"/>
    </row>
    <row r="61" spans="1:13">
      <c r="A61" s="21">
        <v>32</v>
      </c>
      <c r="B61" s="17"/>
      <c r="C61" s="17" t="s">
        <v>42</v>
      </c>
      <c r="D61" s="17"/>
      <c r="E61" s="17"/>
      <c r="F61" s="17"/>
      <c r="G61" s="102">
        <v>29775</v>
      </c>
      <c r="H61" s="102">
        <f>29982</f>
        <v>29982</v>
      </c>
      <c r="I61" s="102"/>
      <c r="J61" s="197">
        <f>+'[3]ADJ-E'!$O$8/1000</f>
        <v>29981.695296652793</v>
      </c>
      <c r="K61" s="96"/>
      <c r="L61" s="97">
        <f>+J61-H61</f>
        <v>-0.3047033472066687</v>
      </c>
      <c r="M61" s="80"/>
    </row>
    <row r="62" spans="1:13">
      <c r="A62" s="21">
        <v>33</v>
      </c>
      <c r="B62" s="18"/>
      <c r="C62" s="18" t="s">
        <v>43</v>
      </c>
      <c r="D62" s="18"/>
      <c r="E62" s="18"/>
      <c r="F62" s="18"/>
      <c r="G62" s="82">
        <v>0</v>
      </c>
      <c r="H62" s="82">
        <v>0</v>
      </c>
      <c r="J62" s="94">
        <v>0</v>
      </c>
      <c r="K62" s="96"/>
      <c r="L62" s="97">
        <f>+J62-H62</f>
        <v>0</v>
      </c>
      <c r="M62" s="80"/>
    </row>
    <row r="63" spans="1:13">
      <c r="A63" s="21">
        <v>34</v>
      </c>
      <c r="B63" s="18"/>
      <c r="C63" s="18" t="s">
        <v>44</v>
      </c>
      <c r="D63" s="18"/>
      <c r="E63" s="18"/>
      <c r="F63" s="18"/>
      <c r="G63" s="82">
        <v>0</v>
      </c>
      <c r="H63" s="82">
        <v>0</v>
      </c>
      <c r="J63" s="94">
        <v>0</v>
      </c>
      <c r="K63" s="96"/>
      <c r="L63" s="97">
        <f>+J63-H63</f>
        <v>0</v>
      </c>
      <c r="M63" s="80"/>
    </row>
    <row r="64" spans="1:13">
      <c r="A64" s="21">
        <v>35</v>
      </c>
      <c r="B64" s="18"/>
      <c r="C64" s="18" t="s">
        <v>23</v>
      </c>
      <c r="D64" s="18"/>
      <c r="E64" s="18"/>
      <c r="F64" s="18"/>
      <c r="G64" s="82">
        <f>59140-24367</f>
        <v>34773</v>
      </c>
      <c r="H64" s="82">
        <f>58181-24366</f>
        <v>33815</v>
      </c>
      <c r="J64" s="197">
        <f>+('[3]ADJ-E'!$O$6+[4]Adjustment!$B$3)/1000</f>
        <v>33814.483993397502</v>
      </c>
      <c r="K64" s="96"/>
      <c r="L64" s="97">
        <f>+J64-H64</f>
        <v>-0.51600660249823704</v>
      </c>
      <c r="M64" s="80"/>
    </row>
    <row r="65" spans="1:13">
      <c r="A65" s="21">
        <v>36</v>
      </c>
      <c r="B65" s="18"/>
      <c r="C65" s="18" t="s">
        <v>45</v>
      </c>
      <c r="D65" s="18"/>
      <c r="E65" s="18"/>
      <c r="F65" s="18"/>
      <c r="G65" s="93">
        <v>16649</v>
      </c>
      <c r="H65" s="93">
        <f>12782</f>
        <v>12782</v>
      </c>
      <c r="I65" s="93"/>
      <c r="J65" s="198">
        <f>+'[3]ADJ-E'!$O$7/1000</f>
        <v>12781.799544080401</v>
      </c>
      <c r="K65" s="96"/>
      <c r="L65" s="103">
        <f>+J65-H65</f>
        <v>-0.20045591959933518</v>
      </c>
      <c r="M65" s="80"/>
    </row>
    <row r="66" spans="1:13">
      <c r="A66" s="21">
        <v>37</v>
      </c>
      <c r="B66" s="18" t="s">
        <v>46</v>
      </c>
      <c r="C66" s="18"/>
      <c r="D66" s="18"/>
      <c r="E66" s="18"/>
      <c r="F66" s="18"/>
      <c r="G66" s="82">
        <f t="shared" ref="G66:L66" si="19">SUM(G61:G65)</f>
        <v>81197</v>
      </c>
      <c r="H66" s="82">
        <f t="shared" si="19"/>
        <v>76579</v>
      </c>
      <c r="J66" s="94">
        <f t="shared" si="19"/>
        <v>76577.978834130685</v>
      </c>
      <c r="K66" s="96"/>
      <c r="L66" s="94">
        <f t="shared" si="19"/>
        <v>-1.0211658693042409</v>
      </c>
      <c r="M66" s="80"/>
    </row>
    <row r="67" spans="1:13" ht="23.1">
      <c r="A67" s="21"/>
      <c r="B67" s="22" t="s">
        <v>47</v>
      </c>
      <c r="C67" s="18"/>
      <c r="D67" s="18"/>
      <c r="E67" s="18"/>
      <c r="F67" s="18"/>
      <c r="H67" s="82"/>
      <c r="J67" s="94"/>
      <c r="K67" s="96"/>
      <c r="L67" s="96"/>
      <c r="M67" s="80"/>
    </row>
    <row r="68" spans="1:13">
      <c r="A68" s="21">
        <v>38</v>
      </c>
      <c r="B68" s="18"/>
      <c r="C68" s="17" t="s">
        <v>42</v>
      </c>
      <c r="D68" s="18"/>
      <c r="E68" s="18"/>
      <c r="F68" s="18"/>
      <c r="G68" s="82">
        <v>-16192</v>
      </c>
      <c r="H68" s="82">
        <v>-16281</v>
      </c>
      <c r="J68" s="197">
        <f>+'[3]ADJ-E'!$O$13/1000</f>
        <v>-16280.654770729756</v>
      </c>
      <c r="K68" s="96"/>
      <c r="L68" s="97">
        <f>+J68-H68</f>
        <v>0.34522927024409</v>
      </c>
      <c r="M68" s="80"/>
    </row>
    <row r="69" spans="1:13">
      <c r="A69" s="21">
        <v>39</v>
      </c>
      <c r="B69" s="18"/>
      <c r="C69" s="18" t="s">
        <v>43</v>
      </c>
      <c r="D69" s="18"/>
      <c r="E69" s="18"/>
      <c r="F69" s="18"/>
      <c r="G69" s="82">
        <v>0</v>
      </c>
      <c r="H69" s="82">
        <v>0</v>
      </c>
      <c r="J69" s="94">
        <v>0</v>
      </c>
      <c r="K69" s="96"/>
      <c r="L69" s="97">
        <f t="shared" ref="L69:L72" si="20">+J69-H69</f>
        <v>0</v>
      </c>
      <c r="M69" s="80"/>
    </row>
    <row r="70" spans="1:13">
      <c r="A70" s="21">
        <v>40</v>
      </c>
      <c r="B70" s="18"/>
      <c r="C70" s="18" t="s">
        <v>44</v>
      </c>
      <c r="D70" s="18"/>
      <c r="E70" s="18"/>
      <c r="F70" s="18"/>
      <c r="G70" s="82">
        <v>0</v>
      </c>
      <c r="H70" s="82">
        <v>0</v>
      </c>
      <c r="J70" s="94">
        <v>0</v>
      </c>
      <c r="K70" s="96"/>
      <c r="L70" s="97">
        <f t="shared" si="20"/>
        <v>0</v>
      </c>
      <c r="M70" s="80"/>
    </row>
    <row r="71" spans="1:13">
      <c r="A71" s="21">
        <v>41</v>
      </c>
      <c r="B71" s="18"/>
      <c r="C71" s="18" t="s">
        <v>23</v>
      </c>
      <c r="D71" s="18"/>
      <c r="E71" s="18"/>
      <c r="F71" s="18"/>
      <c r="G71" s="82">
        <f>-9565+2632</f>
        <v>-6933</v>
      </c>
      <c r="H71" s="82">
        <f>-9463+2632</f>
        <v>-6831</v>
      </c>
      <c r="J71" s="197">
        <f>+'[3]ADJ-E'!$O$11/1000-[1]AMI!$C$33/1000</f>
        <v>-6831.1354694484162</v>
      </c>
      <c r="K71" s="96"/>
      <c r="L71" s="97">
        <f t="shared" si="20"/>
        <v>-0.13546944841618824</v>
      </c>
      <c r="M71" s="80"/>
    </row>
    <row r="72" spans="1:13">
      <c r="A72" s="21">
        <v>42</v>
      </c>
      <c r="B72" s="18"/>
      <c r="C72" s="18" t="s">
        <v>45</v>
      </c>
      <c r="D72" s="18"/>
      <c r="E72" s="18"/>
      <c r="F72" s="18"/>
      <c r="G72" s="82">
        <v>-4884</v>
      </c>
      <c r="H72" s="82">
        <v>-4707</v>
      </c>
      <c r="J72" s="197">
        <f>+'[3]ADJ-E'!$O$12/1000</f>
        <v>-4706.9124794633453</v>
      </c>
      <c r="K72" s="96"/>
      <c r="L72" s="97">
        <f t="shared" si="20"/>
        <v>8.7520536654665193E-2</v>
      </c>
      <c r="M72" s="80"/>
    </row>
    <row r="73" spans="1:13">
      <c r="A73" s="21">
        <v>43</v>
      </c>
      <c r="B73" s="18" t="s">
        <v>48</v>
      </c>
      <c r="C73" s="18"/>
      <c r="D73" s="18"/>
      <c r="E73" s="18"/>
      <c r="F73" s="18"/>
      <c r="G73" s="104">
        <f t="shared" ref="G73:H73" si="21">SUM(G68:G72)</f>
        <v>-28009</v>
      </c>
      <c r="H73" s="104">
        <f t="shared" si="21"/>
        <v>-27819</v>
      </c>
      <c r="I73" s="104"/>
      <c r="J73" s="105">
        <f t="shared" ref="J73:L73" si="22">SUM(J68:J72)</f>
        <v>-27818.702719641518</v>
      </c>
      <c r="K73" s="96"/>
      <c r="L73" s="106">
        <f t="shared" si="22"/>
        <v>0.29728035848256695</v>
      </c>
      <c r="M73" s="80"/>
    </row>
    <row r="74" spans="1:13">
      <c r="A74" s="21">
        <v>44</v>
      </c>
      <c r="B74" s="18" t="s">
        <v>49</v>
      </c>
      <c r="C74" s="18"/>
      <c r="D74" s="18"/>
      <c r="E74" s="18"/>
      <c r="F74" s="18"/>
      <c r="G74" s="104">
        <f>G66+G73</f>
        <v>53188</v>
      </c>
      <c r="H74" s="104">
        <f>H66+H73</f>
        <v>48760</v>
      </c>
      <c r="I74" s="104"/>
      <c r="J74" s="105">
        <f>J66+J73</f>
        <v>48759.27611448917</v>
      </c>
      <c r="K74" s="96"/>
      <c r="L74" s="105">
        <f>L66+L73</f>
        <v>-0.72388551082167396</v>
      </c>
      <c r="M74" s="80"/>
    </row>
    <row r="75" spans="1:13">
      <c r="A75" s="21"/>
      <c r="B75" s="18"/>
      <c r="C75" s="18"/>
      <c r="D75" s="18"/>
      <c r="E75" s="18"/>
      <c r="F75" s="18"/>
      <c r="H75" s="82"/>
      <c r="J75" s="94"/>
      <c r="K75" s="96"/>
      <c r="L75" s="96"/>
      <c r="M75" s="80"/>
    </row>
    <row r="76" spans="1:13">
      <c r="A76" s="19">
        <v>45</v>
      </c>
      <c r="B76" s="18" t="s">
        <v>50</v>
      </c>
      <c r="C76" s="18"/>
      <c r="D76" s="18"/>
      <c r="E76" s="18"/>
      <c r="F76" s="18"/>
      <c r="G76" s="93">
        <v>-14370</v>
      </c>
      <c r="H76" s="93">
        <v>-14330</v>
      </c>
      <c r="I76" s="93"/>
      <c r="J76" s="198">
        <f>+[1]Adjustment!$B$24/1000</f>
        <v>-14329.979960000001</v>
      </c>
      <c r="K76" s="96"/>
      <c r="L76" s="103">
        <f t="shared" ref="L76" si="23">+J76-H76</f>
        <v>2.0039999999426072E-2</v>
      </c>
      <c r="M76" s="80"/>
    </row>
    <row r="77" spans="1:13">
      <c r="A77" s="19">
        <v>46</v>
      </c>
      <c r="B77" s="18"/>
      <c r="C77" s="18" t="s">
        <v>51</v>
      </c>
      <c r="D77" s="18"/>
      <c r="E77" s="18"/>
      <c r="F77" s="18"/>
      <c r="G77" s="82">
        <f t="shared" ref="G77:H77" si="24">SUM(G74:G76)</f>
        <v>38818</v>
      </c>
      <c r="H77" s="82">
        <f t="shared" si="24"/>
        <v>34430</v>
      </c>
      <c r="J77" s="82">
        <f t="shared" ref="J77" si="25">SUM(J74:J76)</f>
        <v>34429.296154489173</v>
      </c>
      <c r="K77" s="96"/>
      <c r="L77" s="94">
        <f t="shared" ref="J77:L77" si="26">SUM(L74:L76)</f>
        <v>-0.70384551082224789</v>
      </c>
      <c r="M77" s="80"/>
    </row>
    <row r="78" spans="1:13">
      <c r="A78" s="21">
        <v>47</v>
      </c>
      <c r="B78" s="18" t="s">
        <v>52</v>
      </c>
      <c r="C78" s="18"/>
      <c r="D78" s="18"/>
      <c r="E78" s="18"/>
      <c r="F78" s="18"/>
      <c r="G78" s="82">
        <v>53345</v>
      </c>
      <c r="H78" s="82">
        <v>53155</v>
      </c>
      <c r="J78" s="197">
        <f>+[1]Adjustment!$B$19/1000</f>
        <v>53154.880749999997</v>
      </c>
      <c r="K78" s="96"/>
      <c r="L78" s="97">
        <f>+J78-H78</f>
        <v>-0.11925000000337604</v>
      </c>
      <c r="M78" s="80"/>
    </row>
    <row r="79" spans="1:13">
      <c r="A79" s="21">
        <v>48</v>
      </c>
      <c r="B79" s="18" t="s">
        <v>53</v>
      </c>
      <c r="C79" s="18"/>
      <c r="D79" s="18"/>
      <c r="E79" s="18"/>
      <c r="F79" s="18"/>
      <c r="G79" s="93">
        <v>0</v>
      </c>
      <c r="H79" s="93">
        <v>0</v>
      </c>
      <c r="I79" s="93"/>
      <c r="J79" s="95">
        <v>0</v>
      </c>
      <c r="K79" s="96"/>
      <c r="L79" s="96"/>
      <c r="M79" s="80"/>
    </row>
    <row r="80" spans="1:13">
      <c r="A80" s="19"/>
      <c r="B80" s="18"/>
      <c r="C80" s="18"/>
      <c r="D80" s="18"/>
      <c r="E80" s="18"/>
      <c r="F80" s="18"/>
      <c r="H80" s="82"/>
      <c r="J80" s="94"/>
      <c r="K80" s="96"/>
      <c r="L80" s="96"/>
      <c r="M80" s="80"/>
    </row>
    <row r="81" spans="1:13" ht="14.55" thickBot="1">
      <c r="A81" s="16">
        <v>49</v>
      </c>
      <c r="B81" s="17" t="s">
        <v>54</v>
      </c>
      <c r="C81" s="17"/>
      <c r="D81" s="17"/>
      <c r="E81" s="17"/>
      <c r="F81" s="17"/>
      <c r="G81" s="100">
        <f t="shared" ref="G81:H81" si="27">SUM(G77:G79)</f>
        <v>92163</v>
      </c>
      <c r="H81" s="100">
        <f t="shared" si="27"/>
        <v>87585</v>
      </c>
      <c r="I81" s="100"/>
      <c r="J81" s="101">
        <f t="shared" ref="J81:L81" si="28">SUM(J77:J79)</f>
        <v>87584.17690448917</v>
      </c>
      <c r="K81" s="96"/>
      <c r="L81" s="101">
        <f t="shared" si="28"/>
        <v>-0.82309551082562393</v>
      </c>
      <c r="M81" s="80"/>
    </row>
    <row r="82" spans="1:13" ht="14.55" thickTop="1">
      <c r="A82" s="16">
        <v>50</v>
      </c>
      <c r="B82" s="2" t="s">
        <v>55</v>
      </c>
      <c r="H82" s="82"/>
      <c r="J82" s="94"/>
      <c r="K82" s="96"/>
      <c r="L82" s="96"/>
      <c r="M82" s="80"/>
    </row>
    <row r="83" spans="1:13">
      <c r="A83" s="1">
        <v>51</v>
      </c>
      <c r="B83" s="2" t="s">
        <v>56</v>
      </c>
      <c r="G83" s="107">
        <f t="shared" ref="G83:H83" si="29">G86</f>
        <v>18536.861332733122</v>
      </c>
      <c r="H83" s="107">
        <f t="shared" si="29"/>
        <v>18081.658038634167</v>
      </c>
      <c r="I83" s="107"/>
      <c r="J83" s="108">
        <f t="shared" ref="J83" si="30">J86</f>
        <v>17645.005910580585</v>
      </c>
      <c r="K83" s="96"/>
      <c r="L83" s="97">
        <f t="shared" ref="L83" si="31">+J83-H83</f>
        <v>-436.65212805358169</v>
      </c>
      <c r="M83" s="80"/>
    </row>
    <row r="84" spans="1:13">
      <c r="B84" s="23"/>
      <c r="G84" s="109"/>
      <c r="H84" s="109"/>
      <c r="I84" s="109"/>
      <c r="J84" s="110"/>
      <c r="K84" s="96"/>
      <c r="L84" s="96"/>
      <c r="M84" s="80"/>
    </row>
    <row r="85" spans="1:13">
      <c r="D85" s="2" t="s">
        <v>58</v>
      </c>
      <c r="G85" s="111">
        <f>G81*$E$89-G57</f>
        <v>14000.705996000001</v>
      </c>
      <c r="H85" s="111">
        <f>H81*$E$89-H57</f>
        <v>13656.895500000001</v>
      </c>
      <c r="I85" s="111"/>
      <c r="J85" s="106">
        <f>J81*$F$89-J57</f>
        <v>13327.096514202411</v>
      </c>
      <c r="K85" s="96"/>
      <c r="L85" s="97">
        <f t="shared" ref="L85:L86" si="32">+J85-H85</f>
        <v>-329.79898579758992</v>
      </c>
      <c r="M85" s="80"/>
    </row>
    <row r="86" spans="1:13">
      <c r="D86" s="2" t="s">
        <v>59</v>
      </c>
      <c r="G86" s="93">
        <f>G85/$E$90</f>
        <v>18536.861332733122</v>
      </c>
      <c r="H86" s="93">
        <f>H85/$E$90</f>
        <v>18081.658038634167</v>
      </c>
      <c r="I86" s="93"/>
      <c r="J86" s="95">
        <f>J85/$E$90</f>
        <v>17645.005910580585</v>
      </c>
      <c r="K86" s="96"/>
      <c r="L86" s="97">
        <f t="shared" si="32"/>
        <v>-436.65212805358169</v>
      </c>
      <c r="M86" s="80"/>
    </row>
    <row r="87" spans="1:13">
      <c r="J87" s="94"/>
      <c r="K87" s="96"/>
      <c r="L87" s="96"/>
      <c r="M87" s="80"/>
    </row>
    <row r="88" spans="1:13">
      <c r="E88" s="1" t="s">
        <v>120</v>
      </c>
      <c r="F88" s="1" t="s">
        <v>121</v>
      </c>
      <c r="J88" s="94"/>
      <c r="K88" s="96"/>
      <c r="L88" s="96"/>
      <c r="M88" s="80"/>
    </row>
    <row r="89" spans="1:13">
      <c r="D89" s="2" t="s">
        <v>122</v>
      </c>
      <c r="E89" s="24">
        <v>7.4300000000000005E-2</v>
      </c>
      <c r="F89" s="24">
        <v>7.0699999999999999E-2</v>
      </c>
      <c r="J89" s="94"/>
      <c r="K89" s="96"/>
      <c r="L89" s="96"/>
      <c r="M89" s="80"/>
    </row>
    <row r="90" spans="1:13">
      <c r="D90" s="2" t="s">
        <v>57</v>
      </c>
      <c r="E90" s="24">
        <v>0.75529000000000002</v>
      </c>
      <c r="F90" s="24">
        <v>0.75529000000000002</v>
      </c>
      <c r="J90" s="94"/>
      <c r="K90" s="96"/>
      <c r="L90" s="96"/>
      <c r="M90" s="80"/>
    </row>
    <row r="91" spans="1:13">
      <c r="D91" s="2" t="s">
        <v>119</v>
      </c>
      <c r="E91" s="24">
        <v>2.4799999999999999E-2</v>
      </c>
      <c r="F91" s="24">
        <v>2.5600000000000001E-2</v>
      </c>
      <c r="G91" s="112"/>
      <c r="I91" s="112"/>
      <c r="J91" s="113"/>
      <c r="K91" s="96"/>
      <c r="L91" s="96"/>
      <c r="M91" s="80"/>
    </row>
    <row r="92" spans="1:13">
      <c r="J92" s="94"/>
      <c r="K92" s="96"/>
      <c r="L92" s="96"/>
      <c r="M92" s="80"/>
    </row>
    <row r="93" spans="1:13">
      <c r="J93" s="94"/>
      <c r="K93" s="96"/>
      <c r="L93" s="96"/>
      <c r="M93" s="80"/>
    </row>
    <row r="94" spans="1:13">
      <c r="H94" s="159"/>
      <c r="J94" s="94"/>
      <c r="K94" s="96"/>
      <c r="L94" s="96"/>
      <c r="M94" s="80"/>
    </row>
    <row r="95" spans="1:13">
      <c r="J95" s="94"/>
      <c r="K95" s="96"/>
      <c r="L95" s="96"/>
      <c r="M95" s="80"/>
    </row>
    <row r="96" spans="1:13">
      <c r="J96" s="94"/>
      <c r="K96" s="96"/>
      <c r="L96" s="96"/>
      <c r="M96" s="80"/>
    </row>
    <row r="97" spans="10:13">
      <c r="J97" s="94"/>
      <c r="K97" s="96"/>
      <c r="L97" s="96"/>
      <c r="M97" s="80"/>
    </row>
    <row r="98" spans="10:13">
      <c r="J98" s="94"/>
      <c r="K98" s="96"/>
      <c r="L98" s="96"/>
      <c r="M98" s="80"/>
    </row>
    <row r="99" spans="10:13">
      <c r="J99" s="94"/>
      <c r="K99" s="96"/>
      <c r="L99" s="96"/>
      <c r="M99" s="80"/>
    </row>
    <row r="100" spans="10:13">
      <c r="J100" s="94"/>
      <c r="K100" s="96"/>
      <c r="L100" s="96"/>
      <c r="M100" s="80"/>
    </row>
    <row r="101" spans="10:13">
      <c r="J101" s="94"/>
      <c r="K101" s="96"/>
      <c r="L101" s="96"/>
      <c r="M101" s="80"/>
    </row>
    <row r="102" spans="10:13">
      <c r="J102" s="94"/>
      <c r="K102" s="96"/>
      <c r="L102" s="96"/>
      <c r="M102" s="80"/>
    </row>
    <row r="103" spans="10:13">
      <c r="J103" s="94"/>
      <c r="K103" s="96"/>
      <c r="L103" s="96"/>
      <c r="M103" s="80"/>
    </row>
  </sheetData>
  <pageMargins left="0.7" right="0.7" top="0.75" bottom="0.75" header="0.3" footer="0.3"/>
  <pageSetup scale="51" orientation="portrait" r:id="rId1"/>
  <headerFooter>
    <oddHeader xml:space="preserve">&amp;RExh. AIW-7
Dockets UE-200900, UG-200901, UE-200894
Page &amp;P of &amp;N
</oddHeader>
  </headerFooter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FA09-D487-4D5F-BBB5-91306A04FFD9}">
  <dimension ref="A1:N96"/>
  <sheetViews>
    <sheetView tabSelected="1" topLeftCell="A60" zoomScale="55" zoomScaleNormal="55" workbookViewId="0">
      <selection activeCell="G96" sqref="G96"/>
    </sheetView>
  </sheetViews>
  <sheetFormatPr defaultRowHeight="14"/>
  <cols>
    <col min="4" max="4" width="26.19921875" bestFit="1" customWidth="1"/>
    <col min="5" max="5" width="19.8984375" customWidth="1"/>
    <col min="6" max="6" width="7.8984375" customWidth="1"/>
    <col min="7" max="7" width="2" customWidth="1"/>
    <col min="8" max="8" width="16.59765625" style="114" customWidth="1"/>
    <col min="9" max="9" width="18.5" style="165" customWidth="1"/>
    <col min="10" max="10" width="8.19921875" style="165" customWidth="1"/>
    <col min="11" max="11" width="14.69921875" style="116" customWidth="1"/>
    <col min="12" max="12" width="8.796875" style="116"/>
    <col min="13" max="13" width="11.19921875" style="116" customWidth="1"/>
  </cols>
  <sheetData>
    <row r="1" spans="1:13">
      <c r="A1" s="25"/>
      <c r="B1" s="25"/>
      <c r="C1" s="25"/>
      <c r="D1" s="25"/>
      <c r="E1" s="61"/>
      <c r="F1" s="61"/>
      <c r="G1" s="61"/>
      <c r="K1" s="115"/>
    </row>
    <row r="2" spans="1:13">
      <c r="A2" s="34" t="s">
        <v>66</v>
      </c>
      <c r="B2" s="25"/>
      <c r="C2" s="25"/>
      <c r="D2" s="25"/>
      <c r="E2" s="61"/>
      <c r="F2" s="61"/>
      <c r="G2" s="61"/>
      <c r="H2" s="60"/>
      <c r="I2" s="60"/>
      <c r="J2" s="60"/>
      <c r="K2" s="66"/>
    </row>
    <row r="3" spans="1:13">
      <c r="A3" s="3" t="s">
        <v>125</v>
      </c>
      <c r="B3" s="25"/>
      <c r="C3" s="25"/>
      <c r="D3" s="25"/>
      <c r="E3" s="61"/>
      <c r="F3" s="61"/>
      <c r="G3" s="61"/>
      <c r="H3" s="117"/>
      <c r="I3" s="166"/>
      <c r="J3" s="166"/>
      <c r="K3" s="118"/>
    </row>
    <row r="4" spans="1:13">
      <c r="A4" s="34" t="s">
        <v>1</v>
      </c>
      <c r="B4" s="25"/>
      <c r="C4" s="25"/>
      <c r="D4" s="25"/>
      <c r="E4" s="61"/>
      <c r="F4" s="61"/>
      <c r="G4" s="61"/>
      <c r="H4" s="117"/>
      <c r="I4" s="166"/>
      <c r="J4" s="166"/>
      <c r="K4" s="118"/>
    </row>
    <row r="5" spans="1:13">
      <c r="A5" s="34" t="s">
        <v>67</v>
      </c>
      <c r="B5" s="27"/>
      <c r="C5" s="27"/>
      <c r="D5" s="27"/>
      <c r="E5" s="62"/>
      <c r="F5" s="62"/>
      <c r="G5" s="62"/>
      <c r="H5" s="117"/>
      <c r="I5" s="166"/>
      <c r="J5" s="166"/>
      <c r="K5" s="118"/>
    </row>
    <row r="6" spans="1:13" ht="14.55" thickBot="1">
      <c r="A6" s="35"/>
      <c r="B6" s="36"/>
      <c r="C6" s="36"/>
      <c r="D6" s="58"/>
      <c r="E6" s="76"/>
      <c r="F6" s="76"/>
      <c r="G6" s="76"/>
      <c r="H6" s="119" t="s">
        <v>65</v>
      </c>
      <c r="I6" s="167"/>
      <c r="J6" s="167"/>
      <c r="K6" s="120" t="s">
        <v>116</v>
      </c>
    </row>
    <row r="7" spans="1:13">
      <c r="A7" s="37"/>
      <c r="B7" s="38"/>
      <c r="C7" s="39"/>
      <c r="D7" s="40"/>
      <c r="E7" s="69"/>
      <c r="F7" s="69"/>
      <c r="G7" s="69"/>
      <c r="H7" s="184" t="s">
        <v>60</v>
      </c>
      <c r="I7" s="187" t="s">
        <v>60</v>
      </c>
      <c r="J7" s="182"/>
      <c r="K7" s="86" t="s">
        <v>60</v>
      </c>
    </row>
    <row r="8" spans="1:13">
      <c r="A8" s="41" t="s">
        <v>3</v>
      </c>
      <c r="B8" s="42"/>
      <c r="C8" s="43"/>
      <c r="D8" s="44"/>
      <c r="E8" s="69"/>
      <c r="F8" s="69"/>
      <c r="G8" s="69"/>
      <c r="H8" s="185" t="s">
        <v>113</v>
      </c>
      <c r="I8" s="188" t="s">
        <v>113</v>
      </c>
      <c r="J8" s="183"/>
      <c r="K8" s="87" t="s">
        <v>113</v>
      </c>
      <c r="M8" s="88" t="s">
        <v>124</v>
      </c>
    </row>
    <row r="9" spans="1:13" ht="14.55" thickBot="1">
      <c r="A9" s="45" t="s">
        <v>4</v>
      </c>
      <c r="B9" s="46"/>
      <c r="C9" s="47"/>
      <c r="D9" s="48" t="s">
        <v>5</v>
      </c>
      <c r="E9" s="68"/>
      <c r="F9" s="68"/>
      <c r="G9" s="68"/>
      <c r="H9" s="186" t="s">
        <v>114</v>
      </c>
      <c r="I9" s="189" t="s">
        <v>114</v>
      </c>
      <c r="J9" s="183"/>
      <c r="K9" s="89" t="s">
        <v>114</v>
      </c>
    </row>
    <row r="10" spans="1:13">
      <c r="A10" s="35"/>
      <c r="B10" s="49" t="s">
        <v>68</v>
      </c>
      <c r="C10" s="36"/>
      <c r="D10" s="36"/>
      <c r="E10" s="67"/>
      <c r="F10" s="67"/>
      <c r="G10" s="67"/>
      <c r="H10" s="90">
        <v>3.16</v>
      </c>
      <c r="I10" s="190">
        <f>H10+0.01</f>
        <v>3.17</v>
      </c>
      <c r="J10" s="181"/>
      <c r="K10" s="90">
        <v>3.1599999999999966</v>
      </c>
    </row>
    <row r="11" spans="1:13">
      <c r="A11" s="35"/>
      <c r="B11" s="49" t="s">
        <v>7</v>
      </c>
      <c r="C11" s="36"/>
      <c r="D11" s="36"/>
      <c r="E11" s="67"/>
      <c r="F11" s="67"/>
      <c r="G11" s="67"/>
      <c r="H11" s="90" t="s">
        <v>115</v>
      </c>
      <c r="I11" s="191" t="s">
        <v>115</v>
      </c>
      <c r="J11" s="168"/>
      <c r="K11" s="90" t="s">
        <v>115</v>
      </c>
    </row>
    <row r="12" spans="1:13">
      <c r="A12" s="25"/>
      <c r="B12" s="25"/>
      <c r="C12" s="25"/>
      <c r="D12" s="25"/>
      <c r="E12" s="61"/>
      <c r="F12" s="61"/>
      <c r="G12" s="61"/>
      <c r="K12" s="115"/>
    </row>
    <row r="13" spans="1:13">
      <c r="A13" s="25"/>
      <c r="B13" s="26" t="s">
        <v>69</v>
      </c>
      <c r="C13" s="25"/>
      <c r="D13" s="25"/>
      <c r="E13" s="61"/>
      <c r="F13" s="61"/>
      <c r="G13" s="61"/>
      <c r="K13" s="115"/>
    </row>
    <row r="14" spans="1:13">
      <c r="A14" s="27">
        <v>1</v>
      </c>
      <c r="B14" s="28" t="s">
        <v>70</v>
      </c>
      <c r="C14" s="28"/>
      <c r="D14" s="28"/>
      <c r="E14" s="63"/>
      <c r="F14" s="63"/>
      <c r="G14" s="63"/>
      <c r="H14" s="121">
        <v>0</v>
      </c>
      <c r="I14" s="169">
        <v>0</v>
      </c>
      <c r="J14" s="169"/>
      <c r="K14" s="122">
        <v>0</v>
      </c>
      <c r="M14" s="123">
        <f>+K14-I14</f>
        <v>0</v>
      </c>
    </row>
    <row r="15" spans="1:13">
      <c r="A15" s="27">
        <v>2</v>
      </c>
      <c r="B15" s="29" t="s">
        <v>71</v>
      </c>
      <c r="C15" s="25"/>
      <c r="D15" s="29"/>
      <c r="E15" s="64"/>
      <c r="F15" s="64"/>
      <c r="G15" s="64"/>
      <c r="H15" s="124">
        <v>0</v>
      </c>
      <c r="I15" s="170">
        <v>0</v>
      </c>
      <c r="J15" s="170"/>
      <c r="K15" s="125">
        <v>0</v>
      </c>
      <c r="M15" s="123">
        <f>+K15-I15</f>
        <v>0</v>
      </c>
    </row>
    <row r="16" spans="1:13">
      <c r="A16" s="27">
        <v>3</v>
      </c>
      <c r="B16" s="29" t="s">
        <v>72</v>
      </c>
      <c r="C16" s="25"/>
      <c r="D16" s="29"/>
      <c r="E16" s="64"/>
      <c r="F16" s="64"/>
      <c r="G16" s="64"/>
      <c r="H16" s="126">
        <v>0</v>
      </c>
      <c r="I16" s="171">
        <v>0</v>
      </c>
      <c r="J16" s="171"/>
      <c r="K16" s="127">
        <v>0</v>
      </c>
      <c r="M16" s="128">
        <f>+K16-I16</f>
        <v>0</v>
      </c>
    </row>
    <row r="17" spans="1:13">
      <c r="A17" s="27">
        <v>4</v>
      </c>
      <c r="B17" s="26" t="s">
        <v>73</v>
      </c>
      <c r="C17" s="29"/>
      <c r="D17" s="29"/>
      <c r="E17" s="64"/>
      <c r="F17" s="64"/>
      <c r="G17" s="64"/>
      <c r="H17" s="129">
        <f t="shared" ref="H17" si="0">SUM(H14:H16)</f>
        <v>0</v>
      </c>
      <c r="I17" s="172">
        <f t="shared" ref="I17" si="1">SUM(I14:I16)</f>
        <v>0</v>
      </c>
      <c r="J17" s="172"/>
      <c r="K17" s="130">
        <v>0</v>
      </c>
      <c r="M17" s="130">
        <v>0</v>
      </c>
    </row>
    <row r="18" spans="1:13">
      <c r="A18" s="25"/>
      <c r="B18" s="25"/>
      <c r="C18" s="29"/>
      <c r="D18" s="29"/>
      <c r="E18" s="64"/>
      <c r="F18" s="64"/>
      <c r="G18" s="64"/>
      <c r="H18" s="124"/>
      <c r="I18" s="170"/>
      <c r="J18" s="170"/>
      <c r="K18" s="125"/>
    </row>
    <row r="19" spans="1:13">
      <c r="A19" s="25"/>
      <c r="B19" s="26" t="s">
        <v>74</v>
      </c>
      <c r="C19" s="29"/>
      <c r="D19" s="29"/>
      <c r="E19" s="64"/>
      <c r="F19" s="64"/>
      <c r="G19" s="64"/>
      <c r="H19" s="124"/>
      <c r="I19" s="170"/>
      <c r="J19" s="170"/>
      <c r="K19" s="125"/>
    </row>
    <row r="20" spans="1:13">
      <c r="A20" s="25"/>
      <c r="B20" s="29" t="s">
        <v>75</v>
      </c>
      <c r="C20" s="25"/>
      <c r="D20" s="29"/>
      <c r="E20" s="64"/>
      <c r="F20" s="64"/>
      <c r="G20" s="64"/>
      <c r="H20" s="124"/>
      <c r="I20" s="170"/>
      <c r="J20" s="170"/>
      <c r="K20" s="125"/>
    </row>
    <row r="21" spans="1:13">
      <c r="A21" s="27">
        <v>5</v>
      </c>
      <c r="B21" s="25"/>
      <c r="C21" s="29" t="s">
        <v>76</v>
      </c>
      <c r="D21" s="29"/>
      <c r="E21" s="64"/>
      <c r="F21" s="64"/>
      <c r="G21" s="64"/>
      <c r="H21" s="124">
        <v>0</v>
      </c>
      <c r="I21" s="170">
        <v>0</v>
      </c>
      <c r="J21" s="170"/>
      <c r="K21" s="125">
        <v>0</v>
      </c>
      <c r="M21" s="123">
        <f>+K21-I21</f>
        <v>0</v>
      </c>
    </row>
    <row r="22" spans="1:13">
      <c r="A22" s="27">
        <v>6</v>
      </c>
      <c r="B22" s="25"/>
      <c r="C22" s="29" t="s">
        <v>77</v>
      </c>
      <c r="D22" s="29"/>
      <c r="E22" s="64"/>
      <c r="F22" s="64"/>
      <c r="G22" s="64"/>
      <c r="H22" s="124">
        <v>0</v>
      </c>
      <c r="I22" s="170">
        <v>0</v>
      </c>
      <c r="J22" s="170"/>
      <c r="K22" s="125">
        <v>0</v>
      </c>
      <c r="M22" s="123">
        <f>+K22-I22</f>
        <v>0</v>
      </c>
    </row>
    <row r="23" spans="1:13">
      <c r="A23" s="27">
        <v>7</v>
      </c>
      <c r="B23" s="25"/>
      <c r="C23" s="29" t="s">
        <v>78</v>
      </c>
      <c r="D23" s="29"/>
      <c r="E23" s="64"/>
      <c r="F23" s="64"/>
      <c r="G23" s="64"/>
      <c r="H23" s="126">
        <v>0</v>
      </c>
      <c r="I23" s="171">
        <v>0</v>
      </c>
      <c r="J23" s="171"/>
      <c r="K23" s="127">
        <v>0</v>
      </c>
      <c r="M23" s="128">
        <f>+K23-I23</f>
        <v>0</v>
      </c>
    </row>
    <row r="24" spans="1:13">
      <c r="A24" s="27">
        <v>8</v>
      </c>
      <c r="B24" s="29" t="s">
        <v>79</v>
      </c>
      <c r="C24" s="29"/>
      <c r="D24" s="25"/>
      <c r="E24" s="61"/>
      <c r="F24" s="61"/>
      <c r="G24" s="61"/>
      <c r="H24" s="129">
        <f t="shared" ref="H24" si="2">SUM(H21:H23)</f>
        <v>0</v>
      </c>
      <c r="I24" s="172">
        <f t="shared" ref="I24" si="3">SUM(I21:I23)</f>
        <v>0</v>
      </c>
      <c r="J24" s="172"/>
      <c r="K24" s="130">
        <v>0</v>
      </c>
      <c r="M24" s="130">
        <v>0</v>
      </c>
    </row>
    <row r="25" spans="1:13">
      <c r="A25" s="25"/>
      <c r="B25" s="29"/>
      <c r="C25" s="29"/>
      <c r="D25" s="25"/>
      <c r="E25" s="61"/>
      <c r="F25" s="61"/>
      <c r="G25" s="61"/>
      <c r="H25" s="129"/>
      <c r="I25" s="172"/>
      <c r="J25" s="172"/>
      <c r="K25" s="130"/>
    </row>
    <row r="26" spans="1:13">
      <c r="A26" s="25"/>
      <c r="B26" s="29" t="s">
        <v>80</v>
      </c>
      <c r="C26" s="25"/>
      <c r="D26" s="29"/>
      <c r="E26" s="64"/>
      <c r="F26" s="64"/>
      <c r="G26" s="64"/>
      <c r="H26" s="124"/>
      <c r="I26" s="170"/>
      <c r="J26" s="170"/>
      <c r="K26" s="125"/>
    </row>
    <row r="27" spans="1:13">
      <c r="A27" s="27">
        <v>9</v>
      </c>
      <c r="B27" s="25"/>
      <c r="C27" s="29" t="s">
        <v>81</v>
      </c>
      <c r="D27" s="29"/>
      <c r="E27" s="64"/>
      <c r="F27" s="64"/>
      <c r="G27" s="64"/>
      <c r="H27" s="124">
        <v>0</v>
      </c>
      <c r="I27" s="170">
        <v>0</v>
      </c>
      <c r="J27" s="170"/>
      <c r="K27" s="125">
        <v>0</v>
      </c>
      <c r="M27" s="179">
        <f>+K27-I27</f>
        <v>0</v>
      </c>
    </row>
    <row r="28" spans="1:13">
      <c r="A28" s="27">
        <v>10</v>
      </c>
      <c r="B28" s="25"/>
      <c r="C28" s="29" t="s">
        <v>24</v>
      </c>
      <c r="D28" s="29"/>
      <c r="E28" s="64"/>
      <c r="F28" s="64"/>
      <c r="G28" s="64"/>
      <c r="H28" s="124">
        <v>0</v>
      </c>
      <c r="I28" s="170">
        <v>0</v>
      </c>
      <c r="J28" s="170"/>
      <c r="K28" s="125">
        <v>0</v>
      </c>
      <c r="M28" s="179">
        <f t="shared" ref="M28:M29" si="4">+K28-I28</f>
        <v>0</v>
      </c>
    </row>
    <row r="29" spans="1:13">
      <c r="A29" s="27">
        <v>11</v>
      </c>
      <c r="B29" s="25"/>
      <c r="C29" s="29" t="s">
        <v>82</v>
      </c>
      <c r="D29" s="29"/>
      <c r="E29" s="64"/>
      <c r="F29" s="64"/>
      <c r="G29" s="64"/>
      <c r="H29" s="126">
        <v>0</v>
      </c>
      <c r="I29" s="171">
        <v>0</v>
      </c>
      <c r="J29" s="171"/>
      <c r="K29" s="127">
        <v>0</v>
      </c>
      <c r="M29" s="128">
        <f t="shared" si="4"/>
        <v>0</v>
      </c>
    </row>
    <row r="30" spans="1:13">
      <c r="A30" s="27">
        <v>12</v>
      </c>
      <c r="B30" s="29" t="s">
        <v>83</v>
      </c>
      <c r="C30" s="29"/>
      <c r="D30" s="25"/>
      <c r="E30" s="61"/>
      <c r="F30" s="61"/>
      <c r="G30" s="61"/>
      <c r="H30" s="129">
        <f t="shared" ref="H30:M30" si="5">SUM(H27:H29)</f>
        <v>0</v>
      </c>
      <c r="I30" s="172">
        <f t="shared" ref="I30" si="6">SUM(I27:I29)</f>
        <v>0</v>
      </c>
      <c r="J30" s="172"/>
      <c r="K30" s="129">
        <f t="shared" si="5"/>
        <v>0</v>
      </c>
      <c r="L30" s="129"/>
      <c r="M30" s="129">
        <f t="shared" si="5"/>
        <v>0</v>
      </c>
    </row>
    <row r="31" spans="1:13">
      <c r="A31" s="25"/>
      <c r="B31" s="29"/>
      <c r="C31" s="29"/>
      <c r="D31" s="25"/>
      <c r="E31" s="61"/>
      <c r="F31" s="61"/>
      <c r="G31" s="61"/>
      <c r="H31" s="129"/>
      <c r="I31" s="172"/>
      <c r="J31" s="172"/>
      <c r="K31" s="130"/>
    </row>
    <row r="32" spans="1:13">
      <c r="A32" s="25"/>
      <c r="B32" s="29" t="s">
        <v>84</v>
      </c>
      <c r="C32" s="25"/>
      <c r="D32" s="29"/>
      <c r="E32" s="64"/>
      <c r="F32" s="64"/>
      <c r="G32" s="64"/>
      <c r="H32" s="124"/>
      <c r="I32" s="170"/>
      <c r="J32" s="170"/>
      <c r="K32" s="125"/>
    </row>
    <row r="33" spans="1:14">
      <c r="A33" s="27">
        <v>13</v>
      </c>
      <c r="B33" s="25"/>
      <c r="C33" s="29" t="s">
        <v>81</v>
      </c>
      <c r="D33" s="29"/>
      <c r="E33" s="64"/>
      <c r="F33" s="64"/>
      <c r="G33" s="64"/>
      <c r="H33" s="124">
        <f>-1063+68</f>
        <v>-995</v>
      </c>
      <c r="I33" s="196">
        <v>-944</v>
      </c>
      <c r="J33" s="196"/>
      <c r="K33" s="197">
        <f>-[2]Adjustment!$H$14/1000</f>
        <v>-944.25549054356827</v>
      </c>
      <c r="L33" s="132"/>
      <c r="M33" s="179">
        <f>+K33-I33</f>
        <v>-0.25549054356827128</v>
      </c>
    </row>
    <row r="34" spans="1:14">
      <c r="A34" s="27">
        <v>14</v>
      </c>
      <c r="B34" s="25"/>
      <c r="C34" s="29" t="s">
        <v>24</v>
      </c>
      <c r="D34" s="29"/>
      <c r="E34" s="64"/>
      <c r="F34" s="64"/>
      <c r="G34" s="64"/>
      <c r="H34" s="124">
        <f>1026-161</f>
        <v>865</v>
      </c>
      <c r="I34" s="170">
        <f>937-161</f>
        <v>776</v>
      </c>
      <c r="J34" s="170"/>
      <c r="K34" s="197">
        <f>+('[1]Deprec Ex ADJ by Func'!$F$14+[1]Adjustment!$C$33)/1000</f>
        <v>776.32600000000002</v>
      </c>
      <c r="L34" s="132"/>
      <c r="M34" s="179">
        <f t="shared" ref="M34:M35" si="7">+K34-I34</f>
        <v>0.32600000000002183</v>
      </c>
    </row>
    <row r="35" spans="1:14">
      <c r="A35" s="27">
        <v>15</v>
      </c>
      <c r="B35" s="25"/>
      <c r="C35" s="29" t="s">
        <v>82</v>
      </c>
      <c r="D35" s="29"/>
      <c r="E35" s="64"/>
      <c r="F35" s="64"/>
      <c r="G35" s="64"/>
      <c r="H35" s="126">
        <v>0</v>
      </c>
      <c r="I35" s="171">
        <v>0</v>
      </c>
      <c r="J35" s="171"/>
      <c r="K35" s="127">
        <v>0</v>
      </c>
      <c r="L35" s="132"/>
      <c r="M35" s="128">
        <f t="shared" si="7"/>
        <v>0</v>
      </c>
    </row>
    <row r="36" spans="1:14">
      <c r="A36" s="27">
        <v>16</v>
      </c>
      <c r="B36" s="29" t="s">
        <v>85</v>
      </c>
      <c r="C36" s="29"/>
      <c r="D36" s="25"/>
      <c r="E36" s="61"/>
      <c r="F36" s="61"/>
      <c r="G36" s="61"/>
      <c r="H36" s="129">
        <f t="shared" ref="H36:M36" si="8">SUM(H33:H35)</f>
        <v>-130</v>
      </c>
      <c r="I36" s="172">
        <f t="shared" ref="I36" si="9">SUM(I33:I35)</f>
        <v>-168</v>
      </c>
      <c r="J36" s="172"/>
      <c r="K36" s="130">
        <f t="shared" si="8"/>
        <v>-167.92949054356825</v>
      </c>
      <c r="L36" s="132"/>
      <c r="M36" s="130">
        <f t="shared" si="8"/>
        <v>7.050945643175055E-2</v>
      </c>
    </row>
    <row r="37" spans="1:14">
      <c r="A37" s="25"/>
      <c r="B37" s="25"/>
      <c r="C37" s="29"/>
      <c r="D37" s="29"/>
      <c r="E37" s="64"/>
      <c r="F37" s="64"/>
      <c r="G37" s="64"/>
      <c r="H37" s="129"/>
      <c r="I37" s="172"/>
      <c r="J37" s="172"/>
      <c r="K37" s="130"/>
      <c r="L37" s="132"/>
      <c r="M37" s="132"/>
    </row>
    <row r="38" spans="1:14">
      <c r="A38" s="27">
        <v>17</v>
      </c>
      <c r="B38" s="26" t="s">
        <v>86</v>
      </c>
      <c r="C38" s="29"/>
      <c r="D38" s="29"/>
      <c r="E38" s="64"/>
      <c r="F38" s="64"/>
      <c r="G38" s="64"/>
      <c r="H38" s="124"/>
      <c r="I38" s="170"/>
      <c r="J38" s="170"/>
      <c r="K38" s="125"/>
      <c r="L38" s="132"/>
      <c r="M38" s="132"/>
    </row>
    <row r="39" spans="1:14">
      <c r="A39" s="27">
        <v>18</v>
      </c>
      <c r="B39" s="26" t="s">
        <v>87</v>
      </c>
      <c r="C39" s="29"/>
      <c r="D39" s="29"/>
      <c r="E39" s="64"/>
      <c r="F39" s="64"/>
      <c r="G39" s="64"/>
      <c r="H39" s="124">
        <v>0</v>
      </c>
      <c r="I39" s="170">
        <v>0</v>
      </c>
      <c r="J39" s="170"/>
      <c r="K39" s="125">
        <v>0</v>
      </c>
      <c r="L39" s="132"/>
      <c r="M39" s="179">
        <f>+K39-I39</f>
        <v>0</v>
      </c>
    </row>
    <row r="40" spans="1:14">
      <c r="A40" s="27">
        <v>19</v>
      </c>
      <c r="B40" s="26" t="s">
        <v>88</v>
      </c>
      <c r="C40" s="29"/>
      <c r="D40" s="29"/>
      <c r="E40" s="64"/>
      <c r="F40" s="64"/>
      <c r="G40" s="64"/>
      <c r="H40" s="124">
        <v>0</v>
      </c>
      <c r="I40" s="170">
        <v>0</v>
      </c>
      <c r="J40" s="170"/>
      <c r="K40" s="125">
        <v>0</v>
      </c>
      <c r="L40" s="132"/>
      <c r="M40" s="179">
        <f>+K40-I40</f>
        <v>0</v>
      </c>
    </row>
    <row r="41" spans="1:14">
      <c r="A41" s="25"/>
      <c r="B41" s="25"/>
      <c r="C41" s="29"/>
      <c r="D41" s="29"/>
      <c r="E41" s="64"/>
      <c r="F41" s="64"/>
      <c r="G41" s="64"/>
      <c r="H41" s="124"/>
      <c r="I41" s="170"/>
      <c r="J41" s="170"/>
      <c r="K41" s="125"/>
      <c r="L41" s="132"/>
      <c r="M41" s="133"/>
    </row>
    <row r="42" spans="1:14">
      <c r="A42" s="25"/>
      <c r="B42" s="26" t="s">
        <v>89</v>
      </c>
      <c r="C42" s="29"/>
      <c r="D42" s="29"/>
      <c r="E42" s="64"/>
      <c r="F42" s="64"/>
      <c r="G42" s="64"/>
      <c r="H42" s="124"/>
      <c r="I42" s="170"/>
      <c r="J42" s="170"/>
      <c r="K42" s="125"/>
      <c r="L42" s="132"/>
      <c r="M42" s="133"/>
    </row>
    <row r="43" spans="1:14">
      <c r="A43" s="27">
        <v>20</v>
      </c>
      <c r="B43" s="25"/>
      <c r="C43" s="29" t="s">
        <v>81</v>
      </c>
      <c r="D43" s="29"/>
      <c r="E43" s="64"/>
      <c r="F43" s="64"/>
      <c r="G43" s="64"/>
      <c r="H43" s="134">
        <v>0</v>
      </c>
      <c r="I43" s="173">
        <v>0</v>
      </c>
      <c r="J43" s="173"/>
      <c r="K43" s="134">
        <v>0</v>
      </c>
      <c r="L43" s="132"/>
      <c r="M43" s="179">
        <f>+K43-I43</f>
        <v>0</v>
      </c>
    </row>
    <row r="44" spans="1:14">
      <c r="A44" s="27">
        <v>21</v>
      </c>
      <c r="B44" s="25"/>
      <c r="C44" s="29" t="s">
        <v>24</v>
      </c>
      <c r="D44" s="29"/>
      <c r="E44" s="64"/>
      <c r="F44" s="64"/>
      <c r="G44" s="64"/>
      <c r="H44" s="124">
        <v>101</v>
      </c>
      <c r="I44" s="170">
        <v>75</v>
      </c>
      <c r="J44" s="170"/>
      <c r="K44" s="197">
        <f>+'[1]Deprec Ex ADJ by Func'!$F$15/1000</f>
        <v>75.004999999999995</v>
      </c>
      <c r="L44" s="132"/>
      <c r="M44" s="179">
        <f t="shared" ref="M44:M46" si="10">+K44-I44</f>
        <v>4.9999999999954525E-3</v>
      </c>
      <c r="N44" s="79"/>
    </row>
    <row r="45" spans="1:14">
      <c r="A45" s="27">
        <v>22</v>
      </c>
      <c r="B45" s="25"/>
      <c r="C45" s="32" t="s">
        <v>90</v>
      </c>
      <c r="D45" s="29"/>
      <c r="E45" s="64"/>
      <c r="F45" s="64"/>
      <c r="G45" s="64"/>
      <c r="H45" s="124">
        <v>3491</v>
      </c>
      <c r="I45" s="170">
        <v>3491</v>
      </c>
      <c r="J45" s="170"/>
      <c r="K45" s="197">
        <f>+[4]Adjustment!$C$42/1000</f>
        <v>3491.4466691608382</v>
      </c>
      <c r="L45" s="132"/>
      <c r="M45" s="179">
        <f t="shared" si="10"/>
        <v>0.44666916083815522</v>
      </c>
    </row>
    <row r="46" spans="1:14">
      <c r="A46" s="27">
        <v>23</v>
      </c>
      <c r="B46" s="25"/>
      <c r="C46" s="29" t="s">
        <v>82</v>
      </c>
      <c r="D46" s="29"/>
      <c r="E46" s="64"/>
      <c r="F46" s="64"/>
      <c r="G46" s="64"/>
      <c r="H46" s="126">
        <v>0</v>
      </c>
      <c r="I46" s="171">
        <v>0</v>
      </c>
      <c r="J46" s="171"/>
      <c r="K46" s="127">
        <v>0</v>
      </c>
      <c r="L46" s="132"/>
      <c r="M46" s="128">
        <f t="shared" si="10"/>
        <v>0</v>
      </c>
    </row>
    <row r="47" spans="1:14">
      <c r="A47" s="27">
        <v>24</v>
      </c>
      <c r="B47" s="29" t="s">
        <v>91</v>
      </c>
      <c r="C47" s="29"/>
      <c r="D47" s="25"/>
      <c r="E47" s="61"/>
      <c r="F47" s="61"/>
      <c r="G47" s="61"/>
      <c r="H47" s="135">
        <f t="shared" ref="H47:M47" si="11">SUM(H43:H46)</f>
        <v>3592</v>
      </c>
      <c r="I47" s="174">
        <f t="shared" ref="I47" si="12">SUM(I43:I46)</f>
        <v>3566</v>
      </c>
      <c r="J47" s="174"/>
      <c r="K47" s="131">
        <f t="shared" si="11"/>
        <v>3566.4516691608383</v>
      </c>
      <c r="L47" s="136"/>
      <c r="M47" s="131">
        <f t="shared" si="11"/>
        <v>0.45166916083815067</v>
      </c>
    </row>
    <row r="48" spans="1:14">
      <c r="A48" s="27">
        <v>25</v>
      </c>
      <c r="B48" s="26" t="s">
        <v>92</v>
      </c>
      <c r="C48" s="29"/>
      <c r="D48" s="29"/>
      <c r="E48" s="64"/>
      <c r="F48" s="64"/>
      <c r="G48" s="64"/>
      <c r="H48" s="135">
        <f t="shared" ref="H48:M48" si="13">H20+H24+H30+H36+H38+H39+H40+H47</f>
        <v>3462</v>
      </c>
      <c r="I48" s="174">
        <f t="shared" si="13"/>
        <v>3398</v>
      </c>
      <c r="J48" s="174"/>
      <c r="K48" s="174">
        <f t="shared" si="13"/>
        <v>3398.5221786172701</v>
      </c>
      <c r="L48" s="132"/>
      <c r="M48" s="174">
        <f t="shared" si="13"/>
        <v>0.52217861726990122</v>
      </c>
    </row>
    <row r="49" spans="1:13">
      <c r="A49" s="25"/>
      <c r="B49" s="25"/>
      <c r="C49" s="29"/>
      <c r="D49" s="29"/>
      <c r="E49" s="64"/>
      <c r="F49" s="64"/>
      <c r="G49" s="64"/>
      <c r="H49" s="129"/>
      <c r="I49" s="172"/>
      <c r="J49" s="172"/>
      <c r="K49" s="130"/>
      <c r="L49" s="132"/>
      <c r="M49" s="132"/>
    </row>
    <row r="50" spans="1:13">
      <c r="A50" s="27">
        <v>26</v>
      </c>
      <c r="B50" s="26" t="s">
        <v>93</v>
      </c>
      <c r="C50" s="29"/>
      <c r="D50" s="29"/>
      <c r="E50" s="64"/>
      <c r="F50" s="64"/>
      <c r="G50" s="64"/>
      <c r="H50" s="129">
        <f t="shared" ref="H50:I50" si="14">H17-H48</f>
        <v>-3462</v>
      </c>
      <c r="I50" s="172">
        <f t="shared" si="14"/>
        <v>-3398</v>
      </c>
      <c r="J50" s="172"/>
      <c r="K50" s="199">
        <f t="shared" ref="K50" si="15">K17-K48</f>
        <v>-3398.5221786172701</v>
      </c>
      <c r="L50" s="132"/>
      <c r="M50" s="179">
        <f t="shared" ref="M50" si="16">+K50-I50</f>
        <v>-0.5221786172701286</v>
      </c>
    </row>
    <row r="51" spans="1:13">
      <c r="A51" s="25"/>
      <c r="B51" s="25"/>
      <c r="C51" s="29"/>
      <c r="D51" s="29"/>
      <c r="E51" s="64"/>
      <c r="F51" s="64"/>
      <c r="G51" s="64"/>
      <c r="H51" s="129"/>
      <c r="I51" s="172"/>
      <c r="J51" s="172"/>
      <c r="K51" s="130"/>
      <c r="L51" s="132"/>
      <c r="M51" s="132"/>
    </row>
    <row r="52" spans="1:13">
      <c r="A52" s="25"/>
      <c r="B52" s="26" t="s">
        <v>94</v>
      </c>
      <c r="C52" s="29"/>
      <c r="D52" s="29"/>
      <c r="E52" s="64"/>
      <c r="F52" s="64"/>
      <c r="G52" s="64"/>
      <c r="H52" s="124"/>
      <c r="I52" s="170"/>
      <c r="J52" s="170"/>
      <c r="K52" s="125"/>
      <c r="L52" s="132"/>
      <c r="M52" s="132"/>
    </row>
    <row r="53" spans="1:13">
      <c r="A53" s="27">
        <v>27</v>
      </c>
      <c r="B53" s="29" t="s">
        <v>95</v>
      </c>
      <c r="C53" s="25"/>
      <c r="D53" s="29"/>
      <c r="E53" s="64"/>
      <c r="F53" s="64"/>
      <c r="G53" s="64"/>
      <c r="H53" s="124">
        <v>-727</v>
      </c>
      <c r="I53" s="170">
        <f t="shared" ref="I53" si="17">I50*0.21</f>
        <v>-713.57999999999993</v>
      </c>
      <c r="J53" s="170"/>
      <c r="K53" s="200">
        <f t="shared" ref="K53" si="18">K50*0.21</f>
        <v>-713.68965750962673</v>
      </c>
      <c r="L53" s="132"/>
      <c r="M53" s="179">
        <f t="shared" ref="M53:M56" si="19">+K53-I53</f>
        <v>-0.10965750962679977</v>
      </c>
    </row>
    <row r="54" spans="1:13">
      <c r="A54" s="27">
        <v>28</v>
      </c>
      <c r="B54" s="29" t="s">
        <v>36</v>
      </c>
      <c r="C54" s="25"/>
      <c r="D54" s="29"/>
      <c r="E54" s="64"/>
      <c r="F54" s="64"/>
      <c r="G54" s="64"/>
      <c r="H54" s="124">
        <f>(H81*E90)*-0.21</f>
        <v>-184.52985599999997</v>
      </c>
      <c r="I54" s="124">
        <f>(I81*E90)*-0.21</f>
        <v>-172.30147199999999</v>
      </c>
      <c r="J54" s="170"/>
      <c r="K54" s="125">
        <f>(K81*F90)*-0.21</f>
        <v>-177.8579917784019</v>
      </c>
      <c r="L54" s="132"/>
      <c r="M54" s="179">
        <f t="shared" si="19"/>
        <v>-5.5565197784019063</v>
      </c>
    </row>
    <row r="55" spans="1:13">
      <c r="A55" s="27">
        <v>29</v>
      </c>
      <c r="B55" s="29" t="s">
        <v>96</v>
      </c>
      <c r="C55" s="25"/>
      <c r="D55" s="29"/>
      <c r="E55" s="64"/>
      <c r="F55" s="64"/>
      <c r="G55" s="64"/>
      <c r="H55" s="124">
        <v>0</v>
      </c>
      <c r="I55" s="170">
        <v>0</v>
      </c>
      <c r="J55" s="170"/>
      <c r="K55" s="125">
        <v>0</v>
      </c>
      <c r="L55" s="132"/>
      <c r="M55" s="179">
        <f t="shared" si="19"/>
        <v>0</v>
      </c>
    </row>
    <row r="56" spans="1:13">
      <c r="A56" s="27">
        <v>30</v>
      </c>
      <c r="B56" s="29" t="s">
        <v>97</v>
      </c>
      <c r="C56" s="25"/>
      <c r="D56" s="29"/>
      <c r="E56" s="64"/>
      <c r="F56" s="64"/>
      <c r="G56" s="64"/>
      <c r="H56" s="126">
        <v>0</v>
      </c>
      <c r="I56" s="171">
        <v>0</v>
      </c>
      <c r="J56" s="171"/>
      <c r="K56" s="127">
        <v>0</v>
      </c>
      <c r="L56" s="132"/>
      <c r="M56" s="128">
        <f t="shared" si="19"/>
        <v>0</v>
      </c>
    </row>
    <row r="57" spans="1:13">
      <c r="A57" s="25"/>
      <c r="B57" s="25"/>
      <c r="C57" s="25"/>
      <c r="D57" s="25"/>
      <c r="E57" s="61"/>
      <c r="F57" s="61"/>
      <c r="G57" s="61"/>
      <c r="H57" s="129"/>
      <c r="I57" s="172"/>
      <c r="J57" s="172"/>
      <c r="K57" s="130"/>
      <c r="L57" s="132"/>
      <c r="M57" s="132"/>
    </row>
    <row r="58" spans="1:13" ht="14.55" thickBot="1">
      <c r="A58" s="27">
        <v>31</v>
      </c>
      <c r="B58" s="28" t="s">
        <v>98</v>
      </c>
      <c r="C58" s="28"/>
      <c r="D58" s="28"/>
      <c r="E58" s="63"/>
      <c r="F58" s="63"/>
      <c r="G58" s="63"/>
      <c r="H58" s="138">
        <f t="shared" ref="H58:M58" si="20">H50-SUM(H53:H56)</f>
        <v>-2550.4701439999999</v>
      </c>
      <c r="I58" s="175">
        <f t="shared" ref="I58" si="21">I50-SUM(I53:I56)</f>
        <v>-2512.118528</v>
      </c>
      <c r="J58" s="175"/>
      <c r="K58" s="139">
        <f t="shared" si="20"/>
        <v>-2506.9745293292417</v>
      </c>
      <c r="L58" s="132"/>
      <c r="M58" s="139">
        <f t="shared" si="20"/>
        <v>5.1439986707585774</v>
      </c>
    </row>
    <row r="59" spans="1:13" ht="14.55" thickTop="1">
      <c r="A59" s="25"/>
      <c r="B59" s="25"/>
      <c r="C59" s="25"/>
      <c r="D59" s="25"/>
      <c r="E59" s="61"/>
      <c r="F59" s="61"/>
      <c r="G59" s="61"/>
      <c r="H59" s="129"/>
      <c r="I59" s="172"/>
      <c r="J59" s="172"/>
      <c r="K59" s="130"/>
      <c r="L59" s="132"/>
      <c r="M59" s="132"/>
    </row>
    <row r="60" spans="1:13">
      <c r="A60" s="25"/>
      <c r="B60" s="26" t="s">
        <v>99</v>
      </c>
      <c r="C60" s="25"/>
      <c r="D60" s="25"/>
      <c r="E60" s="61"/>
      <c r="F60" s="61"/>
      <c r="G60" s="61"/>
      <c r="H60" s="129"/>
      <c r="I60" s="172"/>
      <c r="J60" s="172"/>
      <c r="K60" s="130"/>
    </row>
    <row r="61" spans="1:13">
      <c r="A61" s="25"/>
      <c r="B61" s="26" t="s">
        <v>100</v>
      </c>
      <c r="C61" s="25"/>
      <c r="D61" s="25"/>
      <c r="E61" s="61"/>
      <c r="F61" s="61"/>
      <c r="G61" s="61"/>
      <c r="H61" s="124"/>
      <c r="I61" s="170"/>
      <c r="J61" s="170"/>
      <c r="K61" s="125"/>
    </row>
    <row r="62" spans="1:13">
      <c r="A62" s="27">
        <v>32</v>
      </c>
      <c r="B62" s="29"/>
      <c r="C62" s="29" t="s">
        <v>80</v>
      </c>
      <c r="D62" s="29"/>
      <c r="E62" s="64"/>
      <c r="F62" s="64"/>
      <c r="G62" s="64"/>
      <c r="H62" s="121">
        <v>0</v>
      </c>
      <c r="I62" s="169">
        <v>0</v>
      </c>
      <c r="J62" s="169"/>
      <c r="K62" s="122">
        <v>0</v>
      </c>
      <c r="M62" s="179">
        <f t="shared" ref="M62:M64" si="22">+K62-I62</f>
        <v>0</v>
      </c>
    </row>
    <row r="63" spans="1:13">
      <c r="A63" s="27">
        <v>33</v>
      </c>
      <c r="B63" s="29"/>
      <c r="C63" s="29" t="s">
        <v>101</v>
      </c>
      <c r="D63" s="29"/>
      <c r="E63" s="64"/>
      <c r="F63" s="64"/>
      <c r="G63" s="64"/>
      <c r="H63" s="124">
        <f>25306-5268</f>
        <v>20038</v>
      </c>
      <c r="I63" s="170">
        <f>23981-5268</f>
        <v>18713</v>
      </c>
      <c r="J63" s="170"/>
      <c r="K63" s="197">
        <f>+'[3]ADJ-G'!$O$6/1000-[1]AMI!$L$32/1000</f>
        <v>18713.474623352966</v>
      </c>
      <c r="M63" s="179">
        <f t="shared" si="22"/>
        <v>0.47462335296586389</v>
      </c>
    </row>
    <row r="64" spans="1:13">
      <c r="A64" s="27">
        <v>34</v>
      </c>
      <c r="B64" s="29"/>
      <c r="C64" s="29" t="s">
        <v>102</v>
      </c>
      <c r="D64" s="29"/>
      <c r="E64" s="64"/>
      <c r="F64" s="64"/>
      <c r="G64" s="64"/>
      <c r="H64" s="126">
        <f>4660+8573</f>
        <v>13233</v>
      </c>
      <c r="I64" s="171">
        <f>3559+8631</f>
        <v>12190</v>
      </c>
      <c r="J64" s="171"/>
      <c r="K64" s="198">
        <f>+'[3]ADJ-G'!$O$7/1000+'[3]ADJ-G'!$O$8/1000</f>
        <v>12189.486571627898</v>
      </c>
      <c r="M64" s="128">
        <f t="shared" si="22"/>
        <v>-0.51342837210177095</v>
      </c>
    </row>
    <row r="65" spans="1:13">
      <c r="A65" s="27">
        <v>35</v>
      </c>
      <c r="B65" s="29" t="s">
        <v>103</v>
      </c>
      <c r="C65" s="29"/>
      <c r="D65" s="25"/>
      <c r="E65" s="61"/>
      <c r="F65" s="61"/>
      <c r="G65" s="61"/>
      <c r="H65" s="129">
        <f t="shared" ref="H65:M65" si="23">SUM(H62:H64)</f>
        <v>33271</v>
      </c>
      <c r="I65" s="172">
        <f t="shared" ref="I65" si="24">SUM(I62:I64)</f>
        <v>30903</v>
      </c>
      <c r="J65" s="172"/>
      <c r="K65" s="130">
        <f t="shared" si="23"/>
        <v>30902.961194980864</v>
      </c>
      <c r="L65" s="130"/>
      <c r="M65" s="130">
        <f t="shared" si="23"/>
        <v>-3.880501913590706E-2</v>
      </c>
    </row>
    <row r="66" spans="1:13">
      <c r="A66" s="25"/>
      <c r="B66" s="29"/>
      <c r="C66" s="29"/>
      <c r="D66" s="25"/>
      <c r="E66" s="61"/>
      <c r="F66" s="61"/>
      <c r="G66" s="61"/>
      <c r="H66" s="129"/>
      <c r="I66" s="172"/>
      <c r="J66" s="172"/>
      <c r="K66" s="130"/>
    </row>
    <row r="67" spans="1:13">
      <c r="A67" s="25"/>
      <c r="B67" s="29" t="s">
        <v>47</v>
      </c>
      <c r="C67" s="29"/>
      <c r="D67" s="29"/>
      <c r="E67" s="64"/>
      <c r="F67" s="64"/>
      <c r="G67" s="64"/>
      <c r="H67" s="124"/>
      <c r="I67" s="170"/>
      <c r="J67" s="170"/>
      <c r="K67" s="125"/>
    </row>
    <row r="68" spans="1:13">
      <c r="A68" s="27">
        <v>36</v>
      </c>
      <c r="B68" s="29"/>
      <c r="C68" s="29" t="s">
        <v>80</v>
      </c>
      <c r="D68" s="29"/>
      <c r="E68" s="64"/>
      <c r="F68" s="64"/>
      <c r="G68" s="64"/>
      <c r="H68" s="124">
        <v>0</v>
      </c>
      <c r="I68" s="170">
        <v>0</v>
      </c>
      <c r="J68" s="170"/>
      <c r="K68" s="125">
        <v>0</v>
      </c>
      <c r="M68" s="179">
        <f t="shared" ref="M68:M70" si="25">+K68-I68</f>
        <v>0</v>
      </c>
    </row>
    <row r="69" spans="1:13">
      <c r="A69" s="27">
        <v>37</v>
      </c>
      <c r="B69" s="29"/>
      <c r="C69" s="29" t="s">
        <v>101</v>
      </c>
      <c r="D69" s="29"/>
      <c r="E69" s="64"/>
      <c r="F69" s="64"/>
      <c r="G69" s="64"/>
      <c r="H69" s="124">
        <f>-4161+867</f>
        <v>-3294</v>
      </c>
      <c r="I69" s="170">
        <f>-4098+867</f>
        <v>-3231</v>
      </c>
      <c r="J69" s="170"/>
      <c r="K69" s="197">
        <f>+'[3]ADJ-G'!$O$11/1000-[1]AMI!$L$33/1000</f>
        <v>-3230.8256380974326</v>
      </c>
      <c r="L69" s="132"/>
      <c r="M69" s="179">
        <f t="shared" si="25"/>
        <v>0.17436190256739792</v>
      </c>
    </row>
    <row r="70" spans="1:13">
      <c r="A70" s="27">
        <v>38</v>
      </c>
      <c r="B70" s="29"/>
      <c r="C70" s="29" t="s">
        <v>102</v>
      </c>
      <c r="D70" s="29"/>
      <c r="E70" s="64"/>
      <c r="F70" s="64"/>
      <c r="G70" s="64"/>
      <c r="H70" s="124">
        <f>-1369-4603</f>
        <v>-5972</v>
      </c>
      <c r="I70" s="170">
        <f>-1318-4624</f>
        <v>-5942</v>
      </c>
      <c r="J70" s="170"/>
      <c r="K70" s="197">
        <f>+'[3]ADJ-G'!$O$12/1000+'[3]ADJ-G'!$O$13/1000</f>
        <v>-5942.7486390557015</v>
      </c>
      <c r="L70" s="132"/>
      <c r="M70" s="179">
        <f t="shared" si="25"/>
        <v>-0.74863905570146017</v>
      </c>
    </row>
    <row r="71" spans="1:13">
      <c r="A71" s="27">
        <v>39</v>
      </c>
      <c r="B71" s="29" t="s">
        <v>104</v>
      </c>
      <c r="C71" s="29"/>
      <c r="D71" s="25"/>
      <c r="E71" s="61"/>
      <c r="F71" s="61"/>
      <c r="G71" s="61"/>
      <c r="H71" s="140">
        <f t="shared" ref="H71:M71" si="26">SUM(H68:H70)</f>
        <v>-9266</v>
      </c>
      <c r="I71" s="176">
        <f t="shared" si="26"/>
        <v>-9173</v>
      </c>
      <c r="J71" s="176"/>
      <c r="K71" s="141">
        <f t="shared" si="26"/>
        <v>-9173.5742771531332</v>
      </c>
      <c r="L71" s="132"/>
      <c r="M71" s="141">
        <f t="shared" si="26"/>
        <v>-0.57427715313406225</v>
      </c>
    </row>
    <row r="72" spans="1:13">
      <c r="A72" s="27">
        <v>40</v>
      </c>
      <c r="B72" s="29" t="s">
        <v>105</v>
      </c>
      <c r="C72" s="29"/>
      <c r="D72" s="29"/>
      <c r="E72" s="64"/>
      <c r="F72" s="64"/>
      <c r="G72" s="64"/>
      <c r="H72" s="129">
        <f t="shared" ref="H72:I72" si="27">H65+H71</f>
        <v>24005</v>
      </c>
      <c r="I72" s="129">
        <f t="shared" si="27"/>
        <v>21730</v>
      </c>
      <c r="J72" s="129"/>
      <c r="K72" s="129">
        <f t="shared" ref="K72" si="28">K65+K71</f>
        <v>21729.386917827731</v>
      </c>
      <c r="L72" s="132"/>
      <c r="M72" s="179">
        <f t="shared" ref="M72:M74" si="29">+K72-I72</f>
        <v>-0.61308217226905981</v>
      </c>
    </row>
    <row r="73" spans="1:13">
      <c r="A73" s="30">
        <v>41</v>
      </c>
      <c r="B73" s="31" t="s">
        <v>106</v>
      </c>
      <c r="C73" s="31"/>
      <c r="D73" s="31"/>
      <c r="E73" s="65"/>
      <c r="F73" s="65"/>
      <c r="G73" s="65"/>
      <c r="H73" s="126">
        <f>-1019-3222</f>
        <v>-4241</v>
      </c>
      <c r="I73" s="171">
        <f>-1019-3203</f>
        <v>-4222</v>
      </c>
      <c r="J73" s="171"/>
      <c r="K73" s="198">
        <f>+[1]Adjustment!$C$24/1000</f>
        <v>-4221.7227000000003</v>
      </c>
      <c r="L73" s="132"/>
      <c r="M73" s="179">
        <f t="shared" si="29"/>
        <v>0.27729999999974098</v>
      </c>
    </row>
    <row r="74" spans="1:13">
      <c r="A74" s="30">
        <v>42</v>
      </c>
      <c r="B74" s="31" t="s">
        <v>51</v>
      </c>
      <c r="C74" s="31"/>
      <c r="D74" s="31"/>
      <c r="E74" s="65"/>
      <c r="F74" s="65"/>
      <c r="G74" s="65"/>
      <c r="H74" s="129">
        <f t="shared" ref="H74:K74" si="30">H72+H73</f>
        <v>19764</v>
      </c>
      <c r="I74" s="172">
        <f t="shared" si="30"/>
        <v>17508</v>
      </c>
      <c r="J74" s="172"/>
      <c r="K74" s="130">
        <f t="shared" si="30"/>
        <v>17507.664217827733</v>
      </c>
      <c r="L74" s="130"/>
      <c r="M74" s="179">
        <f t="shared" si="29"/>
        <v>-0.33578217226749985</v>
      </c>
    </row>
    <row r="75" spans="1:13">
      <c r="A75" s="27">
        <v>43</v>
      </c>
      <c r="B75" s="29" t="s">
        <v>107</v>
      </c>
      <c r="C75" s="29"/>
      <c r="D75" s="29"/>
      <c r="E75" s="64"/>
      <c r="F75" s="64"/>
      <c r="G75" s="64"/>
      <c r="H75" s="124">
        <v>0</v>
      </c>
      <c r="I75" s="170">
        <v>0</v>
      </c>
      <c r="J75" s="170"/>
      <c r="K75" s="125">
        <v>0</v>
      </c>
      <c r="L75" s="132"/>
      <c r="M75" s="133">
        <f>+K75-H75</f>
        <v>0</v>
      </c>
    </row>
    <row r="76" spans="1:13">
      <c r="A76" s="30">
        <v>44</v>
      </c>
      <c r="B76" s="31" t="s">
        <v>108</v>
      </c>
      <c r="C76" s="31"/>
      <c r="D76" s="31"/>
      <c r="E76" s="65"/>
      <c r="F76" s="65"/>
      <c r="G76" s="65"/>
      <c r="H76" s="124">
        <v>0</v>
      </c>
      <c r="I76" s="170">
        <v>0</v>
      </c>
      <c r="J76" s="170"/>
      <c r="K76" s="142">
        <v>0</v>
      </c>
      <c r="L76" s="132"/>
      <c r="M76" s="133">
        <f t="shared" ref="M76:M78" si="31">+K76-H76</f>
        <v>0</v>
      </c>
    </row>
    <row r="77" spans="1:13">
      <c r="A77" s="30">
        <v>45</v>
      </c>
      <c r="B77" s="31" t="s">
        <v>109</v>
      </c>
      <c r="C77" s="31"/>
      <c r="D77" s="31"/>
      <c r="E77" s="65"/>
      <c r="F77" s="65"/>
      <c r="G77" s="65"/>
      <c r="H77" s="124">
        <v>15668</v>
      </c>
      <c r="I77" s="170">
        <v>15576</v>
      </c>
      <c r="J77" s="170"/>
      <c r="K77" s="197">
        <f>+[1]Adjustment!$C$19/1000</f>
        <v>15576.03961</v>
      </c>
      <c r="L77" s="132"/>
      <c r="M77" s="179">
        <f t="shared" ref="M77" si="32">+K77-I77</f>
        <v>3.9609999999811407E-2</v>
      </c>
    </row>
    <row r="78" spans="1:13">
      <c r="A78" s="27">
        <v>46</v>
      </c>
      <c r="B78" s="29" t="s">
        <v>53</v>
      </c>
      <c r="C78" s="29"/>
      <c r="D78" s="29"/>
      <c r="E78" s="64"/>
      <c r="F78" s="64"/>
      <c r="G78" s="64"/>
      <c r="H78" s="126">
        <v>0</v>
      </c>
      <c r="I78" s="171">
        <v>0</v>
      </c>
      <c r="J78" s="171"/>
      <c r="K78" s="127">
        <v>0</v>
      </c>
      <c r="L78" s="132"/>
      <c r="M78" s="137">
        <f t="shared" si="31"/>
        <v>0</v>
      </c>
    </row>
    <row r="79" spans="1:13">
      <c r="A79" s="25"/>
      <c r="B79" s="25"/>
      <c r="C79" s="25"/>
      <c r="D79" s="25"/>
      <c r="E79" s="61"/>
      <c r="F79" s="61"/>
      <c r="G79" s="61"/>
      <c r="K79" s="143"/>
      <c r="L79" s="132"/>
      <c r="M79" s="132"/>
    </row>
    <row r="80" spans="1:13">
      <c r="A80" s="25"/>
      <c r="B80" s="25"/>
      <c r="C80" s="25"/>
      <c r="D80" s="25"/>
      <c r="E80" s="61"/>
      <c r="F80" s="61"/>
      <c r="G80" s="61"/>
      <c r="H80" s="129"/>
      <c r="I80" s="172"/>
      <c r="J80" s="172"/>
      <c r="K80" s="130"/>
      <c r="L80" s="132"/>
      <c r="M80" s="132"/>
    </row>
    <row r="81" spans="1:13" ht="14.55" thickBot="1">
      <c r="A81" s="35">
        <v>47</v>
      </c>
      <c r="B81" s="51" t="s">
        <v>110</v>
      </c>
      <c r="C81" s="51"/>
      <c r="D81" s="51"/>
      <c r="E81" s="70"/>
      <c r="F81" s="70"/>
      <c r="G81" s="70"/>
      <c r="H81" s="144">
        <f t="shared" ref="H81:M81" si="33">H74+H75+H76+H78+H77</f>
        <v>35432</v>
      </c>
      <c r="I81" s="177">
        <f t="shared" si="33"/>
        <v>33084</v>
      </c>
      <c r="J81" s="177"/>
      <c r="K81" s="145">
        <f t="shared" si="33"/>
        <v>33083.703827827732</v>
      </c>
      <c r="L81" s="132"/>
      <c r="M81" s="145">
        <f t="shared" si="33"/>
        <v>-0.29617217226768844</v>
      </c>
    </row>
    <row r="82" spans="1:13" ht="14.55" thickTop="1">
      <c r="A82" s="27">
        <v>48</v>
      </c>
      <c r="B82" s="26" t="s">
        <v>111</v>
      </c>
      <c r="C82" s="25"/>
      <c r="D82" s="25"/>
      <c r="E82" s="61"/>
      <c r="F82" s="61"/>
      <c r="G82" s="61"/>
      <c r="H82" s="129"/>
      <c r="I82" s="172"/>
      <c r="J82" s="172"/>
      <c r="K82" s="130"/>
      <c r="L82" s="132"/>
      <c r="M82" s="132"/>
    </row>
    <row r="83" spans="1:13">
      <c r="A83" s="27">
        <v>50</v>
      </c>
      <c r="B83" s="26" t="s">
        <v>112</v>
      </c>
      <c r="C83" s="25"/>
      <c r="D83" s="25"/>
      <c r="E83" s="61"/>
      <c r="F83" s="61"/>
      <c r="G83" s="61"/>
      <c r="H83" s="114">
        <f t="shared" ref="H83:K83" si="34">H86</f>
        <v>6862.3545181321078</v>
      </c>
      <c r="I83" s="114">
        <f>I86</f>
        <v>6580.5978207046301</v>
      </c>
      <c r="J83" s="180"/>
      <c r="K83" s="146">
        <f t="shared" si="34"/>
        <v>6414.5992457031807</v>
      </c>
      <c r="L83" s="132"/>
      <c r="M83" s="148">
        <f>+K83-I83</f>
        <v>-165.99857500144935</v>
      </c>
    </row>
    <row r="84" spans="1:13">
      <c r="A84" s="33"/>
      <c r="B84" s="52"/>
      <c r="C84" s="52"/>
      <c r="D84" s="52"/>
      <c r="E84" s="71"/>
      <c r="F84" s="71"/>
      <c r="G84" s="71"/>
      <c r="H84" s="129"/>
      <c r="I84" s="172"/>
      <c r="J84" s="172"/>
      <c r="K84" s="130"/>
      <c r="L84" s="132"/>
      <c r="M84" s="132"/>
    </row>
    <row r="85" spans="1:13">
      <c r="A85" s="33"/>
      <c r="B85" s="52"/>
      <c r="C85" s="52"/>
      <c r="D85" s="53" t="s">
        <v>58</v>
      </c>
      <c r="E85" s="72"/>
      <c r="F85" s="72"/>
      <c r="G85" s="72"/>
      <c r="H85" s="147">
        <f>+H81*$E$88-H58</f>
        <v>5183.0677439999999</v>
      </c>
      <c r="I85" s="147">
        <f>+I81*$E$88-I58</f>
        <v>4970.259728</v>
      </c>
      <c r="J85" s="147"/>
      <c r="K85" s="147">
        <f>+K81*$F$88-K58</f>
        <v>4845.992389956662</v>
      </c>
      <c r="L85" s="132"/>
      <c r="M85" s="147">
        <f>+K85-I85</f>
        <v>-124.26733804333799</v>
      </c>
    </row>
    <row r="86" spans="1:13">
      <c r="A86" s="33"/>
      <c r="B86" s="52"/>
      <c r="C86" s="52"/>
      <c r="D86" s="53" t="s">
        <v>59</v>
      </c>
      <c r="E86" s="72"/>
      <c r="F86" s="72"/>
      <c r="G86" s="72"/>
      <c r="H86" s="147">
        <f>+H85/$E$89</f>
        <v>6862.3545181321078</v>
      </c>
      <c r="I86" s="147">
        <f>+I85/$E$89</f>
        <v>6580.5978207046301</v>
      </c>
      <c r="J86" s="147"/>
      <c r="K86" s="147">
        <f>+K85/$F$89</f>
        <v>6414.5992457031807</v>
      </c>
      <c r="L86" s="132"/>
      <c r="M86" s="147">
        <f>+K86-I86</f>
        <v>-165.99857500144935</v>
      </c>
    </row>
    <row r="87" spans="1:13">
      <c r="A87" s="33"/>
      <c r="B87" s="71"/>
      <c r="C87" s="71"/>
      <c r="D87" s="77"/>
      <c r="E87" s="72" t="s">
        <v>123</v>
      </c>
      <c r="F87" s="72" t="s">
        <v>121</v>
      </c>
      <c r="G87" s="72"/>
      <c r="H87" s="148"/>
      <c r="I87" s="172"/>
      <c r="J87" s="172"/>
      <c r="K87" s="148"/>
      <c r="L87" s="148"/>
      <c r="M87" s="132"/>
    </row>
    <row r="88" spans="1:13">
      <c r="A88" s="33"/>
      <c r="B88" s="52"/>
      <c r="C88" s="52"/>
      <c r="D88" s="72" t="s">
        <v>118</v>
      </c>
      <c r="E88" s="59">
        <v>7.4300000000000005E-2</v>
      </c>
      <c r="F88" s="59">
        <v>7.0699999999999999E-2</v>
      </c>
      <c r="G88" s="71"/>
      <c r="H88" s="149"/>
      <c r="K88" s="150"/>
      <c r="L88" s="132"/>
      <c r="M88" s="132"/>
    </row>
    <row r="89" spans="1:13">
      <c r="A89" s="33"/>
      <c r="B89" s="52"/>
      <c r="C89" s="52"/>
      <c r="D89" s="53" t="s">
        <v>57</v>
      </c>
      <c r="E89" s="24">
        <v>0.75529000000000002</v>
      </c>
      <c r="F89" s="24">
        <v>0.755463</v>
      </c>
      <c r="G89" s="72"/>
      <c r="H89" s="149"/>
      <c r="K89" s="150"/>
      <c r="L89" s="132"/>
      <c r="M89" s="132"/>
    </row>
    <row r="90" spans="1:13">
      <c r="A90" s="55"/>
      <c r="B90" s="56"/>
      <c r="C90" s="56"/>
      <c r="D90" s="54" t="s">
        <v>119</v>
      </c>
      <c r="E90" s="24">
        <v>2.4799999999999999E-2</v>
      </c>
      <c r="F90" s="24">
        <v>2.5600000000000001E-2</v>
      </c>
      <c r="G90" s="73"/>
      <c r="H90" s="149"/>
      <c r="I90" s="178"/>
      <c r="J90" s="178"/>
      <c r="K90" s="151"/>
      <c r="L90" s="132"/>
      <c r="M90" s="132"/>
    </row>
    <row r="91" spans="1:13">
      <c r="A91" s="55"/>
      <c r="B91" s="56"/>
      <c r="C91" s="56"/>
      <c r="D91" s="57"/>
      <c r="E91" s="75"/>
      <c r="F91" s="75"/>
      <c r="G91" s="75"/>
      <c r="H91" s="149"/>
      <c r="I91" s="178"/>
      <c r="J91" s="178"/>
      <c r="K91" s="151"/>
    </row>
    <row r="92" spans="1:13">
      <c r="A92" s="55"/>
      <c r="B92" s="56"/>
      <c r="C92" s="56"/>
      <c r="D92" s="56"/>
      <c r="E92" s="74"/>
      <c r="F92" s="74"/>
      <c r="G92" s="74"/>
      <c r="I92" s="178"/>
      <c r="J92" s="178"/>
      <c r="K92" s="152"/>
    </row>
    <row r="93" spans="1:13">
      <c r="A93" s="55"/>
      <c r="B93" s="56"/>
      <c r="C93" s="56"/>
      <c r="D93" s="56"/>
      <c r="E93" s="74"/>
      <c r="F93" s="74"/>
      <c r="G93" s="74"/>
      <c r="I93" s="178"/>
      <c r="J93" s="178"/>
      <c r="K93" s="152"/>
    </row>
    <row r="94" spans="1:13">
      <c r="A94" s="30"/>
      <c r="B94" s="50"/>
      <c r="C94" s="50"/>
      <c r="D94" s="50"/>
      <c r="E94" s="69"/>
      <c r="F94" s="69"/>
      <c r="G94" s="69"/>
      <c r="K94" s="152"/>
    </row>
    <row r="95" spans="1:13">
      <c r="A95" s="30"/>
      <c r="B95" s="50"/>
      <c r="C95" s="50"/>
      <c r="D95" s="50"/>
      <c r="E95" s="69"/>
      <c r="F95" s="69"/>
      <c r="G95" s="69"/>
      <c r="K95" s="152"/>
    </row>
    <row r="96" spans="1:13">
      <c r="A96" s="30"/>
      <c r="B96" s="50"/>
      <c r="C96" s="50"/>
      <c r="D96" s="50"/>
      <c r="E96" s="69"/>
      <c r="F96" s="69"/>
      <c r="G96" s="69"/>
      <c r="K96" s="152"/>
    </row>
  </sheetData>
  <pageMargins left="0.7" right="0.7" top="0.75" bottom="0.75" header="0.3" footer="0.3"/>
  <pageSetup scale="51" orientation="portrait" r:id="rId1"/>
  <headerFooter>
    <oddHeader xml:space="preserve">&amp;RExh. AIW-7
Dockets UE-200900, UG-200901, UE-200894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37CFE693D984B342BC03F41F71D2D645" ma:contentTypeVersion="2" ma:contentTypeDescription="" ma:contentTypeScope="" ma:versionID="c25bfc484b095ec755753decea0f5849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dc62652e499f4c913d7d669e882d94ca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union memberTypes="dms:Text">
          <xsd:simpleType>
            <xsd:restriction base="dms:Choice">
              <xsd:enumeration value="Snyder"/>
              <xsd:enumeration value="Jordan"/>
              <xsd:enumeration value="White"/>
              <xsd:enumeration value="Huang"/>
              <xsd:enumeration value="Hillstead"/>
              <xsd:enumeration value="Ball"/>
              <xsd:enumeration value="McGuire"/>
              <xsd:enumeration value="Panco"/>
              <xsd:enumeration value="Parcell"/>
              <xsd:enumeration value="Gomez"/>
              <xsd:enumeration value="Erdahl"/>
              <xsd:enumeration value="Liu"/>
              <xsd:enumeration value="Higb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C06B69-AEC4-4CE2-8B8B-A160A54C323F}"/>
</file>

<file path=customXml/itemProps2.xml><?xml version="1.0" encoding="utf-8"?>
<ds:datastoreItem xmlns:ds="http://schemas.openxmlformats.org/officeDocument/2006/customXml" ds:itemID="{4D50CBFA-9B7D-4333-9ADA-E7EEF8074597}"/>
</file>

<file path=customXml/itemProps3.xml><?xml version="1.0" encoding="utf-8"?>
<ds:datastoreItem xmlns:ds="http://schemas.openxmlformats.org/officeDocument/2006/customXml" ds:itemID="{0C5B230E-3C80-4177-B2EB-8A1DC155E6B6}"/>
</file>

<file path=customXml/itemProps4.xml><?xml version="1.0" encoding="utf-8"?>
<ds:datastoreItem xmlns:ds="http://schemas.openxmlformats.org/officeDocument/2006/customXml" ds:itemID="{84089903-09D7-497C-8F3E-D6A1499C02D0}"/>
</file>

<file path=customXml/itemProps5.xml><?xml version="1.0" encoding="utf-8"?>
<ds:datastoreItem xmlns:ds="http://schemas.openxmlformats.org/officeDocument/2006/customXml" ds:itemID="{0D634FFA-D7E4-4F12-BAEE-1409BD204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3.16 Electric</vt:lpstr>
      <vt:lpstr>3.16 Gas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Staff’s Calculation of Adjustment 3.16 E-AMI (electric) and G-PAMI, Pro Forma AMI Capital Additions (natural gas)</dc:title>
  <dc:creator>White, Amy (UTC)</dc:creator>
  <dc:description/>
  <cp:lastModifiedBy>White, Amy (UTC)</cp:lastModifiedBy>
  <cp:lastPrinted>2021-04-06T16:05:38Z</cp:lastPrinted>
  <dcterms:created xsi:type="dcterms:W3CDTF">2021-03-02T20:59:32Z</dcterms:created>
  <dcterms:modified xsi:type="dcterms:W3CDTF">2021-04-12T22:16:36Z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