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5180" windowHeight="7815"/>
  </bookViews>
  <sheets>
    <sheet name="Sum" sheetId="4" r:id="rId1"/>
    <sheet name="Support" sheetId="1" r:id="rId2"/>
  </sheets>
  <definedNames>
    <definedName name="\C">#REF!</definedName>
    <definedName name="\F">#REF!</definedName>
    <definedName name="\P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#REF!</definedName>
    <definedName name="HEADING">#REF!</definedName>
    <definedName name="HEADING2">#REF!</definedName>
    <definedName name="PAGE1">#REF!</definedName>
    <definedName name="PAGE10">#REF!</definedName>
    <definedName name="PAGE10A">#REF!</definedName>
    <definedName name="PAGE11">#REF!</definedName>
    <definedName name="PAGE2">Sum!$A$1:$L$10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0">Sum!$A$1:$L$20</definedName>
    <definedName name="_xlnm.Print_Area" localSheetId="1">Support!$A$1:$T$60</definedName>
    <definedName name="_xlnm.Print_Titles" localSheetId="0">Sum!$1:$10</definedName>
    <definedName name="rateswitch">#REF!</definedName>
    <definedName name="ser_c_03_amort">#REF!</definedName>
  </definedNames>
  <calcPr calcId="152511"/>
</workbook>
</file>

<file path=xl/calcChain.xml><?xml version="1.0" encoding="utf-8"?>
<calcChain xmlns="http://schemas.openxmlformats.org/spreadsheetml/2006/main">
  <c r="N42" i="1" l="1"/>
  <c r="O40" i="1" l="1"/>
  <c r="O41" i="1"/>
  <c r="P40" i="1"/>
  <c r="P41" i="1"/>
  <c r="P39" i="1"/>
  <c r="O39" i="1"/>
  <c r="I39" i="1" l="1"/>
  <c r="L39" i="1" s="1"/>
  <c r="M39" i="1" s="1"/>
  <c r="I40" i="1"/>
  <c r="L40" i="1" s="1"/>
  <c r="M40" i="1" s="1"/>
  <c r="I41" i="1"/>
  <c r="L41" i="1" s="1"/>
  <c r="M41" i="1" s="1"/>
  <c r="G41" i="1"/>
  <c r="F41" i="1"/>
  <c r="Q41" i="1" s="1"/>
  <c r="G40" i="1"/>
  <c r="F40" i="1"/>
  <c r="H40" i="1" s="1"/>
  <c r="G39" i="1"/>
  <c r="H39" i="1" s="1"/>
  <c r="F39" i="1"/>
  <c r="E39" i="1"/>
  <c r="D42" i="1"/>
  <c r="E40" i="1"/>
  <c r="E41" i="1"/>
  <c r="A29" i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28" i="1"/>
  <c r="P22" i="1"/>
  <c r="Q39" i="1" l="1"/>
  <c r="R39" i="1" s="1"/>
  <c r="R41" i="1"/>
  <c r="H41" i="1"/>
  <c r="Q40" i="1"/>
  <c r="R40" i="1" s="1"/>
  <c r="L19" i="1" l="1"/>
  <c r="L21" i="1"/>
  <c r="L20" i="1"/>
  <c r="D22" i="1"/>
  <c r="M22" i="1" s="1"/>
  <c r="G21" i="1"/>
  <c r="F21" i="1"/>
  <c r="Q21" i="1" s="1"/>
  <c r="R21" i="1" s="1"/>
  <c r="E21" i="1"/>
  <c r="G20" i="1"/>
  <c r="F20" i="1"/>
  <c r="Q20" i="1" s="1"/>
  <c r="E20" i="1"/>
  <c r="G19" i="1"/>
  <c r="F19" i="1"/>
  <c r="H19" i="1" s="1"/>
  <c r="E1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Q19" i="1" l="1"/>
  <c r="R19" i="1" s="1"/>
  <c r="H20" i="1"/>
  <c r="H21" i="1"/>
  <c r="R20" i="1"/>
  <c r="J14" i="4"/>
  <c r="G38" i="1" l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H29" i="1" s="1"/>
  <c r="G28" i="1"/>
  <c r="F28" i="1"/>
  <c r="G27" i="1"/>
  <c r="F27" i="1"/>
  <c r="H27" i="1" s="1"/>
  <c r="H38" i="1"/>
  <c r="E38" i="1"/>
  <c r="E37" i="1"/>
  <c r="E36" i="1"/>
  <c r="E35" i="1"/>
  <c r="E34" i="1"/>
  <c r="E33" i="1"/>
  <c r="E32" i="1"/>
  <c r="E31" i="1"/>
  <c r="E30" i="1"/>
  <c r="E29" i="1"/>
  <c r="E28" i="1"/>
  <c r="E27" i="1"/>
  <c r="E42" i="1" l="1"/>
  <c r="H32" i="1"/>
  <c r="H34" i="1"/>
  <c r="H36" i="1"/>
  <c r="H33" i="1"/>
  <c r="H35" i="1"/>
  <c r="H37" i="1"/>
  <c r="H31" i="1"/>
  <c r="H28" i="1"/>
  <c r="H30" i="1"/>
  <c r="E16" i="4"/>
  <c r="G18" i="1"/>
  <c r="F18" i="1"/>
  <c r="P38" i="1"/>
  <c r="O38" i="1"/>
  <c r="I38" i="1"/>
  <c r="L38" i="1" s="1"/>
  <c r="M38" i="1" s="1"/>
  <c r="B15" i="4"/>
  <c r="E18" i="1"/>
  <c r="L18" i="1"/>
  <c r="E12" i="1"/>
  <c r="E13" i="1"/>
  <c r="E14" i="1"/>
  <c r="E15" i="1"/>
  <c r="E16" i="1"/>
  <c r="E17" i="1"/>
  <c r="E11" i="1"/>
  <c r="E10" i="1"/>
  <c r="I29" i="1"/>
  <c r="L29" i="1" s="1"/>
  <c r="M29" i="1" s="1"/>
  <c r="O29" i="1"/>
  <c r="P29" i="1"/>
  <c r="E9" i="1"/>
  <c r="E8" i="1"/>
  <c r="E7" i="1"/>
  <c r="E22" i="1" l="1"/>
  <c r="H18" i="1"/>
  <c r="E15" i="4"/>
  <c r="Q38" i="1"/>
  <c r="Q18" i="1"/>
  <c r="R18" i="1" s="1"/>
  <c r="Q29" i="1"/>
  <c r="R29" i="1" s="1"/>
  <c r="R38" i="1" l="1"/>
  <c r="G15" i="4" l="1"/>
  <c r="I37" i="1"/>
  <c r="L37" i="1" s="1"/>
  <c r="M37" i="1" s="1"/>
  <c r="O37" i="1"/>
  <c r="P37" i="1"/>
  <c r="L17" i="1"/>
  <c r="G17" i="1"/>
  <c r="F17" i="1"/>
  <c r="O36" i="1"/>
  <c r="O35" i="1"/>
  <c r="O34" i="1"/>
  <c r="O32" i="1"/>
  <c r="O31" i="1"/>
  <c r="O28" i="1"/>
  <c r="O27" i="1"/>
  <c r="O13" i="1"/>
  <c r="O33" i="1" s="1"/>
  <c r="Q17" i="1" l="1"/>
  <c r="R17" i="1" s="1"/>
  <c r="H17" i="1"/>
  <c r="Q37" i="1"/>
  <c r="R37" i="1" s="1"/>
  <c r="E17" i="4" l="1"/>
  <c r="O10" i="1" l="1"/>
  <c r="O22" i="1" s="1"/>
  <c r="O30" i="1" l="1"/>
  <c r="P28" i="1"/>
  <c r="P30" i="1"/>
  <c r="P31" i="1"/>
  <c r="P32" i="1"/>
  <c r="P33" i="1"/>
  <c r="P34" i="1"/>
  <c r="P36" i="1"/>
  <c r="P27" i="1"/>
  <c r="P35" i="1"/>
  <c r="P42" i="1" l="1"/>
  <c r="O42" i="1"/>
  <c r="F16" i="4" s="1"/>
  <c r="G16" i="4"/>
  <c r="G17" i="4" s="1"/>
  <c r="I32" i="1"/>
  <c r="L32" i="1" s="1"/>
  <c r="M32" i="1" s="1"/>
  <c r="I33" i="1"/>
  <c r="L33" i="1" s="1"/>
  <c r="M33" i="1" s="1"/>
  <c r="I34" i="1"/>
  <c r="L34" i="1" s="1"/>
  <c r="M34" i="1" s="1"/>
  <c r="I35" i="1"/>
  <c r="L35" i="1" s="1"/>
  <c r="M35" i="1" s="1"/>
  <c r="I36" i="1"/>
  <c r="L36" i="1" s="1"/>
  <c r="M36" i="1" s="1"/>
  <c r="N16" i="1"/>
  <c r="G16" i="1"/>
  <c r="F16" i="1"/>
  <c r="L16" i="1"/>
  <c r="N15" i="1"/>
  <c r="F15" i="1"/>
  <c r="L15" i="1"/>
  <c r="G15" i="1"/>
  <c r="N14" i="1"/>
  <c r="G14" i="1"/>
  <c r="L14" i="1"/>
  <c r="F14" i="1"/>
  <c r="G13" i="1"/>
  <c r="F13" i="1"/>
  <c r="L13" i="1"/>
  <c r="G12" i="1"/>
  <c r="F12" i="1"/>
  <c r="L12" i="1"/>
  <c r="N22" i="1" l="1"/>
  <c r="F15" i="4" s="1"/>
  <c r="H15" i="4" s="1"/>
  <c r="H16" i="4"/>
  <c r="H14" i="1"/>
  <c r="Q15" i="1"/>
  <c r="R15" i="1" s="1"/>
  <c r="Q33" i="1"/>
  <c r="R33" i="1" s="1"/>
  <c r="Q34" i="1"/>
  <c r="R34" i="1" s="1"/>
  <c r="Q35" i="1"/>
  <c r="R35" i="1" s="1"/>
  <c r="Q16" i="1"/>
  <c r="R16" i="1" s="1"/>
  <c r="Q14" i="1"/>
  <c r="R14" i="1" s="1"/>
  <c r="Q32" i="1"/>
  <c r="R32" i="1" s="1"/>
  <c r="Q13" i="1"/>
  <c r="R13" i="1" s="1"/>
  <c r="Q12" i="1"/>
  <c r="R12" i="1" s="1"/>
  <c r="Q36" i="1"/>
  <c r="H16" i="1"/>
  <c r="H15" i="1"/>
  <c r="H13" i="1"/>
  <c r="H12" i="1"/>
  <c r="R36" i="1" l="1"/>
  <c r="F17" i="4"/>
  <c r="H17" i="4"/>
  <c r="I28" i="1"/>
  <c r="L28" i="1" s="1"/>
  <c r="M28" i="1" s="1"/>
  <c r="I30" i="1"/>
  <c r="L30" i="1" s="1"/>
  <c r="M30" i="1" s="1"/>
  <c r="I31" i="1"/>
  <c r="L31" i="1" s="1"/>
  <c r="M31" i="1" s="1"/>
  <c r="I27" i="1"/>
  <c r="L27" i="1" s="1"/>
  <c r="M27" i="1" s="1"/>
  <c r="M42" i="1" l="1"/>
  <c r="B16" i="4" s="1"/>
  <c r="B17" i="4" s="1"/>
  <c r="Q30" i="1"/>
  <c r="R30" i="1" s="1"/>
  <c r="Q28" i="1"/>
  <c r="R28" i="1" s="1"/>
  <c r="Q31" i="1"/>
  <c r="R31" i="1" s="1"/>
  <c r="Q27" i="1"/>
  <c r="L8" i="1"/>
  <c r="L9" i="1"/>
  <c r="L10" i="1"/>
  <c r="L11" i="1"/>
  <c r="L7" i="1"/>
  <c r="G11" i="1"/>
  <c r="F11" i="1"/>
  <c r="G10" i="1"/>
  <c r="F10" i="1"/>
  <c r="G9" i="1"/>
  <c r="F9" i="1"/>
  <c r="G8" i="1"/>
  <c r="F8" i="1"/>
  <c r="G7" i="1"/>
  <c r="F7" i="1"/>
  <c r="Q8" i="1" l="1"/>
  <c r="R8" i="1" s="1"/>
  <c r="Q10" i="1"/>
  <c r="R10" i="1" s="1"/>
  <c r="Q42" i="1"/>
  <c r="Q7" i="1"/>
  <c r="Q9" i="1"/>
  <c r="R9" i="1" s="1"/>
  <c r="R27" i="1"/>
  <c r="R42" i="1" s="1"/>
  <c r="Q11" i="1"/>
  <c r="R11" i="1" s="1"/>
  <c r="H7" i="1"/>
  <c r="H8" i="1"/>
  <c r="H9" i="1"/>
  <c r="H10" i="1"/>
  <c r="H11" i="1"/>
  <c r="Q22" i="1" l="1"/>
  <c r="R7" i="1"/>
  <c r="K16" i="4"/>
  <c r="J16" i="4" s="1"/>
  <c r="R22" i="1" l="1"/>
  <c r="K15" i="4" s="1"/>
  <c r="K17" i="4" l="1"/>
  <c r="J15" i="4"/>
  <c r="J17" i="4"/>
</calcChain>
</file>

<file path=xl/sharedStrings.xml><?xml version="1.0" encoding="utf-8"?>
<sst xmlns="http://schemas.openxmlformats.org/spreadsheetml/2006/main" count="173" uniqueCount="137">
  <si>
    <t>Coupon</t>
  </si>
  <si>
    <t>Rate</t>
  </si>
  <si>
    <t>Date</t>
  </si>
  <si>
    <t>Maturity</t>
  </si>
  <si>
    <t>Settlement</t>
  </si>
  <si>
    <t>Term</t>
  </si>
  <si>
    <t>Treasury</t>
  </si>
  <si>
    <t>Strike</t>
  </si>
  <si>
    <t>Spread</t>
  </si>
  <si>
    <t>Yield</t>
  </si>
  <si>
    <t>Principal</t>
  </si>
  <si>
    <t xml:space="preserve">  6.10% Series due 2036</t>
  </si>
  <si>
    <t xml:space="preserve">  5.75% Series due 2037</t>
  </si>
  <si>
    <t xml:space="preserve">  6.25% Series due 2037</t>
  </si>
  <si>
    <t xml:space="preserve">  6.35% Series due 2038</t>
  </si>
  <si>
    <t xml:space="preserve">  6.00% Series due 2039</t>
  </si>
  <si>
    <t>Re-offer</t>
  </si>
  <si>
    <t>Discount</t>
  </si>
  <si>
    <t>Issuance</t>
  </si>
  <si>
    <t>Costs</t>
  </si>
  <si>
    <t>Cost of</t>
  </si>
  <si>
    <t>Debt</t>
  </si>
  <si>
    <t>Post Acquistion</t>
  </si>
  <si>
    <t xml:space="preserve">  Series due 2036</t>
  </si>
  <si>
    <t xml:space="preserve">  Series due 2037</t>
  </si>
  <si>
    <t>a</t>
  </si>
  <si>
    <t>FMB Issuances</t>
  </si>
  <si>
    <t xml:space="preserve">  Series due 2037 (II)</t>
  </si>
  <si>
    <t xml:space="preserve">  Series due 2038</t>
  </si>
  <si>
    <t xml:space="preserve">  Series due 2039</t>
  </si>
  <si>
    <t>b</t>
  </si>
  <si>
    <t>c</t>
  </si>
  <si>
    <t>e</t>
  </si>
  <si>
    <t>g</t>
  </si>
  <si>
    <t>(a) APS</t>
  </si>
  <si>
    <t>(b) PG&amp;E</t>
  </si>
  <si>
    <t>PacifiCorp</t>
  </si>
  <si>
    <t>(c) Appalachian Power</t>
  </si>
  <si>
    <t>(e) El Paso Power</t>
  </si>
  <si>
    <t>(d) Union Electric</t>
  </si>
  <si>
    <t>(f) Westar Energy</t>
  </si>
  <si>
    <t>(g) Potomac Electric Power</t>
  </si>
  <si>
    <t>Pro-forma Issuances</t>
  </si>
  <si>
    <t>Annual Debt</t>
  </si>
  <si>
    <t>Service Cost</t>
  </si>
  <si>
    <t xml:space="preserve">  3.85% Series due 2021</t>
  </si>
  <si>
    <t xml:space="preserve">  2.95% Series due 2022</t>
  </si>
  <si>
    <t xml:space="preserve">  2.95% Series due 2023</t>
  </si>
  <si>
    <t xml:space="preserve">  4.10% Series due 2042</t>
  </si>
  <si>
    <t>h</t>
  </si>
  <si>
    <t>i</t>
  </si>
  <si>
    <t>j</t>
  </si>
  <si>
    <t>k</t>
  </si>
  <si>
    <t>l</t>
  </si>
  <si>
    <t>(h) Great Plains Energy</t>
  </si>
  <si>
    <t>(i) Southwestern Electric Power Co</t>
  </si>
  <si>
    <t>(j) APS</t>
  </si>
  <si>
    <t>(k) Progress Energy</t>
  </si>
  <si>
    <t>(l) NextEra Energy Capital Holdings</t>
  </si>
  <si>
    <t xml:space="preserve">  Series due 2021</t>
  </si>
  <si>
    <t xml:space="preserve">  Series due 2022</t>
  </si>
  <si>
    <t xml:space="preserve">  Series due 2042</t>
  </si>
  <si>
    <t xml:space="preserve">  Series due 2023</t>
  </si>
  <si>
    <t>Refunding</t>
  </si>
  <si>
    <t>uw fee</t>
  </si>
  <si>
    <t xml:space="preserve">  3.60% Series due 2024</t>
  </si>
  <si>
    <t xml:space="preserve">  Series due 2024</t>
  </si>
  <si>
    <t>m</t>
  </si>
  <si>
    <t>(m) Pacific Gas &amp; Electric Co</t>
  </si>
  <si>
    <t>LTD</t>
  </si>
  <si>
    <t>Ln</t>
  </si>
  <si>
    <t>Exhib.</t>
  </si>
  <si>
    <t>PACIFICORP</t>
  </si>
  <si>
    <t>Electric Operations</t>
  </si>
  <si>
    <t>Pro FormaCost of Long-Term Debt Detail</t>
  </si>
  <si>
    <t>NET PROCEEDS TO COMPANY</t>
  </si>
  <si>
    <t>PRINCIPAL AMOUNT</t>
  </si>
  <si>
    <t>TOTAL</t>
  </si>
  <si>
    <t>PER $100</t>
  </si>
  <si>
    <t>LINE</t>
  </si>
  <si>
    <t>INTEREST</t>
  </si>
  <si>
    <t/>
  </si>
  <si>
    <t>ISSUANCE</t>
  </si>
  <si>
    <t>ORIGINAL</t>
  </si>
  <si>
    <t>REDEMPTION</t>
  </si>
  <si>
    <t>DOLLAR</t>
  </si>
  <si>
    <t>PRINCIPAL</t>
  </si>
  <si>
    <t>MONEY TO</t>
  </si>
  <si>
    <t>ANNUAL DEBT</t>
  </si>
  <si>
    <t xml:space="preserve"> NO.</t>
  </si>
  <si>
    <t>RATE</t>
  </si>
  <si>
    <t>DESCRIPTION</t>
  </si>
  <si>
    <t>ISSUE</t>
  </si>
  <si>
    <t>OUTSTANDING</t>
  </si>
  <si>
    <t>EXPENSES</t>
  </si>
  <si>
    <t>AMOUNT</t>
  </si>
  <si>
    <t>COMPANY</t>
  </si>
  <si>
    <t>SERVICE COST</t>
  </si>
  <si>
    <t>(a)</t>
  </si>
  <si>
    <t>(b)</t>
  </si>
  <si>
    <t>(g)</t>
  </si>
  <si>
    <t>(h)</t>
  </si>
  <si>
    <t>(i)</t>
  </si>
  <si>
    <t>(j)</t>
  </si>
  <si>
    <t>(k)</t>
  </si>
  <si>
    <t>(l)</t>
  </si>
  <si>
    <t>(m)</t>
  </si>
  <si>
    <t>(n)</t>
  </si>
  <si>
    <t>Total Long-Term Debt</t>
  </si>
  <si>
    <t>Total Long-Term Debt - Pro Forma</t>
  </si>
  <si>
    <t>Pro Forma Post Acquistion Debt Issuances</t>
  </si>
  <si>
    <t>Ave</t>
  </si>
  <si>
    <t>Outstsnding</t>
  </si>
  <si>
    <t xml:space="preserve">  3.35% Series due 2025</t>
  </si>
  <si>
    <t xml:space="preserve">  Series due 2025</t>
  </si>
  <si>
    <t>n</t>
  </si>
  <si>
    <t>(n) Pacific Gas &amp; Electric Co</t>
  </si>
  <si>
    <t>AVE</t>
  </si>
  <si>
    <t>12 Months Ended December 31, 2020</t>
  </si>
  <si>
    <t xml:space="preserve">  4.125% Series due 2049</t>
  </si>
  <si>
    <t xml:space="preserve">  3.50% Series due 2029</t>
  </si>
  <si>
    <t xml:space="preserve">  Series due 2049</t>
  </si>
  <si>
    <t xml:space="preserve">  4.15% Series due 2050</t>
  </si>
  <si>
    <t xml:space="preserve">  Series due 2029</t>
  </si>
  <si>
    <t xml:space="preserve">  Series due 2050</t>
  </si>
  <si>
    <t>standard</t>
  </si>
  <si>
    <t>o</t>
  </si>
  <si>
    <t>p</t>
  </si>
  <si>
    <t>q</t>
  </si>
  <si>
    <r>
      <t xml:space="preserve">Actual Post Acquistion Debt Issuances </t>
    </r>
    <r>
      <rPr>
        <sz val="9"/>
        <rFont val="Times New Roman"/>
        <family val="1"/>
      </rPr>
      <t>(1)</t>
    </r>
  </si>
  <si>
    <t>(1)</t>
  </si>
  <si>
    <t>Issuance Expenses include issuance yield discounts</t>
  </si>
  <si>
    <t>2020 WA GRC</t>
  </si>
  <si>
    <r>
      <t xml:space="preserve">EXPENSES </t>
    </r>
    <r>
      <rPr>
        <sz val="8"/>
        <rFont val="Times New Roman"/>
        <family val="1"/>
      </rPr>
      <t>(1)</t>
    </r>
  </si>
  <si>
    <t>(o) Tampa Electric Co</t>
  </si>
  <si>
    <t>(p) Dominion Energy Inc</t>
  </si>
  <si>
    <t>(q) Dominion Energy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</si>
</sst>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mm/dd/yy_)"/>
    <numFmt numFmtId="165" formatCode="0_)"/>
    <numFmt numFmtId="166" formatCode="0.000%"/>
    <numFmt numFmtId="167" formatCode="_(* #,##0_);_(* \(#,##0\);_(* &quot;-&quot;??_);_(@_)"/>
    <numFmt numFmtId="168" formatCode="0.0%"/>
    <numFmt numFmtId="169" formatCode="[$-409]mmmm\ d\,\ yy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 MT"/>
    </font>
    <font>
      <b/>
      <sz val="12"/>
      <color indexed="9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9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56"/>
      </top>
      <bottom/>
      <diagonal/>
    </border>
    <border>
      <left/>
      <right/>
      <top/>
      <bottom style="thin">
        <color indexed="56"/>
      </bottom>
      <diagonal/>
    </border>
    <border>
      <left/>
      <right/>
      <top/>
      <bottom style="thin">
        <color theme="1"/>
      </bottom>
      <diagonal/>
    </border>
    <border>
      <left style="thin">
        <color indexed="12"/>
      </left>
      <right/>
      <top style="thin">
        <color indexed="56"/>
      </top>
      <bottom/>
      <diagonal/>
    </border>
    <border>
      <left/>
      <right style="thin">
        <color indexed="12"/>
      </right>
      <top style="thin">
        <color indexed="56"/>
      </top>
      <bottom/>
      <diagonal/>
    </border>
    <border>
      <left style="thin">
        <color indexed="12"/>
      </left>
      <right/>
      <top/>
      <bottom style="thin">
        <color indexed="56"/>
      </bottom>
      <diagonal/>
    </border>
    <border>
      <left/>
      <right style="thin">
        <color indexed="12"/>
      </right>
      <top/>
      <bottom style="thin">
        <color indexed="56"/>
      </bottom>
      <diagonal/>
    </border>
    <border>
      <left style="thin">
        <color indexed="12"/>
      </left>
      <right/>
      <top/>
      <bottom style="thin">
        <color theme="1"/>
      </bottom>
      <diagonal/>
    </border>
    <border>
      <left/>
      <right style="thin">
        <color indexed="12"/>
      </right>
      <top/>
      <bottom style="thin">
        <color theme="1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6" fontId="7" fillId="0" borderId="0"/>
    <xf numFmtId="9" fontId="13" fillId="0" borderId="0" applyFont="0" applyFill="0" applyBorder="0" applyAlignment="0" applyProtection="0"/>
  </cellStyleXfs>
  <cellXfs count="113">
    <xf numFmtId="0" fontId="0" fillId="0" borderId="0" xfId="0"/>
    <xf numFmtId="6" fontId="2" fillId="0" borderId="0" xfId="0" applyNumberFormat="1" applyFont="1" applyBorder="1"/>
    <xf numFmtId="164" fontId="2" fillId="0" borderId="0" xfId="0" applyNumberFormat="1" applyFont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5" fontId="3" fillId="0" borderId="0" xfId="0" applyNumberFormat="1" applyFont="1"/>
    <xf numFmtId="166" fontId="3" fillId="0" borderId="0" xfId="0" applyNumberFormat="1" applyFont="1" applyAlignment="1">
      <alignment horizontal="right"/>
    </xf>
    <xf numFmtId="6" fontId="3" fillId="0" borderId="0" xfId="0" applyNumberFormat="1" applyFont="1"/>
    <xf numFmtId="166" fontId="2" fillId="0" borderId="0" xfId="0" applyNumberFormat="1" applyFont="1" applyBorder="1" applyAlignment="1" applyProtection="1">
      <alignment horizontal="center"/>
    </xf>
    <xf numFmtId="6" fontId="4" fillId="0" borderId="0" xfId="0" applyNumberFormat="1" applyFont="1"/>
    <xf numFmtId="166" fontId="4" fillId="0" borderId="0" xfId="1" applyNumberFormat="1" applyFont="1" applyAlignment="1">
      <alignment horizontal="right"/>
    </xf>
    <xf numFmtId="5" fontId="2" fillId="0" borderId="0" xfId="0" applyNumberFormat="1" applyFont="1" applyFill="1" applyBorder="1" applyAlignment="1" applyProtection="1">
      <alignment horizontal="right"/>
    </xf>
    <xf numFmtId="166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6" fontId="2" fillId="0" borderId="0" xfId="0" applyNumberFormat="1" applyFont="1" applyBorder="1" applyAlignment="1">
      <alignment horizontal="left"/>
    </xf>
    <xf numFmtId="166" fontId="4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right"/>
    </xf>
    <xf numFmtId="6" fontId="2" fillId="0" borderId="0" xfId="0" applyNumberFormat="1" applyFont="1"/>
    <xf numFmtId="0" fontId="3" fillId="0" borderId="0" xfId="0" quotePrefix="1" applyFont="1"/>
    <xf numFmtId="0" fontId="5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/>
    </xf>
    <xf numFmtId="166" fontId="4" fillId="0" borderId="0" xfId="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6" fontId="4" fillId="0" borderId="0" xfId="0" applyNumberFormat="1" applyFont="1" applyBorder="1"/>
    <xf numFmtId="166" fontId="2" fillId="0" borderId="0" xfId="1" applyNumberFormat="1" applyFont="1" applyBorder="1" applyAlignment="1">
      <alignment horizontal="right"/>
    </xf>
    <xf numFmtId="166" fontId="4" fillId="0" borderId="0" xfId="1" applyNumberFormat="1" applyFont="1" applyBorder="1" applyAlignment="1">
      <alignment horizontal="center"/>
    </xf>
    <xf numFmtId="167" fontId="3" fillId="0" borderId="0" xfId="2" applyNumberFormat="1" applyFont="1"/>
    <xf numFmtId="0" fontId="6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43" fontId="3" fillId="0" borderId="0" xfId="2" applyFont="1"/>
    <xf numFmtId="6" fontId="4" fillId="0" borderId="0" xfId="2" applyNumberFormat="1" applyFont="1"/>
    <xf numFmtId="168" fontId="3" fillId="0" borderId="0" xfId="0" applyNumberFormat="1" applyFont="1"/>
    <xf numFmtId="166" fontId="4" fillId="0" borderId="0" xfId="0" applyNumberFormat="1" applyFont="1" applyBorder="1" applyAlignment="1" applyProtection="1">
      <alignment horizontal="center"/>
    </xf>
    <xf numFmtId="6" fontId="2" fillId="0" borderId="0" xfId="3" applyFont="1" applyFill="1"/>
    <xf numFmtId="6" fontId="9" fillId="0" borderId="5" xfId="3" applyFont="1" applyFill="1" applyBorder="1" applyAlignment="1">
      <alignment horizontal="center"/>
    </xf>
    <xf numFmtId="6" fontId="10" fillId="0" borderId="0" xfId="3" applyFont="1" applyFill="1" applyBorder="1" applyAlignment="1">
      <alignment horizontal="center"/>
    </xf>
    <xf numFmtId="6" fontId="10" fillId="0" borderId="0" xfId="3" applyFont="1" applyFill="1" applyBorder="1"/>
    <xf numFmtId="6" fontId="9" fillId="0" borderId="6" xfId="3" applyFont="1" applyFill="1" applyBorder="1"/>
    <xf numFmtId="6" fontId="11" fillId="0" borderId="0" xfId="3" applyFont="1" applyFill="1"/>
    <xf numFmtId="6" fontId="9" fillId="0" borderId="0" xfId="3" applyFont="1" applyFill="1" applyBorder="1" applyAlignment="1">
      <alignment horizontal="center"/>
    </xf>
    <xf numFmtId="6" fontId="9" fillId="0" borderId="0" xfId="3" applyFont="1" applyFill="1" applyBorder="1"/>
    <xf numFmtId="6" fontId="9" fillId="0" borderId="7" xfId="3" applyFont="1" applyFill="1" applyBorder="1"/>
    <xf numFmtId="6" fontId="11" fillId="0" borderId="0" xfId="3" applyFont="1" applyFill="1" applyBorder="1"/>
    <xf numFmtId="6" fontId="2" fillId="0" borderId="9" xfId="3" quotePrefix="1" applyFont="1" applyFill="1" applyBorder="1" applyAlignment="1">
      <alignment horizontal="center"/>
    </xf>
    <xf numFmtId="6" fontId="2" fillId="0" borderId="0" xfId="3" applyFont="1" applyFill="1" applyBorder="1"/>
    <xf numFmtId="6" fontId="12" fillId="0" borderId="0" xfId="3" applyFont="1" applyFill="1" applyBorder="1"/>
    <xf numFmtId="5" fontId="2" fillId="0" borderId="0" xfId="3" applyNumberFormat="1" applyFont="1" applyFill="1" applyBorder="1"/>
    <xf numFmtId="5" fontId="2" fillId="0" borderId="0" xfId="3" applyNumberFormat="1" applyFont="1" applyFill="1" applyBorder="1" applyProtection="1"/>
    <xf numFmtId="166" fontId="2" fillId="0" borderId="0" xfId="3" applyNumberFormat="1" applyFont="1" applyFill="1" applyBorder="1" applyProtection="1"/>
    <xf numFmtId="166" fontId="14" fillId="0" borderId="0" xfId="4" applyNumberFormat="1" applyFont="1" applyFill="1" applyBorder="1" applyAlignment="1" applyProtection="1">
      <alignment horizontal="center"/>
    </xf>
    <xf numFmtId="6" fontId="14" fillId="0" borderId="0" xfId="3" applyFont="1" applyFill="1" applyBorder="1"/>
    <xf numFmtId="166" fontId="14" fillId="0" borderId="0" xfId="4" applyNumberFormat="1" applyFont="1" applyFill="1" applyBorder="1"/>
    <xf numFmtId="5" fontId="14" fillId="0" borderId="0" xfId="3" applyNumberFormat="1" applyFont="1" applyFill="1" applyBorder="1" applyProtection="1"/>
    <xf numFmtId="6" fontId="2" fillId="0" borderId="0" xfId="3" applyFont="1"/>
    <xf numFmtId="6" fontId="2" fillId="0" borderId="0" xfId="3" applyFont="1" applyBorder="1"/>
    <xf numFmtId="5" fontId="2" fillId="0" borderId="0" xfId="3" applyNumberFormat="1" applyFont="1" applyBorder="1"/>
    <xf numFmtId="166" fontId="2" fillId="0" borderId="0" xfId="3" applyNumberFormat="1" applyFont="1" applyBorder="1" applyProtection="1"/>
    <xf numFmtId="5" fontId="2" fillId="0" borderId="0" xfId="3" applyNumberFormat="1" applyFont="1" applyBorder="1" applyProtection="1"/>
    <xf numFmtId="6" fontId="2" fillId="0" borderId="0" xfId="3" applyFont="1" applyAlignment="1">
      <alignment horizontal="center"/>
    </xf>
    <xf numFmtId="166" fontId="14" fillId="0" borderId="10" xfId="4" applyNumberFormat="1" applyFont="1" applyFill="1" applyBorder="1" applyAlignment="1" applyProtection="1">
      <alignment horizontal="center"/>
    </xf>
    <xf numFmtId="6" fontId="14" fillId="0" borderId="10" xfId="3" applyFont="1" applyFill="1" applyBorder="1"/>
    <xf numFmtId="6" fontId="2" fillId="0" borderId="10" xfId="3" applyFont="1" applyFill="1" applyBorder="1"/>
    <xf numFmtId="166" fontId="2" fillId="0" borderId="10" xfId="3" applyNumberFormat="1" applyFont="1" applyFill="1" applyBorder="1" applyProtection="1"/>
    <xf numFmtId="166" fontId="14" fillId="0" borderId="10" xfId="4" applyNumberFormat="1" applyFont="1" applyFill="1" applyBorder="1"/>
    <xf numFmtId="5" fontId="14" fillId="0" borderId="10" xfId="3" applyNumberFormat="1" applyFont="1" applyFill="1" applyBorder="1" applyProtection="1"/>
    <xf numFmtId="6" fontId="2" fillId="0" borderId="11" xfId="3" applyFont="1" applyFill="1" applyBorder="1"/>
    <xf numFmtId="166" fontId="14" fillId="0" borderId="11" xfId="4" applyNumberFormat="1" applyFont="1" applyFill="1" applyBorder="1" applyAlignment="1" applyProtection="1">
      <alignment horizontal="center"/>
    </xf>
    <xf numFmtId="6" fontId="14" fillId="0" borderId="11" xfId="3" applyFont="1" applyFill="1" applyBorder="1"/>
    <xf numFmtId="166" fontId="2" fillId="0" borderId="11" xfId="3" applyNumberFormat="1" applyFont="1" applyFill="1" applyBorder="1" applyProtection="1"/>
    <xf numFmtId="166" fontId="14" fillId="0" borderId="11" xfId="4" applyNumberFormat="1" applyFont="1" applyFill="1" applyBorder="1"/>
    <xf numFmtId="5" fontId="14" fillId="0" borderId="11" xfId="3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/>
    </xf>
    <xf numFmtId="166" fontId="3" fillId="0" borderId="0" xfId="1" applyNumberFormat="1" applyFont="1" applyBorder="1" applyAlignment="1">
      <alignment horizontal="center"/>
    </xf>
    <xf numFmtId="5" fontId="15" fillId="0" borderId="0" xfId="0" applyNumberFormat="1" applyFont="1" applyFill="1" applyBorder="1" applyAlignment="1" applyProtection="1">
      <alignment horizontal="right"/>
    </xf>
    <xf numFmtId="6" fontId="16" fillId="0" borderId="0" xfId="3" applyFont="1" applyFill="1"/>
    <xf numFmtId="6" fontId="16" fillId="0" borderId="0" xfId="3" applyFont="1" applyFill="1" applyBorder="1"/>
    <xf numFmtId="6" fontId="17" fillId="0" borderId="0" xfId="3" applyFont="1" applyFill="1" applyBorder="1"/>
    <xf numFmtId="5" fontId="16" fillId="0" borderId="0" xfId="3" applyNumberFormat="1" applyFont="1" applyFill="1" applyBorder="1"/>
    <xf numFmtId="5" fontId="16" fillId="0" borderId="0" xfId="3" applyNumberFormat="1" applyFont="1" applyFill="1" applyBorder="1" applyProtection="1"/>
    <xf numFmtId="166" fontId="16" fillId="0" borderId="0" xfId="3" applyNumberFormat="1" applyFont="1" applyFill="1" applyBorder="1" applyProtection="1"/>
    <xf numFmtId="6" fontId="2" fillId="0" borderId="12" xfId="3" applyFont="1" applyFill="1" applyBorder="1" applyAlignment="1">
      <alignment horizontal="center"/>
    </xf>
    <xf numFmtId="6" fontId="2" fillId="0" borderId="13" xfId="3" applyFont="1" applyFill="1" applyBorder="1" applyAlignment="1">
      <alignment horizontal="center"/>
    </xf>
    <xf numFmtId="6" fontId="2" fillId="0" borderId="5" xfId="3" applyFont="1" applyFill="1" applyBorder="1" applyAlignment="1">
      <alignment horizontal="center"/>
    </xf>
    <xf numFmtId="6" fontId="2" fillId="0" borderId="0" xfId="3" applyFont="1" applyFill="1" applyBorder="1" applyAlignment="1">
      <alignment horizontal="center"/>
    </xf>
    <xf numFmtId="6" fontId="2" fillId="0" borderId="6" xfId="3" applyFont="1" applyFill="1" applyBorder="1"/>
    <xf numFmtId="165" fontId="12" fillId="0" borderId="14" xfId="3" applyNumberFormat="1" applyFont="1" applyFill="1" applyBorder="1" applyAlignment="1" applyProtection="1">
      <alignment horizontal="center"/>
      <protection locked="0"/>
    </xf>
    <xf numFmtId="165" fontId="12" fillId="0" borderId="15" xfId="3" applyNumberFormat="1" applyFont="1" applyFill="1" applyBorder="1" applyProtection="1">
      <protection locked="0"/>
    </xf>
    <xf numFmtId="6" fontId="2" fillId="0" borderId="5" xfId="3" applyFont="1" applyFill="1" applyBorder="1"/>
    <xf numFmtId="6" fontId="2" fillId="0" borderId="16" xfId="3" applyFont="1" applyFill="1" applyBorder="1"/>
    <xf numFmtId="6" fontId="2" fillId="0" borderId="17" xfId="3" applyFont="1" applyFill="1" applyBorder="1"/>
    <xf numFmtId="6" fontId="16" fillId="0" borderId="5" xfId="3" applyFont="1" applyFill="1" applyBorder="1"/>
    <xf numFmtId="6" fontId="16" fillId="0" borderId="0" xfId="3" quotePrefix="1" applyFont="1" applyFill="1" applyBorder="1" applyAlignment="1">
      <alignment horizontal="right"/>
    </xf>
    <xf numFmtId="6" fontId="16" fillId="0" borderId="6" xfId="3" applyFont="1" applyFill="1" applyBorder="1"/>
    <xf numFmtId="6" fontId="2" fillId="0" borderId="18" xfId="3" applyFont="1" applyFill="1" applyBorder="1"/>
    <xf numFmtId="6" fontId="2" fillId="0" borderId="7" xfId="3" applyFont="1" applyFill="1" applyBorder="1"/>
    <xf numFmtId="6" fontId="12" fillId="0" borderId="7" xfId="3" applyFont="1" applyFill="1" applyBorder="1"/>
    <xf numFmtId="5" fontId="2" fillId="0" borderId="7" xfId="3" applyNumberFormat="1" applyFont="1" applyFill="1" applyBorder="1"/>
    <xf numFmtId="5" fontId="2" fillId="0" borderId="7" xfId="3" applyNumberFormat="1" applyFont="1" applyFill="1" applyBorder="1" applyProtection="1"/>
    <xf numFmtId="166" fontId="2" fillId="0" borderId="7" xfId="3" applyNumberFormat="1" applyFont="1" applyFill="1" applyBorder="1" applyProtection="1"/>
    <xf numFmtId="6" fontId="2" fillId="0" borderId="19" xfId="3" applyFont="1" applyFill="1" applyBorder="1"/>
    <xf numFmtId="6" fontId="9" fillId="0" borderId="8" xfId="3" applyFont="1" applyFill="1" applyBorder="1" applyAlignment="1">
      <alignment horizontal="center"/>
    </xf>
    <xf numFmtId="6" fontId="8" fillId="2" borderId="2" xfId="3" applyFont="1" applyFill="1" applyBorder="1" applyAlignment="1">
      <alignment horizontal="center"/>
    </xf>
    <xf numFmtId="6" fontId="8" fillId="2" borderId="3" xfId="3" applyFont="1" applyFill="1" applyBorder="1" applyAlignment="1">
      <alignment horizontal="center"/>
    </xf>
    <xf numFmtId="6" fontId="8" fillId="2" borderId="4" xfId="3" applyFont="1" applyFill="1" applyBorder="1" applyAlignment="1">
      <alignment horizontal="center"/>
    </xf>
    <xf numFmtId="6" fontId="8" fillId="2" borderId="5" xfId="3" applyFont="1" applyFill="1" applyBorder="1" applyAlignment="1">
      <alignment horizontal="center"/>
    </xf>
    <xf numFmtId="6" fontId="8" fillId="2" borderId="0" xfId="3" applyFont="1" applyFill="1" applyBorder="1" applyAlignment="1">
      <alignment horizontal="center"/>
    </xf>
    <xf numFmtId="6" fontId="8" fillId="2" borderId="6" xfId="3" applyFont="1" applyFill="1" applyBorder="1" applyAlignment="1">
      <alignment horizontal="center"/>
    </xf>
    <xf numFmtId="169" fontId="8" fillId="2" borderId="5" xfId="3" quotePrefix="1" applyNumberFormat="1" applyFont="1" applyFill="1" applyBorder="1" applyAlignment="1" applyProtection="1">
      <alignment horizontal="center"/>
      <protection locked="0"/>
    </xf>
    <xf numFmtId="169" fontId="8" fillId="2" borderId="0" xfId="3" applyNumberFormat="1" applyFont="1" applyFill="1" applyBorder="1" applyAlignment="1" applyProtection="1">
      <alignment horizontal="center"/>
      <protection locked="0"/>
    </xf>
    <xf numFmtId="169" fontId="8" fillId="2" borderId="6" xfId="3" applyNumberFormat="1" applyFont="1" applyFill="1" applyBorder="1" applyAlignment="1" applyProtection="1">
      <alignment horizontal="center"/>
      <protection locked="0"/>
    </xf>
  </cellXfs>
  <cellStyles count="5">
    <cellStyle name="Comma" xfId="2" builtinId="3"/>
    <cellStyle name="Normal" xfId="0" builtinId="0"/>
    <cellStyle name="Normal 2" xfId="3"/>
    <cellStyle name="Percent" xfId="1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9</xdr:row>
      <xdr:rowOff>66675</xdr:rowOff>
    </xdr:from>
    <xdr:to>
      <xdr:col>12</xdr:col>
      <xdr:colOff>0</xdr:colOff>
      <xdr:row>9</xdr:row>
      <xdr:rowOff>66675</xdr:rowOff>
    </xdr:to>
    <xdr:sp macro="" textlink="" fLocksText="0">
      <xdr:nvSpPr>
        <xdr:cNvPr id="2" name="Line 1"/>
        <xdr:cNvSpPr>
          <a:spLocks noChangeShapeType="1"/>
        </xdr:cNvSpPr>
      </xdr:nvSpPr>
      <xdr:spPr bwMode="auto">
        <a:xfrm>
          <a:off x="131349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L514"/>
  <sheetViews>
    <sheetView tabSelected="1" defaultGridColor="0" colorId="22" zoomScale="87" zoomScaleNormal="87" workbookViewId="0">
      <pane ySplit="10" topLeftCell="A11" activePane="bottomLeft" state="frozen"/>
      <selection pane="bottomLeft" sqref="A1:L1"/>
    </sheetView>
  </sheetViews>
  <sheetFormatPr defaultColWidth="9.7109375" defaultRowHeight="12.75"/>
  <cols>
    <col min="1" max="1" width="5.5703125" style="61" customWidth="1"/>
    <col min="2" max="2" width="12.5703125" style="61" bestFit="1" customWidth="1"/>
    <col min="3" max="3" width="44.140625" style="56" bestFit="1" customWidth="1"/>
    <col min="4" max="4" width="13.42578125" style="56" customWidth="1"/>
    <col min="5" max="5" width="14.42578125" style="56" bestFit="1" customWidth="1"/>
    <col min="6" max="6" width="13" style="56" bestFit="1" customWidth="1"/>
    <col min="7" max="7" width="13.5703125" style="56" bestFit="1" customWidth="1"/>
    <col min="8" max="8" width="16.5703125" style="56" customWidth="1"/>
    <col min="9" max="9" width="11.28515625" style="56" customWidth="1"/>
    <col min="10" max="10" width="11" style="56" bestFit="1" customWidth="1"/>
    <col min="11" max="11" width="14.5703125" style="56" bestFit="1" customWidth="1"/>
    <col min="12" max="12" width="5.42578125" style="56" customWidth="1"/>
    <col min="13" max="13" width="12" style="56" bestFit="1" customWidth="1"/>
    <col min="14" max="15" width="9.7109375" style="56"/>
    <col min="16" max="16" width="10.7109375" style="56" bestFit="1" customWidth="1"/>
    <col min="17" max="16384" width="9.7109375" style="56"/>
  </cols>
  <sheetData>
    <row r="1" spans="1:12" s="36" customFormat="1" ht="15.75" customHeight="1">
      <c r="A1" s="104" t="s">
        <v>72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spans="1:12" s="36" customFormat="1" ht="15.75" customHeight="1">
      <c r="A2" s="107" t="s">
        <v>73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</row>
    <row r="3" spans="1:12" s="36" customFormat="1" ht="15.75" customHeight="1">
      <c r="A3" s="107" t="s">
        <v>74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9"/>
    </row>
    <row r="4" spans="1:12" s="36" customFormat="1" ht="15.75">
      <c r="A4" s="110" t="s">
        <v>118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2"/>
    </row>
    <row r="5" spans="1:12" s="41" customFormat="1" ht="11.25">
      <c r="A5" s="37"/>
      <c r="B5" s="38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s="36" customFormat="1">
      <c r="A6" s="37"/>
      <c r="B6" s="42"/>
      <c r="C6" s="43"/>
      <c r="D6" s="44"/>
      <c r="E6" s="44"/>
      <c r="F6" s="43"/>
      <c r="G6" s="43"/>
      <c r="H6" s="103" t="s">
        <v>75</v>
      </c>
      <c r="I6" s="103"/>
      <c r="J6" s="47"/>
      <c r="K6" s="45"/>
      <c r="L6" s="40"/>
    </row>
    <row r="7" spans="1:12" s="36" customFormat="1">
      <c r="A7" s="37"/>
      <c r="B7" s="42"/>
      <c r="C7" s="43"/>
      <c r="D7" s="103" t="s">
        <v>76</v>
      </c>
      <c r="E7" s="103"/>
      <c r="F7" s="43"/>
      <c r="G7" s="43"/>
      <c r="H7" s="42" t="s">
        <v>77</v>
      </c>
      <c r="I7" s="42" t="s">
        <v>78</v>
      </c>
      <c r="J7" s="47"/>
      <c r="K7" s="45"/>
      <c r="L7" s="40"/>
    </row>
    <row r="8" spans="1:12" s="36" customFormat="1">
      <c r="A8" s="37" t="s">
        <v>79</v>
      </c>
      <c r="B8" s="42" t="s">
        <v>80</v>
      </c>
      <c r="C8" s="43" t="s">
        <v>81</v>
      </c>
      <c r="D8" s="42" t="s">
        <v>83</v>
      </c>
      <c r="E8" s="42" t="s">
        <v>117</v>
      </c>
      <c r="F8" s="42" t="s">
        <v>82</v>
      </c>
      <c r="G8" s="42" t="s">
        <v>84</v>
      </c>
      <c r="H8" s="42" t="s">
        <v>85</v>
      </c>
      <c r="I8" s="42" t="s">
        <v>86</v>
      </c>
      <c r="J8" s="42" t="s">
        <v>87</v>
      </c>
      <c r="K8" s="42" t="s">
        <v>88</v>
      </c>
      <c r="L8" s="40" t="s">
        <v>79</v>
      </c>
    </row>
    <row r="9" spans="1:12" s="36" customFormat="1">
      <c r="A9" s="37" t="s">
        <v>89</v>
      </c>
      <c r="B9" s="42" t="s">
        <v>90</v>
      </c>
      <c r="C9" s="42" t="s">
        <v>91</v>
      </c>
      <c r="D9" s="42" t="s">
        <v>92</v>
      </c>
      <c r="E9" s="42" t="s">
        <v>93</v>
      </c>
      <c r="F9" s="42" t="s">
        <v>133</v>
      </c>
      <c r="G9" s="42" t="s">
        <v>94</v>
      </c>
      <c r="H9" s="42" t="s">
        <v>95</v>
      </c>
      <c r="I9" s="42" t="s">
        <v>95</v>
      </c>
      <c r="J9" s="42" t="s">
        <v>96</v>
      </c>
      <c r="K9" s="42" t="s">
        <v>97</v>
      </c>
      <c r="L9" s="40" t="s">
        <v>89</v>
      </c>
    </row>
    <row r="10" spans="1:12" s="36" customFormat="1">
      <c r="A10" s="83"/>
      <c r="B10" s="46" t="s">
        <v>98</v>
      </c>
      <c r="C10" s="46" t="s">
        <v>99</v>
      </c>
      <c r="D10" s="46" t="s">
        <v>100</v>
      </c>
      <c r="E10" s="46" t="s">
        <v>101</v>
      </c>
      <c r="F10" s="46" t="s">
        <v>102</v>
      </c>
      <c r="G10" s="46" t="s">
        <v>103</v>
      </c>
      <c r="H10" s="46" t="s">
        <v>104</v>
      </c>
      <c r="I10" s="46" t="s">
        <v>105</v>
      </c>
      <c r="J10" s="46" t="s">
        <v>106</v>
      </c>
      <c r="K10" s="46" t="s">
        <v>107</v>
      </c>
      <c r="L10" s="84"/>
    </row>
    <row r="11" spans="1:12" s="36" customFormat="1">
      <c r="A11" s="85"/>
      <c r="B11" s="86"/>
      <c r="C11" s="47"/>
      <c r="D11" s="47"/>
      <c r="E11" s="48"/>
      <c r="F11" s="49"/>
      <c r="G11" s="47"/>
      <c r="H11" s="50"/>
      <c r="I11" s="51"/>
      <c r="J11" s="51"/>
      <c r="K11" s="50"/>
      <c r="L11" s="87"/>
    </row>
    <row r="12" spans="1:12" s="36" customFormat="1">
      <c r="A12" s="85"/>
      <c r="B12" s="86"/>
      <c r="C12" s="47"/>
      <c r="D12" s="47"/>
      <c r="E12" s="48"/>
      <c r="F12" s="49"/>
      <c r="G12" s="47"/>
      <c r="H12" s="50"/>
      <c r="I12" s="51"/>
      <c r="J12" s="51"/>
      <c r="K12" s="50"/>
      <c r="L12" s="87"/>
    </row>
    <row r="13" spans="1:12" s="36" customFormat="1">
      <c r="A13" s="85"/>
      <c r="B13" s="86"/>
      <c r="C13" s="47"/>
      <c r="D13" s="47"/>
      <c r="E13" s="48"/>
      <c r="F13" s="49"/>
      <c r="G13" s="47"/>
      <c r="H13" s="50"/>
      <c r="I13" s="51"/>
      <c r="J13" s="51"/>
      <c r="K13" s="50"/>
      <c r="L13" s="87"/>
    </row>
    <row r="14" spans="1:12" s="36" customFormat="1">
      <c r="A14" s="88">
        <v>83</v>
      </c>
      <c r="B14" s="62">
        <v>4.790104451905719E-2</v>
      </c>
      <c r="C14" s="63" t="s">
        <v>108</v>
      </c>
      <c r="D14" s="64"/>
      <c r="E14" s="63">
        <v>8037650000</v>
      </c>
      <c r="F14" s="63">
        <v>-86022432.45600003</v>
      </c>
      <c r="G14" s="63">
        <v>-34258229.260000005</v>
      </c>
      <c r="H14" s="63">
        <v>7917369338.2840004</v>
      </c>
      <c r="I14" s="65"/>
      <c r="J14" s="66">
        <f>K14/E14</f>
        <v>4.9185362674413535E-2</v>
      </c>
      <c r="K14" s="67">
        <v>395334730.29999995</v>
      </c>
      <c r="L14" s="89">
        <v>82</v>
      </c>
    </row>
    <row r="15" spans="1:12" s="36" customFormat="1">
      <c r="A15" s="90"/>
      <c r="B15" s="52">
        <f>Support!M22</f>
        <v>4.6353413654618474E-2</v>
      </c>
      <c r="C15" s="53" t="s">
        <v>129</v>
      </c>
      <c r="D15" s="47"/>
      <c r="E15" s="53">
        <f>Support!E22</f>
        <v>6225000000</v>
      </c>
      <c r="F15" s="53">
        <f>-(Support!N22+Support!O22)</f>
        <v>-63789574.119999997</v>
      </c>
      <c r="G15" s="53">
        <f>-Support!P22</f>
        <v>-6913867.3100000005</v>
      </c>
      <c r="H15" s="53">
        <f>SUM(E15:G15)</f>
        <v>6154296558.5699997</v>
      </c>
      <c r="I15" s="51"/>
      <c r="J15" s="54">
        <f>K15/E15</f>
        <v>4.7329357429718874E-2</v>
      </c>
      <c r="K15" s="55">
        <f>Support!R22</f>
        <v>294625250</v>
      </c>
      <c r="L15" s="87"/>
    </row>
    <row r="16" spans="1:12" s="36" customFormat="1">
      <c r="A16" s="91"/>
      <c r="B16" s="69">
        <f>Support!M42</f>
        <v>5.2031445783132527E-2</v>
      </c>
      <c r="C16" s="70" t="s">
        <v>110</v>
      </c>
      <c r="D16" s="68"/>
      <c r="E16" s="70">
        <f>Support!E42</f>
        <v>6225000000</v>
      </c>
      <c r="F16" s="70">
        <f>-(Support!N42+Support!O42)</f>
        <v>-56656574.120000012</v>
      </c>
      <c r="G16" s="70">
        <f>-Support!P42</f>
        <v>-6913867.3100000005</v>
      </c>
      <c r="H16" s="70">
        <f>SUM(E16:G16)</f>
        <v>6161429558.5699997</v>
      </c>
      <c r="I16" s="71"/>
      <c r="J16" s="72">
        <f>K16/E16</f>
        <v>5.2962008032128513E-2</v>
      </c>
      <c r="K16" s="73">
        <f>Support!R42</f>
        <v>329688500</v>
      </c>
      <c r="L16" s="92"/>
    </row>
    <row r="17" spans="1:12" s="36" customFormat="1">
      <c r="A17" s="88"/>
      <c r="B17" s="62">
        <f>(B14*E14-B15*E15+B16*E16)/E17</f>
        <v>5.2298567426872285E-2</v>
      </c>
      <c r="C17" s="63" t="s">
        <v>109</v>
      </c>
      <c r="D17" s="64"/>
      <c r="E17" s="63">
        <f>E14-E15+E16</f>
        <v>8037650000</v>
      </c>
      <c r="F17" s="63">
        <f>F14-F15+F16</f>
        <v>-78889432.456000045</v>
      </c>
      <c r="G17" s="63">
        <f>G14-G15+G16</f>
        <v>-34258229.260000005</v>
      </c>
      <c r="H17" s="63">
        <f>H14-H15+H16</f>
        <v>7924502338.2840004</v>
      </c>
      <c r="I17" s="65"/>
      <c r="J17" s="66">
        <f>K17/E17</f>
        <v>5.3547738493216292E-2</v>
      </c>
      <c r="K17" s="63">
        <f>K14-K15+K16</f>
        <v>430397980.29999995</v>
      </c>
      <c r="L17" s="89"/>
    </row>
    <row r="18" spans="1:12" s="36" customFormat="1" ht="6.75" customHeight="1">
      <c r="A18" s="90"/>
      <c r="B18" s="47"/>
      <c r="C18" s="47"/>
      <c r="D18" s="47"/>
      <c r="E18" s="48"/>
      <c r="F18" s="49"/>
      <c r="G18" s="47"/>
      <c r="H18" s="50"/>
      <c r="I18" s="51"/>
      <c r="J18" s="51"/>
      <c r="K18" s="50"/>
      <c r="L18" s="87"/>
    </row>
    <row r="19" spans="1:12" s="77" customFormat="1" ht="16.5" customHeight="1">
      <c r="A19" s="93"/>
      <c r="B19" s="94" t="s">
        <v>130</v>
      </c>
      <c r="C19" s="78" t="s">
        <v>131</v>
      </c>
      <c r="D19" s="78"/>
      <c r="E19" s="79"/>
      <c r="F19" s="80"/>
      <c r="G19" s="78"/>
      <c r="H19" s="81"/>
      <c r="I19" s="82"/>
      <c r="J19" s="82"/>
      <c r="K19" s="81"/>
      <c r="L19" s="95"/>
    </row>
    <row r="20" spans="1:12" s="36" customFormat="1">
      <c r="A20" s="96"/>
      <c r="B20" s="97"/>
      <c r="C20" s="97"/>
      <c r="D20" s="97"/>
      <c r="E20" s="98"/>
      <c r="F20" s="99"/>
      <c r="G20" s="97"/>
      <c r="H20" s="100"/>
      <c r="I20" s="101"/>
      <c r="J20" s="101"/>
      <c r="K20" s="100"/>
      <c r="L20" s="102"/>
    </row>
    <row r="21" spans="1:12" s="36" customFormat="1">
      <c r="D21" s="47"/>
      <c r="E21" s="48"/>
      <c r="F21" s="49"/>
      <c r="G21" s="47"/>
      <c r="H21" s="50"/>
      <c r="I21" s="51"/>
      <c r="J21" s="51"/>
      <c r="K21" s="50"/>
    </row>
    <row r="22" spans="1:12" s="36" customFormat="1">
      <c r="D22" s="47"/>
      <c r="E22" s="48"/>
      <c r="F22" s="49"/>
      <c r="G22" s="47"/>
      <c r="H22" s="50"/>
      <c r="I22" s="51"/>
      <c r="J22" s="51"/>
      <c r="K22" s="50"/>
    </row>
    <row r="23" spans="1:12" s="36" customFormat="1">
      <c r="D23" s="47"/>
      <c r="E23" s="48"/>
      <c r="F23" s="49"/>
      <c r="G23" s="47"/>
      <c r="H23" s="50"/>
      <c r="I23" s="51"/>
      <c r="J23" s="51"/>
      <c r="K23" s="50"/>
    </row>
    <row r="24" spans="1:12" s="36" customFormat="1">
      <c r="D24" s="47"/>
      <c r="E24" s="48"/>
      <c r="F24" s="49"/>
      <c r="G24" s="47"/>
      <c r="H24" s="50"/>
      <c r="I24" s="51"/>
      <c r="J24" s="51"/>
      <c r="K24" s="50"/>
    </row>
    <row r="25" spans="1:12" s="36" customFormat="1">
      <c r="D25" s="47"/>
      <c r="E25" s="48"/>
      <c r="F25" s="49"/>
      <c r="G25" s="47"/>
      <c r="H25" s="50"/>
      <c r="I25" s="51"/>
      <c r="J25" s="51"/>
      <c r="K25" s="50"/>
    </row>
    <row r="26" spans="1:12" s="36" customFormat="1">
      <c r="D26" s="47"/>
      <c r="E26" s="48"/>
      <c r="F26" s="49"/>
      <c r="G26" s="47"/>
      <c r="H26" s="50"/>
      <c r="I26" s="51"/>
      <c r="J26" s="51"/>
      <c r="K26" s="50"/>
    </row>
    <row r="27" spans="1:12" s="36" customFormat="1">
      <c r="D27" s="47"/>
      <c r="E27" s="48"/>
      <c r="F27" s="49"/>
      <c r="G27" s="47"/>
      <c r="H27" s="50"/>
      <c r="I27" s="51"/>
      <c r="J27" s="51"/>
      <c r="K27" s="50"/>
    </row>
    <row r="28" spans="1:12" s="36" customFormat="1">
      <c r="D28" s="47"/>
      <c r="E28" s="48"/>
      <c r="F28" s="49"/>
      <c r="G28" s="47"/>
      <c r="H28" s="50"/>
      <c r="I28" s="51"/>
      <c r="J28" s="51"/>
      <c r="K28" s="50"/>
    </row>
    <row r="29" spans="1:12" s="36" customFormat="1">
      <c r="D29" s="47"/>
      <c r="E29" s="48"/>
      <c r="F29" s="49"/>
      <c r="G29" s="47"/>
      <c r="H29" s="50"/>
      <c r="I29" s="51"/>
      <c r="J29" s="51"/>
      <c r="K29" s="50"/>
    </row>
    <row r="30" spans="1:12" s="36" customFormat="1">
      <c r="D30" s="47"/>
      <c r="E30" s="48"/>
      <c r="F30" s="49"/>
      <c r="G30" s="47"/>
      <c r="H30" s="50"/>
      <c r="I30" s="51"/>
      <c r="J30" s="51"/>
      <c r="K30" s="50"/>
    </row>
    <row r="31" spans="1:12" s="36" customFormat="1">
      <c r="D31" s="47"/>
      <c r="E31" s="48"/>
      <c r="F31" s="49"/>
      <c r="G31" s="47"/>
      <c r="H31" s="50"/>
      <c r="I31" s="51"/>
      <c r="J31" s="51"/>
      <c r="K31" s="50"/>
    </row>
    <row r="32" spans="1:12" s="36" customFormat="1">
      <c r="D32" s="47"/>
      <c r="E32" s="48"/>
      <c r="F32" s="49"/>
      <c r="G32" s="47"/>
      <c r="H32" s="50"/>
      <c r="I32" s="51"/>
      <c r="J32" s="51"/>
      <c r="K32" s="50"/>
    </row>
    <row r="33" spans="4:11" s="36" customFormat="1">
      <c r="D33" s="47"/>
      <c r="E33" s="48"/>
      <c r="F33" s="49"/>
      <c r="G33" s="47"/>
      <c r="H33" s="50"/>
      <c r="I33" s="51"/>
      <c r="J33" s="51"/>
      <c r="K33" s="50"/>
    </row>
    <row r="34" spans="4:11" s="36" customFormat="1">
      <c r="D34" s="47"/>
      <c r="E34" s="48"/>
      <c r="F34" s="49"/>
      <c r="G34" s="47"/>
      <c r="H34" s="50"/>
      <c r="I34" s="51"/>
      <c r="J34" s="51"/>
      <c r="K34" s="50"/>
    </row>
    <row r="35" spans="4:11" s="36" customFormat="1">
      <c r="D35" s="47"/>
      <c r="E35" s="48"/>
      <c r="F35" s="49"/>
      <c r="G35" s="47"/>
      <c r="H35" s="50"/>
      <c r="I35" s="51"/>
      <c r="J35" s="51"/>
      <c r="K35" s="50"/>
    </row>
    <row r="36" spans="4:11" s="36" customFormat="1">
      <c r="D36" s="47"/>
      <c r="E36" s="48"/>
      <c r="F36" s="49"/>
      <c r="G36" s="47"/>
      <c r="H36" s="50"/>
      <c r="I36" s="51"/>
      <c r="J36" s="51"/>
      <c r="K36" s="50"/>
    </row>
    <row r="37" spans="4:11" s="36" customFormat="1">
      <c r="D37" s="47"/>
      <c r="E37" s="48"/>
      <c r="F37" s="49"/>
      <c r="G37" s="47"/>
      <c r="H37" s="50"/>
      <c r="I37" s="51"/>
      <c r="J37" s="51"/>
      <c r="K37" s="50"/>
    </row>
    <row r="38" spans="4:11" s="36" customFormat="1">
      <c r="D38" s="47"/>
      <c r="E38" s="48"/>
      <c r="F38" s="49"/>
      <c r="G38" s="47"/>
      <c r="H38" s="50"/>
      <c r="I38" s="51"/>
      <c r="J38" s="51"/>
      <c r="K38" s="50"/>
    </row>
    <row r="39" spans="4:11" s="36" customFormat="1">
      <c r="D39" s="47"/>
      <c r="E39" s="48"/>
      <c r="F39" s="49"/>
      <c r="G39" s="47"/>
      <c r="H39" s="50"/>
      <c r="I39" s="51"/>
      <c r="J39" s="51"/>
      <c r="K39" s="50"/>
    </row>
    <row r="40" spans="4:11" s="36" customFormat="1">
      <c r="D40" s="47"/>
      <c r="E40" s="48"/>
      <c r="F40" s="49"/>
      <c r="G40" s="47"/>
      <c r="H40" s="50"/>
      <c r="I40" s="51"/>
      <c r="J40" s="51"/>
      <c r="K40" s="50"/>
    </row>
    <row r="41" spans="4:11" s="36" customFormat="1">
      <c r="D41" s="47"/>
      <c r="E41" s="48"/>
      <c r="F41" s="49"/>
      <c r="G41" s="47"/>
      <c r="H41" s="50"/>
      <c r="I41" s="51"/>
      <c r="J41" s="51"/>
      <c r="K41" s="50"/>
    </row>
    <row r="42" spans="4:11" s="36" customFormat="1">
      <c r="D42" s="47"/>
      <c r="E42" s="48"/>
      <c r="F42" s="49"/>
      <c r="G42" s="47"/>
      <c r="H42" s="50"/>
      <c r="I42" s="51"/>
      <c r="J42" s="51"/>
      <c r="K42" s="50"/>
    </row>
    <row r="43" spans="4:11" s="36" customFormat="1">
      <c r="D43" s="47"/>
      <c r="E43" s="48"/>
      <c r="F43" s="49"/>
      <c r="G43" s="47"/>
      <c r="H43" s="50"/>
      <c r="I43" s="51"/>
      <c r="J43" s="51"/>
      <c r="K43" s="50"/>
    </row>
    <row r="44" spans="4:11" s="36" customFormat="1">
      <c r="D44" s="47"/>
      <c r="E44" s="48"/>
      <c r="F44" s="49"/>
      <c r="G44" s="47"/>
      <c r="H44" s="50"/>
      <c r="I44" s="51"/>
      <c r="J44" s="51"/>
      <c r="K44" s="50"/>
    </row>
    <row r="45" spans="4:11" s="36" customFormat="1">
      <c r="D45" s="47"/>
      <c r="E45" s="48"/>
      <c r="F45" s="49"/>
      <c r="G45" s="47"/>
      <c r="H45" s="50"/>
      <c r="I45" s="51"/>
      <c r="J45" s="51"/>
      <c r="K45" s="50"/>
    </row>
    <row r="46" spans="4:11" s="36" customFormat="1">
      <c r="D46" s="47"/>
      <c r="E46" s="48"/>
      <c r="F46" s="49"/>
      <c r="G46" s="47"/>
      <c r="H46" s="50"/>
      <c r="I46" s="51"/>
      <c r="J46" s="51"/>
      <c r="K46" s="50"/>
    </row>
    <row r="47" spans="4:11" s="36" customFormat="1">
      <c r="D47" s="47"/>
      <c r="E47" s="48"/>
      <c r="F47" s="49"/>
      <c r="G47" s="47"/>
      <c r="H47" s="50"/>
      <c r="I47" s="51"/>
      <c r="J47" s="51"/>
      <c r="K47" s="50"/>
    </row>
    <row r="48" spans="4:11" s="36" customFormat="1">
      <c r="D48" s="47"/>
      <c r="E48" s="48"/>
      <c r="F48" s="49"/>
      <c r="G48" s="47"/>
      <c r="H48" s="50"/>
      <c r="I48" s="51"/>
      <c r="J48" s="51"/>
      <c r="K48" s="50"/>
    </row>
    <row r="49" spans="4:11" s="36" customFormat="1">
      <c r="D49" s="47"/>
      <c r="E49" s="48"/>
      <c r="F49" s="49"/>
      <c r="G49" s="47"/>
      <c r="H49" s="50"/>
      <c r="I49" s="51"/>
      <c r="J49" s="51"/>
      <c r="K49" s="50"/>
    </row>
    <row r="50" spans="4:11" s="36" customFormat="1">
      <c r="D50" s="47"/>
      <c r="E50" s="48"/>
      <c r="F50" s="49"/>
      <c r="G50" s="47"/>
      <c r="H50" s="50"/>
      <c r="I50" s="51"/>
      <c r="J50" s="51"/>
      <c r="K50" s="50"/>
    </row>
    <row r="51" spans="4:11" s="36" customFormat="1">
      <c r="D51" s="47"/>
      <c r="E51" s="48"/>
      <c r="F51" s="49"/>
      <c r="G51" s="47"/>
      <c r="H51" s="50"/>
      <c r="I51" s="51"/>
      <c r="J51" s="51"/>
      <c r="K51" s="50"/>
    </row>
    <row r="52" spans="4:11" s="36" customFormat="1">
      <c r="D52" s="47"/>
      <c r="E52" s="48"/>
      <c r="F52" s="49"/>
      <c r="G52" s="47"/>
      <c r="H52" s="50"/>
      <c r="I52" s="51"/>
      <c r="J52" s="51"/>
      <c r="K52" s="50"/>
    </row>
    <row r="53" spans="4:11" s="36" customFormat="1">
      <c r="D53" s="47"/>
      <c r="E53" s="48"/>
      <c r="F53" s="49"/>
      <c r="G53" s="47"/>
      <c r="H53" s="50"/>
      <c r="I53" s="51"/>
      <c r="J53" s="51"/>
      <c r="K53" s="50"/>
    </row>
    <row r="54" spans="4:11" s="36" customFormat="1">
      <c r="D54" s="47"/>
      <c r="E54" s="48"/>
      <c r="F54" s="49"/>
      <c r="G54" s="47"/>
      <c r="H54" s="50"/>
      <c r="I54" s="51"/>
      <c r="J54" s="51"/>
      <c r="K54" s="50"/>
    </row>
    <row r="55" spans="4:11" s="36" customFormat="1">
      <c r="D55" s="47"/>
      <c r="E55" s="48"/>
      <c r="F55" s="49"/>
      <c r="G55" s="47"/>
      <c r="H55" s="50"/>
      <c r="I55" s="51"/>
      <c r="J55" s="51"/>
      <c r="K55" s="50"/>
    </row>
    <row r="56" spans="4:11" s="36" customFormat="1">
      <c r="D56" s="47"/>
      <c r="E56" s="48"/>
      <c r="F56" s="49"/>
      <c r="G56" s="47"/>
      <c r="H56" s="50"/>
      <c r="I56" s="51"/>
      <c r="J56" s="51"/>
      <c r="K56" s="50"/>
    </row>
    <row r="57" spans="4:11" s="36" customFormat="1">
      <c r="D57" s="47"/>
      <c r="E57" s="48"/>
      <c r="F57" s="49"/>
      <c r="G57" s="47"/>
      <c r="H57" s="50"/>
      <c r="I57" s="51"/>
      <c r="J57" s="51"/>
      <c r="K57" s="50"/>
    </row>
    <row r="58" spans="4:11" s="36" customFormat="1">
      <c r="D58" s="47"/>
      <c r="E58" s="48"/>
      <c r="F58" s="49"/>
      <c r="G58" s="47"/>
      <c r="H58" s="50"/>
      <c r="I58" s="51"/>
      <c r="J58" s="51"/>
      <c r="K58" s="50"/>
    </row>
    <row r="59" spans="4:11" s="36" customFormat="1">
      <c r="D59" s="47"/>
      <c r="E59" s="48"/>
      <c r="F59" s="49"/>
      <c r="G59" s="47"/>
      <c r="H59" s="50"/>
      <c r="I59" s="51"/>
      <c r="J59" s="51"/>
      <c r="K59" s="50"/>
    </row>
    <row r="60" spans="4:11" s="36" customFormat="1">
      <c r="D60" s="47"/>
      <c r="E60" s="48"/>
      <c r="F60" s="49"/>
      <c r="G60" s="47"/>
      <c r="H60" s="50"/>
      <c r="I60" s="51"/>
      <c r="J60" s="51"/>
      <c r="K60" s="50"/>
    </row>
    <row r="61" spans="4:11" s="36" customFormat="1">
      <c r="D61" s="47"/>
      <c r="E61" s="48"/>
      <c r="F61" s="49"/>
      <c r="G61" s="47"/>
      <c r="H61" s="50"/>
      <c r="I61" s="51"/>
      <c r="J61" s="51"/>
      <c r="K61" s="50"/>
    </row>
    <row r="62" spans="4:11" s="36" customFormat="1">
      <c r="D62" s="47"/>
      <c r="E62" s="48"/>
      <c r="F62" s="49"/>
      <c r="G62" s="47"/>
      <c r="H62" s="50"/>
      <c r="I62" s="51"/>
      <c r="J62" s="51"/>
      <c r="K62" s="50"/>
    </row>
    <row r="63" spans="4:11" s="36" customFormat="1">
      <c r="D63" s="47"/>
      <c r="E63" s="48"/>
      <c r="F63" s="49"/>
      <c r="G63" s="47"/>
      <c r="H63" s="50"/>
      <c r="I63" s="51"/>
      <c r="J63" s="51"/>
      <c r="K63" s="50"/>
    </row>
    <row r="64" spans="4:11" s="36" customFormat="1">
      <c r="D64" s="47"/>
      <c r="E64" s="48"/>
      <c r="F64" s="49"/>
      <c r="G64" s="47"/>
      <c r="H64" s="50"/>
      <c r="I64" s="51"/>
      <c r="J64" s="51"/>
      <c r="K64" s="50"/>
    </row>
    <row r="65" spans="4:11" s="36" customFormat="1">
      <c r="D65" s="47"/>
      <c r="E65" s="48"/>
      <c r="F65" s="49"/>
      <c r="G65" s="47"/>
      <c r="H65" s="50"/>
      <c r="I65" s="51"/>
      <c r="J65" s="51"/>
      <c r="K65" s="50"/>
    </row>
    <row r="66" spans="4:11" s="36" customFormat="1">
      <c r="D66" s="47"/>
      <c r="E66" s="48"/>
      <c r="F66" s="49"/>
      <c r="G66" s="47"/>
      <c r="H66" s="50"/>
      <c r="I66" s="51"/>
      <c r="J66" s="51"/>
      <c r="K66" s="50"/>
    </row>
    <row r="67" spans="4:11" s="36" customFormat="1">
      <c r="D67" s="47"/>
      <c r="E67" s="48"/>
      <c r="F67" s="49"/>
      <c r="G67" s="47"/>
      <c r="H67" s="50"/>
      <c r="I67" s="51"/>
      <c r="J67" s="51"/>
      <c r="K67" s="50"/>
    </row>
    <row r="68" spans="4:11" s="36" customFormat="1">
      <c r="D68" s="47"/>
      <c r="E68" s="48"/>
      <c r="F68" s="49"/>
      <c r="G68" s="47"/>
      <c r="H68" s="50"/>
      <c r="I68" s="51"/>
      <c r="J68" s="51"/>
      <c r="K68" s="50"/>
    </row>
    <row r="69" spans="4:11" s="36" customFormat="1">
      <c r="D69" s="47"/>
      <c r="E69" s="48"/>
      <c r="F69" s="49"/>
      <c r="G69" s="47"/>
      <c r="H69" s="50"/>
      <c r="I69" s="51"/>
      <c r="J69" s="51"/>
      <c r="K69" s="50"/>
    </row>
    <row r="70" spans="4:11" s="36" customFormat="1">
      <c r="D70" s="47"/>
      <c r="E70" s="48"/>
      <c r="F70" s="49"/>
      <c r="G70" s="47"/>
      <c r="H70" s="50"/>
      <c r="I70" s="51"/>
      <c r="J70" s="51"/>
      <c r="K70" s="50"/>
    </row>
    <row r="71" spans="4:11" s="36" customFormat="1">
      <c r="D71" s="47"/>
      <c r="E71" s="48"/>
      <c r="F71" s="49"/>
      <c r="G71" s="47"/>
      <c r="H71" s="50"/>
      <c r="I71" s="51"/>
      <c r="J71" s="51"/>
      <c r="K71" s="50"/>
    </row>
    <row r="72" spans="4:11" s="36" customFormat="1">
      <c r="D72" s="47"/>
      <c r="E72" s="48"/>
      <c r="F72" s="49"/>
      <c r="G72" s="47"/>
      <c r="H72" s="50"/>
      <c r="I72" s="51"/>
      <c r="J72" s="51"/>
      <c r="K72" s="50"/>
    </row>
    <row r="73" spans="4:11" s="36" customFormat="1">
      <c r="D73" s="47"/>
      <c r="E73" s="48"/>
      <c r="F73" s="49"/>
      <c r="G73" s="47"/>
      <c r="H73" s="50"/>
      <c r="I73" s="51"/>
      <c r="J73" s="51"/>
      <c r="K73" s="50"/>
    </row>
    <row r="74" spans="4:11" s="36" customFormat="1">
      <c r="D74" s="47"/>
      <c r="E74" s="48"/>
      <c r="F74" s="49"/>
      <c r="G74" s="47"/>
      <c r="H74" s="50"/>
      <c r="I74" s="51"/>
      <c r="J74" s="51"/>
      <c r="K74" s="50"/>
    </row>
    <row r="75" spans="4:11" s="36" customFormat="1">
      <c r="D75" s="47"/>
      <c r="E75" s="48"/>
      <c r="F75" s="49"/>
      <c r="G75" s="47"/>
      <c r="H75" s="50"/>
      <c r="I75" s="51"/>
      <c r="J75" s="51"/>
      <c r="K75" s="50"/>
    </row>
    <row r="76" spans="4:11" s="36" customFormat="1">
      <c r="D76" s="47"/>
      <c r="E76" s="48"/>
      <c r="F76" s="49"/>
      <c r="G76" s="47"/>
      <c r="H76" s="50"/>
      <c r="I76" s="51"/>
      <c r="J76" s="51"/>
      <c r="K76" s="50"/>
    </row>
    <row r="77" spans="4:11" s="36" customFormat="1">
      <c r="D77" s="47"/>
      <c r="E77" s="48"/>
      <c r="F77" s="49"/>
      <c r="G77" s="47"/>
      <c r="H77" s="50"/>
      <c r="I77" s="51"/>
      <c r="J77" s="51"/>
      <c r="K77" s="50"/>
    </row>
    <row r="78" spans="4:11" s="36" customFormat="1">
      <c r="D78" s="47"/>
      <c r="E78" s="48"/>
      <c r="F78" s="49"/>
      <c r="G78" s="47"/>
      <c r="H78" s="50"/>
      <c r="I78" s="51"/>
      <c r="J78" s="51"/>
      <c r="K78" s="50"/>
    </row>
    <row r="79" spans="4:11" s="36" customFormat="1">
      <c r="D79" s="47"/>
      <c r="E79" s="48"/>
      <c r="F79" s="49"/>
      <c r="G79" s="47"/>
      <c r="H79" s="50"/>
      <c r="I79" s="51"/>
      <c r="J79" s="51"/>
      <c r="K79" s="50"/>
    </row>
    <row r="80" spans="4:11" s="36" customFormat="1">
      <c r="D80" s="47"/>
      <c r="E80" s="48"/>
      <c r="F80" s="49"/>
      <c r="G80" s="47"/>
      <c r="H80" s="50"/>
      <c r="I80" s="51"/>
      <c r="J80" s="51"/>
      <c r="K80" s="50"/>
    </row>
    <row r="81" spans="4:11" s="36" customFormat="1">
      <c r="D81" s="47"/>
      <c r="E81" s="48"/>
      <c r="F81" s="49"/>
      <c r="G81" s="47"/>
      <c r="H81" s="50"/>
      <c r="I81" s="51"/>
      <c r="J81" s="51"/>
      <c r="K81" s="50"/>
    </row>
    <row r="82" spans="4:11" s="36" customFormat="1">
      <c r="D82" s="47"/>
      <c r="E82" s="48"/>
      <c r="F82" s="49"/>
      <c r="G82" s="47"/>
      <c r="H82" s="50"/>
      <c r="I82" s="51"/>
      <c r="J82" s="51"/>
      <c r="K82" s="50"/>
    </row>
    <row r="83" spans="4:11" s="36" customFormat="1">
      <c r="D83" s="47"/>
      <c r="E83" s="48"/>
      <c r="F83" s="49"/>
      <c r="G83" s="47"/>
      <c r="H83" s="50"/>
      <c r="I83" s="51"/>
      <c r="J83" s="51"/>
      <c r="K83" s="50"/>
    </row>
    <row r="84" spans="4:11" s="36" customFormat="1">
      <c r="D84" s="47"/>
      <c r="E84" s="48"/>
      <c r="F84" s="49"/>
      <c r="G84" s="47"/>
      <c r="H84" s="50"/>
      <c r="I84" s="51"/>
      <c r="J84" s="51"/>
      <c r="K84" s="50"/>
    </row>
    <row r="85" spans="4:11" s="36" customFormat="1">
      <c r="D85" s="47"/>
      <c r="E85" s="48"/>
      <c r="F85" s="49"/>
      <c r="G85" s="47"/>
      <c r="H85" s="50"/>
      <c r="I85" s="51"/>
      <c r="J85" s="51"/>
      <c r="K85" s="50"/>
    </row>
    <row r="86" spans="4:11" s="36" customFormat="1">
      <c r="D86" s="47"/>
      <c r="E86" s="48"/>
      <c r="F86" s="49"/>
      <c r="G86" s="47"/>
      <c r="H86" s="50"/>
      <c r="I86" s="51"/>
      <c r="J86" s="51"/>
      <c r="K86" s="50"/>
    </row>
    <row r="87" spans="4:11" s="36" customFormat="1">
      <c r="D87" s="47"/>
      <c r="E87" s="48"/>
      <c r="F87" s="49"/>
      <c r="G87" s="47"/>
      <c r="H87" s="50"/>
      <c r="I87" s="51"/>
      <c r="J87" s="51"/>
      <c r="K87" s="50"/>
    </row>
    <row r="88" spans="4:11" s="36" customFormat="1">
      <c r="D88" s="47"/>
      <c r="E88" s="48"/>
      <c r="F88" s="49"/>
      <c r="G88" s="47"/>
      <c r="H88" s="50"/>
      <c r="I88" s="51"/>
      <c r="J88" s="51"/>
      <c r="K88" s="50"/>
    </row>
    <row r="89" spans="4:11" s="36" customFormat="1">
      <c r="D89" s="47"/>
      <c r="E89" s="48"/>
      <c r="F89" s="49"/>
      <c r="G89" s="47"/>
      <c r="H89" s="50"/>
      <c r="I89" s="51"/>
      <c r="J89" s="51"/>
      <c r="K89" s="50"/>
    </row>
    <row r="90" spans="4:11" s="36" customFormat="1">
      <c r="D90" s="47"/>
      <c r="E90" s="48"/>
      <c r="F90" s="49"/>
      <c r="G90" s="47"/>
      <c r="H90" s="50"/>
      <c r="I90" s="51"/>
      <c r="J90" s="51"/>
      <c r="K90" s="50"/>
    </row>
    <row r="91" spans="4:11" s="36" customFormat="1">
      <c r="D91" s="47"/>
      <c r="E91" s="48"/>
      <c r="F91" s="49"/>
      <c r="G91" s="47"/>
      <c r="H91" s="50"/>
      <c r="I91" s="51"/>
      <c r="J91" s="51"/>
      <c r="K91" s="50"/>
    </row>
    <row r="92" spans="4:11" s="36" customFormat="1">
      <c r="D92" s="47"/>
      <c r="E92" s="48"/>
      <c r="F92" s="49"/>
      <c r="G92" s="47"/>
      <c r="H92" s="50"/>
      <c r="I92" s="51"/>
      <c r="J92" s="51"/>
      <c r="K92" s="50"/>
    </row>
    <row r="93" spans="4:11" s="36" customFormat="1">
      <c r="D93" s="47"/>
      <c r="E93" s="48"/>
      <c r="F93" s="49"/>
      <c r="G93" s="47"/>
      <c r="H93" s="50"/>
      <c r="I93" s="51"/>
      <c r="J93" s="51"/>
      <c r="K93" s="50"/>
    </row>
    <row r="94" spans="4:11" s="36" customFormat="1">
      <c r="D94" s="47"/>
      <c r="E94" s="48"/>
      <c r="F94" s="49"/>
      <c r="G94" s="47"/>
      <c r="H94" s="50"/>
      <c r="I94" s="51"/>
      <c r="J94" s="51"/>
      <c r="K94" s="50"/>
    </row>
    <row r="95" spans="4:11" s="36" customFormat="1">
      <c r="D95" s="47"/>
      <c r="E95" s="48"/>
      <c r="F95" s="49"/>
      <c r="G95" s="47"/>
      <c r="H95" s="50"/>
      <c r="I95" s="51"/>
      <c r="J95" s="51"/>
      <c r="K95" s="50"/>
    </row>
    <row r="96" spans="4:11" s="36" customFormat="1">
      <c r="D96" s="47"/>
      <c r="E96" s="48"/>
      <c r="F96" s="49"/>
      <c r="G96" s="47"/>
      <c r="H96" s="50"/>
      <c r="I96" s="51"/>
      <c r="J96" s="51"/>
      <c r="K96" s="50"/>
    </row>
    <row r="97" spans="4:11" s="36" customFormat="1">
      <c r="D97" s="47"/>
      <c r="E97" s="48"/>
      <c r="F97" s="49"/>
      <c r="G97" s="47"/>
      <c r="H97" s="50"/>
      <c r="I97" s="51"/>
      <c r="J97" s="51"/>
      <c r="K97" s="50"/>
    </row>
    <row r="98" spans="4:11" s="36" customFormat="1">
      <c r="D98" s="47"/>
      <c r="E98" s="48"/>
      <c r="F98" s="49"/>
      <c r="G98" s="47"/>
      <c r="H98" s="50"/>
      <c r="I98" s="51"/>
      <c r="J98" s="51"/>
      <c r="K98" s="50"/>
    </row>
    <row r="99" spans="4:11" s="36" customFormat="1">
      <c r="D99" s="47"/>
      <c r="E99" s="48"/>
      <c r="F99" s="49"/>
      <c r="G99" s="47"/>
      <c r="H99" s="50"/>
      <c r="I99" s="51"/>
      <c r="J99" s="51"/>
      <c r="K99" s="50"/>
    </row>
    <row r="100" spans="4:11" s="36" customFormat="1">
      <c r="D100" s="47"/>
      <c r="E100" s="48"/>
      <c r="F100" s="49"/>
      <c r="G100" s="47"/>
      <c r="H100" s="50"/>
      <c r="I100" s="51"/>
      <c r="J100" s="51"/>
      <c r="K100" s="50"/>
    </row>
    <row r="101" spans="4:11" s="36" customFormat="1">
      <c r="D101" s="47"/>
      <c r="E101" s="48"/>
      <c r="F101" s="49"/>
      <c r="G101" s="47"/>
      <c r="H101" s="50"/>
      <c r="I101" s="51"/>
      <c r="J101" s="51"/>
      <c r="K101" s="50"/>
    </row>
    <row r="102" spans="4:11" s="36" customFormat="1">
      <c r="D102" s="47"/>
      <c r="E102" s="48"/>
      <c r="F102" s="49"/>
      <c r="G102" s="47"/>
      <c r="H102" s="50"/>
      <c r="I102" s="51"/>
      <c r="J102" s="51"/>
      <c r="K102" s="50"/>
    </row>
    <row r="103" spans="4:11" s="36" customFormat="1">
      <c r="D103" s="47"/>
      <c r="E103" s="48"/>
      <c r="F103" s="49"/>
      <c r="G103" s="47"/>
      <c r="H103" s="50"/>
      <c r="I103" s="51"/>
      <c r="J103" s="51"/>
      <c r="K103" s="50"/>
    </row>
    <row r="104" spans="4:11" s="36" customFormat="1">
      <c r="D104" s="47"/>
      <c r="E104" s="48"/>
      <c r="F104" s="49"/>
      <c r="G104" s="47"/>
      <c r="H104" s="50"/>
      <c r="I104" s="51"/>
      <c r="J104" s="51"/>
      <c r="K104" s="50"/>
    </row>
    <row r="105" spans="4:11" s="36" customFormat="1">
      <c r="D105" s="47"/>
      <c r="E105" s="48"/>
      <c r="F105" s="49"/>
      <c r="G105" s="47"/>
      <c r="H105" s="50"/>
      <c r="I105" s="51"/>
      <c r="J105" s="51"/>
      <c r="K105" s="50"/>
    </row>
    <row r="106" spans="4:11" s="36" customFormat="1">
      <c r="D106" s="47"/>
      <c r="E106" s="48"/>
      <c r="F106" s="49"/>
      <c r="G106" s="47"/>
      <c r="H106" s="50"/>
      <c r="I106" s="51"/>
      <c r="J106" s="51"/>
      <c r="K106" s="50"/>
    </row>
    <row r="107" spans="4:11" s="36" customFormat="1">
      <c r="D107" s="47"/>
      <c r="E107" s="48"/>
      <c r="F107" s="49"/>
      <c r="G107" s="47"/>
      <c r="H107" s="50"/>
      <c r="I107" s="51"/>
      <c r="J107" s="51"/>
      <c r="K107" s="50"/>
    </row>
    <row r="108" spans="4:11" s="36" customFormat="1">
      <c r="D108" s="47"/>
      <c r="E108" s="48"/>
      <c r="F108" s="49"/>
      <c r="G108" s="47"/>
      <c r="H108" s="50"/>
      <c r="I108" s="51"/>
      <c r="J108" s="51"/>
      <c r="K108" s="50"/>
    </row>
    <row r="109" spans="4:11" s="36" customFormat="1">
      <c r="D109" s="47"/>
      <c r="E109" s="48"/>
      <c r="F109" s="49"/>
      <c r="G109" s="47"/>
      <c r="H109" s="50"/>
      <c r="I109" s="51"/>
      <c r="J109" s="51"/>
      <c r="K109" s="50"/>
    </row>
    <row r="110" spans="4:11" s="36" customFormat="1">
      <c r="D110" s="47"/>
      <c r="E110" s="48"/>
      <c r="F110" s="49"/>
      <c r="G110" s="47"/>
      <c r="H110" s="50"/>
      <c r="I110" s="51"/>
      <c r="J110" s="51"/>
      <c r="K110" s="50"/>
    </row>
    <row r="111" spans="4:11" s="36" customFormat="1">
      <c r="D111" s="47"/>
      <c r="E111" s="48"/>
      <c r="F111" s="49"/>
      <c r="G111" s="47"/>
      <c r="H111" s="50"/>
      <c r="I111" s="51"/>
      <c r="J111" s="51"/>
      <c r="K111" s="50"/>
    </row>
    <row r="112" spans="4:11" s="36" customFormat="1">
      <c r="D112" s="47"/>
      <c r="E112" s="48"/>
      <c r="F112" s="49"/>
      <c r="G112" s="47"/>
      <c r="H112" s="50"/>
      <c r="I112" s="51"/>
      <c r="J112" s="51"/>
      <c r="K112" s="50"/>
    </row>
    <row r="113" spans="4:11" s="36" customFormat="1">
      <c r="D113" s="47"/>
      <c r="E113" s="48"/>
      <c r="F113" s="49"/>
      <c r="G113" s="47"/>
      <c r="H113" s="50"/>
      <c r="I113" s="51"/>
      <c r="J113" s="51"/>
      <c r="K113" s="50"/>
    </row>
    <row r="114" spans="4:11" s="36" customFormat="1">
      <c r="D114" s="47"/>
      <c r="E114" s="48"/>
      <c r="F114" s="49"/>
      <c r="G114" s="47"/>
      <c r="H114" s="50"/>
      <c r="I114" s="51"/>
      <c r="J114" s="51"/>
      <c r="K114" s="50"/>
    </row>
    <row r="115" spans="4:11" s="36" customFormat="1">
      <c r="D115" s="47"/>
      <c r="E115" s="48"/>
      <c r="F115" s="49"/>
      <c r="G115" s="47"/>
      <c r="H115" s="50"/>
      <c r="I115" s="51"/>
      <c r="J115" s="51"/>
      <c r="K115" s="50"/>
    </row>
    <row r="116" spans="4:11" s="36" customFormat="1">
      <c r="D116" s="47"/>
      <c r="E116" s="48"/>
      <c r="F116" s="49"/>
      <c r="G116" s="47"/>
      <c r="H116" s="50"/>
      <c r="I116" s="51"/>
      <c r="J116" s="51"/>
      <c r="K116" s="50"/>
    </row>
    <row r="117" spans="4:11" s="36" customFormat="1">
      <c r="D117" s="47"/>
      <c r="E117" s="48"/>
      <c r="F117" s="49"/>
      <c r="G117" s="47"/>
      <c r="H117" s="50"/>
      <c r="I117" s="51"/>
      <c r="J117" s="51"/>
      <c r="K117" s="50"/>
    </row>
    <row r="118" spans="4:11" s="36" customFormat="1">
      <c r="D118" s="47"/>
      <c r="E118" s="48"/>
      <c r="F118" s="49"/>
      <c r="G118" s="47"/>
      <c r="H118" s="50"/>
      <c r="I118" s="51"/>
      <c r="J118" s="51"/>
      <c r="K118" s="50"/>
    </row>
    <row r="119" spans="4:11" s="36" customFormat="1">
      <c r="D119" s="47"/>
      <c r="E119" s="48"/>
      <c r="F119" s="49"/>
      <c r="G119" s="47"/>
      <c r="H119" s="50"/>
      <c r="I119" s="51"/>
      <c r="J119" s="51"/>
      <c r="K119" s="50"/>
    </row>
    <row r="120" spans="4:11" s="36" customFormat="1">
      <c r="D120" s="47"/>
      <c r="E120" s="48"/>
      <c r="F120" s="49"/>
      <c r="G120" s="47"/>
      <c r="H120" s="50"/>
      <c r="I120" s="51"/>
      <c r="J120" s="51"/>
      <c r="K120" s="50"/>
    </row>
    <row r="121" spans="4:11" s="36" customFormat="1">
      <c r="D121" s="47"/>
      <c r="E121" s="48"/>
      <c r="F121" s="49"/>
      <c r="G121" s="47"/>
      <c r="H121" s="50"/>
      <c r="I121" s="51"/>
      <c r="J121" s="51"/>
      <c r="K121" s="50"/>
    </row>
    <row r="122" spans="4:11" s="36" customFormat="1">
      <c r="D122" s="47"/>
      <c r="E122" s="48"/>
      <c r="F122" s="49"/>
      <c r="G122" s="47"/>
      <c r="H122" s="50"/>
      <c r="I122" s="51"/>
      <c r="J122" s="51"/>
      <c r="K122" s="50"/>
    </row>
    <row r="123" spans="4:11" s="36" customFormat="1">
      <c r="D123" s="47"/>
      <c r="E123" s="48"/>
      <c r="F123" s="49"/>
      <c r="G123" s="47"/>
      <c r="H123" s="50"/>
      <c r="I123" s="51"/>
      <c r="J123" s="51"/>
      <c r="K123" s="50"/>
    </row>
    <row r="124" spans="4:11" s="36" customFormat="1">
      <c r="D124" s="47"/>
      <c r="E124" s="48"/>
      <c r="F124" s="49"/>
      <c r="G124" s="47"/>
      <c r="H124" s="50"/>
      <c r="I124" s="51"/>
      <c r="J124" s="51"/>
      <c r="K124" s="50"/>
    </row>
    <row r="125" spans="4:11" s="36" customFormat="1">
      <c r="D125" s="47"/>
      <c r="E125" s="48"/>
      <c r="F125" s="49"/>
      <c r="G125" s="47"/>
      <c r="H125" s="50"/>
      <c r="I125" s="51"/>
      <c r="J125" s="51"/>
      <c r="K125" s="50"/>
    </row>
    <row r="126" spans="4:11" s="36" customFormat="1">
      <c r="D126" s="47"/>
      <c r="E126" s="48"/>
      <c r="F126" s="49"/>
      <c r="G126" s="47"/>
      <c r="H126" s="50"/>
      <c r="I126" s="51"/>
      <c r="J126" s="51"/>
      <c r="K126" s="50"/>
    </row>
    <row r="127" spans="4:11" s="36" customFormat="1">
      <c r="D127" s="47"/>
      <c r="E127" s="48"/>
      <c r="F127" s="49"/>
      <c r="G127" s="47"/>
      <c r="H127" s="50"/>
      <c r="I127" s="51"/>
      <c r="J127" s="51"/>
      <c r="K127" s="50"/>
    </row>
    <row r="128" spans="4:11" s="36" customFormat="1">
      <c r="D128" s="47"/>
      <c r="E128" s="48"/>
      <c r="F128" s="49"/>
      <c r="G128" s="47"/>
      <c r="H128" s="50"/>
      <c r="I128" s="51"/>
      <c r="J128" s="51"/>
      <c r="K128" s="50"/>
    </row>
    <row r="129" spans="4:11" s="36" customFormat="1">
      <c r="D129" s="47"/>
      <c r="E129" s="48"/>
      <c r="F129" s="49"/>
      <c r="G129" s="47"/>
      <c r="H129" s="50"/>
      <c r="I129" s="51"/>
      <c r="J129" s="51"/>
      <c r="K129" s="50"/>
    </row>
    <row r="130" spans="4:11" s="36" customFormat="1">
      <c r="D130" s="47"/>
      <c r="E130" s="48"/>
      <c r="F130" s="49"/>
      <c r="G130" s="47"/>
      <c r="H130" s="50"/>
      <c r="I130" s="51"/>
      <c r="J130" s="51"/>
      <c r="K130" s="50"/>
    </row>
    <row r="131" spans="4:11" s="36" customFormat="1">
      <c r="D131" s="47"/>
      <c r="E131" s="48"/>
      <c r="F131" s="49"/>
      <c r="G131" s="47"/>
      <c r="H131" s="50"/>
      <c r="I131" s="51"/>
      <c r="J131" s="51"/>
      <c r="K131" s="50"/>
    </row>
    <row r="132" spans="4:11" s="36" customFormat="1">
      <c r="D132" s="47"/>
      <c r="E132" s="48"/>
      <c r="F132" s="49"/>
      <c r="G132" s="47"/>
      <c r="H132" s="50"/>
      <c r="I132" s="51"/>
      <c r="J132" s="51"/>
      <c r="K132" s="50"/>
    </row>
    <row r="133" spans="4:11" s="36" customFormat="1">
      <c r="D133" s="47"/>
      <c r="E133" s="48"/>
      <c r="F133" s="49"/>
      <c r="G133" s="47"/>
      <c r="H133" s="50"/>
      <c r="I133" s="51"/>
      <c r="J133" s="51"/>
      <c r="K133" s="50"/>
    </row>
    <row r="134" spans="4:11" s="36" customFormat="1">
      <c r="D134" s="47"/>
      <c r="E134" s="48"/>
      <c r="F134" s="49"/>
      <c r="G134" s="47"/>
      <c r="H134" s="50"/>
      <c r="I134" s="51"/>
      <c r="J134" s="51"/>
      <c r="K134" s="50"/>
    </row>
    <row r="135" spans="4:11" s="36" customFormat="1">
      <c r="D135" s="47"/>
      <c r="E135" s="48"/>
      <c r="F135" s="49"/>
      <c r="G135" s="47"/>
      <c r="H135" s="50"/>
      <c r="I135" s="51"/>
      <c r="J135" s="51"/>
      <c r="K135" s="50"/>
    </row>
    <row r="136" spans="4:11" s="36" customFormat="1">
      <c r="D136" s="47"/>
      <c r="E136" s="48"/>
      <c r="F136" s="49"/>
      <c r="G136" s="47"/>
      <c r="H136" s="50"/>
      <c r="I136" s="51"/>
      <c r="J136" s="51"/>
      <c r="K136" s="50"/>
    </row>
    <row r="137" spans="4:11" s="36" customFormat="1">
      <c r="D137" s="47"/>
      <c r="E137" s="48"/>
      <c r="F137" s="49"/>
      <c r="G137" s="47"/>
      <c r="H137" s="50"/>
      <c r="I137" s="51"/>
      <c r="J137" s="51"/>
      <c r="K137" s="50"/>
    </row>
    <row r="138" spans="4:11" s="36" customFormat="1">
      <c r="D138" s="47"/>
      <c r="E138" s="48"/>
      <c r="F138" s="49"/>
      <c r="G138" s="47"/>
      <c r="H138" s="50"/>
      <c r="I138" s="51"/>
      <c r="J138" s="51"/>
      <c r="K138" s="50"/>
    </row>
    <row r="139" spans="4:11" s="36" customFormat="1">
      <c r="D139" s="47"/>
      <c r="E139" s="48"/>
      <c r="F139" s="49"/>
      <c r="G139" s="47"/>
      <c r="H139" s="50"/>
      <c r="I139" s="51"/>
      <c r="J139" s="51"/>
      <c r="K139" s="50"/>
    </row>
    <row r="140" spans="4:11" s="36" customFormat="1">
      <c r="D140" s="47"/>
      <c r="E140" s="48"/>
      <c r="F140" s="49"/>
      <c r="G140" s="47"/>
      <c r="H140" s="50"/>
      <c r="I140" s="51"/>
      <c r="J140" s="51"/>
      <c r="K140" s="50"/>
    </row>
    <row r="141" spans="4:11" s="36" customFormat="1">
      <c r="D141" s="47"/>
      <c r="E141" s="48"/>
      <c r="F141" s="49"/>
      <c r="G141" s="47"/>
      <c r="H141" s="50"/>
      <c r="I141" s="51"/>
      <c r="J141" s="51"/>
      <c r="K141" s="50"/>
    </row>
    <row r="142" spans="4:11" s="36" customFormat="1">
      <c r="D142" s="47"/>
      <c r="E142" s="48"/>
      <c r="F142" s="49"/>
      <c r="G142" s="47"/>
      <c r="H142" s="50"/>
      <c r="I142" s="51"/>
      <c r="J142" s="51"/>
      <c r="K142" s="50"/>
    </row>
    <row r="143" spans="4:11" s="36" customFormat="1">
      <c r="D143" s="47"/>
      <c r="E143" s="48"/>
      <c r="F143" s="49"/>
      <c r="G143" s="47"/>
      <c r="H143" s="50"/>
      <c r="I143" s="51"/>
      <c r="J143" s="51"/>
      <c r="K143" s="50"/>
    </row>
    <row r="144" spans="4:11" s="36" customFormat="1">
      <c r="D144" s="47"/>
      <c r="E144" s="48"/>
      <c r="F144" s="49"/>
      <c r="G144" s="47"/>
      <c r="H144" s="50"/>
      <c r="I144" s="51"/>
      <c r="J144" s="51"/>
      <c r="K144" s="50"/>
    </row>
    <row r="145" spans="4:11" s="36" customFormat="1">
      <c r="D145" s="47"/>
      <c r="E145" s="48"/>
      <c r="F145" s="49"/>
      <c r="G145" s="47"/>
      <c r="H145" s="50"/>
      <c r="I145" s="51"/>
      <c r="J145" s="51"/>
      <c r="K145" s="50"/>
    </row>
    <row r="146" spans="4:11" s="36" customFormat="1">
      <c r="D146" s="47"/>
      <c r="E146" s="48"/>
      <c r="F146" s="49"/>
      <c r="G146" s="47"/>
      <c r="H146" s="50"/>
      <c r="I146" s="51"/>
      <c r="J146" s="51"/>
      <c r="K146" s="50"/>
    </row>
    <row r="147" spans="4:11" s="36" customFormat="1">
      <c r="D147" s="47"/>
      <c r="E147" s="48"/>
      <c r="F147" s="49"/>
      <c r="G147" s="47"/>
      <c r="H147" s="50"/>
      <c r="I147" s="51"/>
      <c r="J147" s="51"/>
      <c r="K147" s="50"/>
    </row>
    <row r="148" spans="4:11" s="36" customFormat="1">
      <c r="D148" s="47"/>
      <c r="E148" s="48"/>
      <c r="F148" s="49"/>
      <c r="G148" s="47"/>
      <c r="H148" s="50"/>
      <c r="I148" s="51"/>
      <c r="J148" s="51"/>
      <c r="K148" s="50"/>
    </row>
    <row r="149" spans="4:11" s="36" customFormat="1">
      <c r="D149" s="47"/>
      <c r="E149" s="48"/>
      <c r="F149" s="49"/>
      <c r="G149" s="47"/>
      <c r="H149" s="50"/>
      <c r="I149" s="51"/>
      <c r="J149" s="51"/>
      <c r="K149" s="50"/>
    </row>
    <row r="150" spans="4:11" s="36" customFormat="1">
      <c r="D150" s="47"/>
      <c r="E150" s="48"/>
      <c r="F150" s="49"/>
      <c r="G150" s="47"/>
      <c r="H150" s="50"/>
      <c r="I150" s="51"/>
      <c r="J150" s="51"/>
      <c r="K150" s="50"/>
    </row>
    <row r="151" spans="4:11" s="36" customFormat="1">
      <c r="D151" s="47"/>
      <c r="E151" s="48"/>
      <c r="F151" s="49"/>
      <c r="G151" s="47"/>
      <c r="H151" s="50"/>
      <c r="I151" s="51"/>
      <c r="J151" s="51"/>
      <c r="K151" s="50"/>
    </row>
    <row r="152" spans="4:11" s="36" customFormat="1">
      <c r="D152" s="47"/>
      <c r="E152" s="48"/>
      <c r="F152" s="49"/>
      <c r="G152" s="47"/>
      <c r="H152" s="50"/>
      <c r="I152" s="51"/>
      <c r="J152" s="51"/>
      <c r="K152" s="50"/>
    </row>
    <row r="153" spans="4:11" s="36" customFormat="1">
      <c r="D153" s="47"/>
      <c r="E153" s="48"/>
      <c r="F153" s="49"/>
      <c r="G153" s="47"/>
      <c r="H153" s="50"/>
      <c r="I153" s="51"/>
      <c r="J153" s="51"/>
      <c r="K153" s="50"/>
    </row>
    <row r="154" spans="4:11" s="36" customFormat="1">
      <c r="D154" s="47"/>
      <c r="E154" s="48"/>
      <c r="F154" s="49"/>
      <c r="G154" s="47"/>
      <c r="H154" s="50"/>
      <c r="I154" s="51"/>
      <c r="J154" s="51"/>
      <c r="K154" s="50"/>
    </row>
    <row r="155" spans="4:11" s="36" customFormat="1">
      <c r="D155" s="47"/>
      <c r="E155" s="48"/>
      <c r="F155" s="49"/>
      <c r="G155" s="47"/>
      <c r="H155" s="50"/>
      <c r="I155" s="51"/>
      <c r="J155" s="51"/>
      <c r="K155" s="50"/>
    </row>
    <row r="156" spans="4:11" s="36" customFormat="1">
      <c r="D156" s="47"/>
      <c r="E156" s="48"/>
      <c r="F156" s="49"/>
      <c r="G156" s="47"/>
      <c r="H156" s="50"/>
      <c r="I156" s="51"/>
      <c r="J156" s="51"/>
      <c r="K156" s="50"/>
    </row>
    <row r="157" spans="4:11" s="36" customFormat="1">
      <c r="D157" s="47"/>
      <c r="E157" s="48"/>
      <c r="F157" s="49"/>
      <c r="G157" s="47"/>
      <c r="H157" s="50"/>
      <c r="I157" s="51"/>
      <c r="J157" s="51"/>
      <c r="K157" s="50"/>
    </row>
    <row r="158" spans="4:11" s="36" customFormat="1">
      <c r="D158" s="47"/>
      <c r="E158" s="48"/>
      <c r="F158" s="49"/>
      <c r="G158" s="47"/>
      <c r="H158" s="50"/>
      <c r="I158" s="51"/>
      <c r="J158" s="51"/>
      <c r="K158" s="50"/>
    </row>
    <row r="159" spans="4:11" s="36" customFormat="1">
      <c r="D159" s="47"/>
      <c r="E159" s="48"/>
      <c r="F159" s="49"/>
      <c r="G159" s="47"/>
      <c r="H159" s="50"/>
      <c r="I159" s="51"/>
      <c r="J159" s="51"/>
      <c r="K159" s="50"/>
    </row>
    <row r="160" spans="4:11" s="36" customFormat="1">
      <c r="D160" s="47"/>
      <c r="E160" s="48"/>
      <c r="F160" s="49"/>
      <c r="G160" s="47"/>
      <c r="H160" s="50"/>
      <c r="I160" s="51"/>
      <c r="J160" s="51"/>
      <c r="K160" s="50"/>
    </row>
    <row r="161" spans="4:11" s="36" customFormat="1">
      <c r="D161" s="47"/>
      <c r="E161" s="48"/>
      <c r="F161" s="49"/>
      <c r="G161" s="47"/>
      <c r="H161" s="50"/>
      <c r="I161" s="51"/>
      <c r="J161" s="51"/>
      <c r="K161" s="50"/>
    </row>
    <row r="162" spans="4:11" s="36" customFormat="1">
      <c r="D162" s="47"/>
      <c r="E162" s="48"/>
      <c r="F162" s="49"/>
      <c r="G162" s="47"/>
      <c r="H162" s="50"/>
      <c r="I162" s="51"/>
      <c r="J162" s="51"/>
      <c r="K162" s="50"/>
    </row>
    <row r="163" spans="4:11" s="36" customFormat="1">
      <c r="D163" s="47"/>
      <c r="E163" s="48"/>
      <c r="F163" s="49"/>
      <c r="G163" s="47"/>
      <c r="H163" s="50"/>
      <c r="I163" s="51"/>
      <c r="J163" s="51"/>
      <c r="K163" s="50"/>
    </row>
    <row r="164" spans="4:11" s="36" customFormat="1">
      <c r="D164" s="47"/>
      <c r="E164" s="48"/>
      <c r="F164" s="49"/>
      <c r="G164" s="47"/>
      <c r="H164" s="50"/>
      <c r="I164" s="51"/>
      <c r="J164" s="51"/>
      <c r="K164" s="50"/>
    </row>
    <row r="165" spans="4:11" s="36" customFormat="1">
      <c r="D165" s="47"/>
      <c r="E165" s="48"/>
      <c r="F165" s="49"/>
      <c r="G165" s="47"/>
      <c r="H165" s="50"/>
      <c r="I165" s="51"/>
      <c r="J165" s="51"/>
      <c r="K165" s="50"/>
    </row>
    <row r="166" spans="4:11" s="36" customFormat="1">
      <c r="D166" s="47"/>
      <c r="E166" s="48"/>
      <c r="F166" s="49"/>
      <c r="G166" s="47"/>
      <c r="H166" s="50"/>
      <c r="I166" s="51"/>
      <c r="J166" s="51"/>
      <c r="K166" s="50"/>
    </row>
    <row r="167" spans="4:11" s="36" customFormat="1">
      <c r="D167" s="47"/>
      <c r="E167" s="48"/>
      <c r="F167" s="49"/>
      <c r="G167" s="47"/>
      <c r="H167" s="50"/>
      <c r="I167" s="51"/>
      <c r="J167" s="51"/>
      <c r="K167" s="50"/>
    </row>
    <row r="168" spans="4:11" s="36" customFormat="1">
      <c r="D168" s="47"/>
      <c r="E168" s="48"/>
      <c r="F168" s="49"/>
      <c r="G168" s="47"/>
      <c r="H168" s="50"/>
      <c r="I168" s="51"/>
      <c r="J168" s="51"/>
      <c r="K168" s="50"/>
    </row>
    <row r="169" spans="4:11" s="36" customFormat="1">
      <c r="D169" s="47"/>
      <c r="E169" s="48"/>
      <c r="F169" s="49"/>
      <c r="G169" s="47"/>
      <c r="H169" s="50"/>
      <c r="I169" s="51"/>
      <c r="J169" s="51"/>
      <c r="K169" s="50"/>
    </row>
    <row r="170" spans="4:11" s="36" customFormat="1">
      <c r="D170" s="47"/>
      <c r="E170" s="48"/>
      <c r="F170" s="49"/>
      <c r="G170" s="47"/>
      <c r="H170" s="50"/>
      <c r="I170" s="51"/>
      <c r="J170" s="51"/>
      <c r="K170" s="50"/>
    </row>
    <row r="171" spans="4:11" s="36" customFormat="1">
      <c r="D171" s="47"/>
      <c r="E171" s="48"/>
      <c r="F171" s="49"/>
      <c r="G171" s="47"/>
      <c r="H171" s="50"/>
      <c r="I171" s="51"/>
      <c r="J171" s="51"/>
      <c r="K171" s="50"/>
    </row>
    <row r="172" spans="4:11" s="36" customFormat="1">
      <c r="D172" s="47"/>
      <c r="E172" s="48"/>
      <c r="F172" s="49"/>
      <c r="G172" s="47"/>
      <c r="H172" s="50"/>
      <c r="I172" s="51"/>
      <c r="J172" s="51"/>
      <c r="K172" s="50"/>
    </row>
    <row r="173" spans="4:11" s="36" customFormat="1">
      <c r="D173" s="47"/>
      <c r="E173" s="48"/>
      <c r="F173" s="49"/>
      <c r="G173" s="47"/>
      <c r="H173" s="50"/>
      <c r="I173" s="51"/>
      <c r="J173" s="51"/>
      <c r="K173" s="50"/>
    </row>
    <row r="174" spans="4:11" s="36" customFormat="1">
      <c r="D174" s="47"/>
      <c r="E174" s="48"/>
      <c r="F174" s="49"/>
      <c r="G174" s="47"/>
      <c r="H174" s="50"/>
      <c r="I174" s="51"/>
      <c r="J174" s="51"/>
      <c r="K174" s="50"/>
    </row>
    <row r="175" spans="4:11" s="36" customFormat="1">
      <c r="D175" s="47"/>
      <c r="E175" s="48"/>
      <c r="F175" s="49"/>
      <c r="G175" s="47"/>
      <c r="H175" s="50"/>
      <c r="I175" s="51"/>
      <c r="J175" s="51"/>
      <c r="K175" s="50"/>
    </row>
    <row r="176" spans="4:11" s="36" customFormat="1">
      <c r="D176" s="47"/>
      <c r="E176" s="48"/>
      <c r="F176" s="49"/>
      <c r="G176" s="47"/>
      <c r="H176" s="50"/>
      <c r="I176" s="51"/>
      <c r="J176" s="51"/>
      <c r="K176" s="50"/>
    </row>
    <row r="177" spans="4:11" s="36" customFormat="1">
      <c r="D177" s="47"/>
      <c r="E177" s="48"/>
      <c r="F177" s="49"/>
      <c r="G177" s="47"/>
      <c r="H177" s="50"/>
      <c r="I177" s="51"/>
      <c r="J177" s="51"/>
      <c r="K177" s="50"/>
    </row>
    <row r="178" spans="4:11" s="36" customFormat="1">
      <c r="D178" s="47"/>
      <c r="E178" s="48"/>
      <c r="F178" s="49"/>
      <c r="G178" s="47"/>
      <c r="H178" s="50"/>
      <c r="I178" s="51"/>
      <c r="J178" s="51"/>
      <c r="K178" s="50"/>
    </row>
    <row r="179" spans="4:11" s="36" customFormat="1">
      <c r="D179" s="47"/>
      <c r="E179" s="48"/>
      <c r="F179" s="49"/>
      <c r="G179" s="47"/>
      <c r="H179" s="50"/>
      <c r="I179" s="51"/>
      <c r="J179" s="51"/>
      <c r="K179" s="50"/>
    </row>
    <row r="180" spans="4:11" s="36" customFormat="1">
      <c r="D180" s="47"/>
      <c r="E180" s="48"/>
      <c r="F180" s="49"/>
      <c r="G180" s="47"/>
      <c r="H180" s="50"/>
      <c r="I180" s="51"/>
      <c r="J180" s="51"/>
      <c r="K180" s="50"/>
    </row>
    <row r="181" spans="4:11" s="36" customFormat="1">
      <c r="D181" s="47"/>
      <c r="E181" s="48"/>
      <c r="F181" s="49"/>
      <c r="G181" s="47"/>
      <c r="H181" s="50"/>
      <c r="I181" s="51"/>
      <c r="J181" s="51"/>
      <c r="K181" s="50"/>
    </row>
    <row r="182" spans="4:11" s="36" customFormat="1">
      <c r="D182" s="47"/>
      <c r="E182" s="48"/>
      <c r="F182" s="49"/>
      <c r="G182" s="47"/>
      <c r="H182" s="50"/>
      <c r="I182" s="51"/>
      <c r="J182" s="51"/>
      <c r="K182" s="50"/>
    </row>
    <row r="183" spans="4:11" s="36" customFormat="1">
      <c r="D183" s="47"/>
      <c r="E183" s="48"/>
      <c r="F183" s="49"/>
      <c r="G183" s="47"/>
      <c r="H183" s="50"/>
      <c r="I183" s="51"/>
      <c r="J183" s="51"/>
      <c r="K183" s="50"/>
    </row>
    <row r="184" spans="4:11" s="36" customFormat="1">
      <c r="D184" s="47"/>
      <c r="E184" s="48"/>
      <c r="F184" s="49"/>
      <c r="G184" s="47"/>
      <c r="H184" s="50"/>
      <c r="I184" s="51"/>
      <c r="J184" s="51"/>
      <c r="K184" s="50"/>
    </row>
    <row r="185" spans="4:11" s="36" customFormat="1">
      <c r="D185" s="47"/>
      <c r="E185" s="48"/>
      <c r="F185" s="49"/>
      <c r="G185" s="47"/>
      <c r="H185" s="50"/>
      <c r="I185" s="51"/>
      <c r="J185" s="51"/>
      <c r="K185" s="50"/>
    </row>
    <row r="186" spans="4:11" s="36" customFormat="1">
      <c r="D186" s="47"/>
      <c r="E186" s="48"/>
      <c r="F186" s="49"/>
      <c r="G186" s="47"/>
      <c r="H186" s="50"/>
      <c r="I186" s="51"/>
      <c r="J186" s="51"/>
      <c r="K186" s="50"/>
    </row>
    <row r="187" spans="4:11" s="36" customFormat="1">
      <c r="D187" s="47"/>
      <c r="E187" s="48"/>
      <c r="F187" s="49"/>
      <c r="G187" s="47"/>
      <c r="H187" s="50"/>
      <c r="I187" s="51"/>
      <c r="J187" s="51"/>
      <c r="K187" s="50"/>
    </row>
    <row r="188" spans="4:11" s="36" customFormat="1">
      <c r="D188" s="47"/>
      <c r="E188" s="48"/>
      <c r="F188" s="49"/>
      <c r="G188" s="47"/>
      <c r="H188" s="50"/>
      <c r="I188" s="51"/>
      <c r="J188" s="51"/>
      <c r="K188" s="50"/>
    </row>
    <row r="189" spans="4:11" s="36" customFormat="1">
      <c r="D189" s="47"/>
      <c r="E189" s="48"/>
      <c r="F189" s="49"/>
      <c r="G189" s="47"/>
      <c r="H189" s="50"/>
      <c r="I189" s="51"/>
      <c r="J189" s="51"/>
      <c r="K189" s="50"/>
    </row>
    <row r="190" spans="4:11" s="36" customFormat="1">
      <c r="D190" s="47"/>
      <c r="E190" s="48"/>
      <c r="F190" s="49"/>
      <c r="G190" s="47"/>
      <c r="H190" s="50"/>
      <c r="I190" s="51"/>
      <c r="J190" s="51"/>
      <c r="K190" s="50"/>
    </row>
    <row r="191" spans="4:11" s="36" customFormat="1">
      <c r="D191" s="47"/>
      <c r="E191" s="48"/>
      <c r="F191" s="49"/>
      <c r="G191" s="47"/>
      <c r="H191" s="50"/>
      <c r="I191" s="51"/>
      <c r="J191" s="51"/>
      <c r="K191" s="50"/>
    </row>
    <row r="192" spans="4:11" s="36" customFormat="1">
      <c r="D192" s="47"/>
      <c r="E192" s="48"/>
      <c r="F192" s="49"/>
      <c r="G192" s="47"/>
      <c r="H192" s="50"/>
      <c r="I192" s="51"/>
      <c r="J192" s="51"/>
      <c r="K192" s="50"/>
    </row>
    <row r="193" spans="4:11" s="36" customFormat="1">
      <c r="D193" s="47"/>
      <c r="E193" s="48"/>
      <c r="F193" s="49"/>
      <c r="G193" s="47"/>
      <c r="H193" s="50"/>
      <c r="I193" s="51"/>
      <c r="J193" s="51"/>
      <c r="K193" s="50"/>
    </row>
    <row r="194" spans="4:11" s="36" customFormat="1">
      <c r="D194" s="47"/>
      <c r="E194" s="48"/>
      <c r="F194" s="49"/>
      <c r="G194" s="47"/>
      <c r="H194" s="50"/>
      <c r="I194" s="51"/>
      <c r="J194" s="51"/>
      <c r="K194" s="50"/>
    </row>
    <row r="195" spans="4:11" s="36" customFormat="1">
      <c r="D195" s="47"/>
      <c r="E195" s="48"/>
      <c r="F195" s="49"/>
      <c r="G195" s="47"/>
      <c r="H195" s="50"/>
      <c r="I195" s="51"/>
      <c r="J195" s="51"/>
      <c r="K195" s="50"/>
    </row>
    <row r="196" spans="4:11" s="36" customFormat="1">
      <c r="D196" s="47"/>
      <c r="E196" s="48"/>
      <c r="F196" s="49"/>
      <c r="G196" s="47"/>
      <c r="H196" s="50"/>
      <c r="I196" s="51"/>
      <c r="J196" s="51"/>
      <c r="K196" s="50"/>
    </row>
    <row r="197" spans="4:11" s="36" customFormat="1">
      <c r="D197" s="47"/>
      <c r="E197" s="48"/>
      <c r="F197" s="49"/>
      <c r="G197" s="47"/>
      <c r="H197" s="50"/>
      <c r="I197" s="51"/>
      <c r="J197" s="51"/>
      <c r="K197" s="50"/>
    </row>
    <row r="198" spans="4:11" s="36" customFormat="1">
      <c r="D198" s="47"/>
      <c r="E198" s="48"/>
      <c r="F198" s="49"/>
      <c r="G198" s="47"/>
      <c r="H198" s="50"/>
      <c r="I198" s="51"/>
      <c r="J198" s="51"/>
      <c r="K198" s="50"/>
    </row>
    <row r="199" spans="4:11" s="36" customFormat="1">
      <c r="D199" s="47"/>
      <c r="E199" s="48"/>
      <c r="F199" s="49"/>
      <c r="G199" s="47"/>
      <c r="H199" s="50"/>
      <c r="I199" s="51"/>
      <c r="J199" s="51"/>
      <c r="K199" s="50"/>
    </row>
    <row r="200" spans="4:11" s="36" customFormat="1">
      <c r="D200" s="47"/>
      <c r="E200" s="48"/>
      <c r="F200" s="49"/>
      <c r="G200" s="47"/>
      <c r="H200" s="50"/>
      <c r="I200" s="51"/>
      <c r="J200" s="51"/>
      <c r="K200" s="50"/>
    </row>
    <row r="201" spans="4:11" s="36" customFormat="1">
      <c r="D201" s="47"/>
      <c r="E201" s="48"/>
      <c r="F201" s="49"/>
      <c r="G201" s="47"/>
      <c r="H201" s="50"/>
      <c r="I201" s="51"/>
      <c r="J201" s="51"/>
      <c r="K201" s="50"/>
    </row>
    <row r="202" spans="4:11" s="36" customFormat="1">
      <c r="D202" s="47"/>
      <c r="E202" s="48"/>
      <c r="F202" s="49"/>
      <c r="G202" s="47"/>
      <c r="H202" s="50"/>
      <c r="I202" s="51"/>
      <c r="J202" s="51"/>
      <c r="K202" s="50"/>
    </row>
    <row r="203" spans="4:11" s="36" customFormat="1">
      <c r="D203" s="47"/>
      <c r="E203" s="48"/>
      <c r="F203" s="49"/>
      <c r="G203" s="47"/>
      <c r="H203" s="50"/>
      <c r="I203" s="51"/>
      <c r="J203" s="51"/>
      <c r="K203" s="50"/>
    </row>
    <row r="204" spans="4:11" s="36" customFormat="1">
      <c r="D204" s="47"/>
      <c r="E204" s="48"/>
      <c r="F204" s="49"/>
      <c r="G204" s="47"/>
      <c r="H204" s="50"/>
      <c r="I204" s="51"/>
      <c r="J204" s="51"/>
      <c r="K204" s="50"/>
    </row>
    <row r="205" spans="4:11" s="36" customFormat="1">
      <c r="D205" s="47"/>
      <c r="E205" s="48"/>
      <c r="F205" s="49"/>
      <c r="G205" s="47"/>
      <c r="H205" s="50"/>
      <c r="I205" s="51"/>
      <c r="J205" s="51"/>
      <c r="K205" s="50"/>
    </row>
    <row r="206" spans="4:11" s="36" customFormat="1">
      <c r="D206" s="47"/>
      <c r="E206" s="48"/>
      <c r="F206" s="49"/>
      <c r="G206" s="47"/>
      <c r="H206" s="50"/>
      <c r="I206" s="51"/>
      <c r="J206" s="51"/>
      <c r="K206" s="50"/>
    </row>
    <row r="207" spans="4:11" s="36" customFormat="1">
      <c r="D207" s="47"/>
      <c r="E207" s="48"/>
      <c r="F207" s="49"/>
      <c r="G207" s="47"/>
      <c r="H207" s="50"/>
      <c r="I207" s="51"/>
      <c r="J207" s="51"/>
      <c r="K207" s="50"/>
    </row>
    <row r="208" spans="4:11" s="36" customFormat="1">
      <c r="D208" s="47"/>
      <c r="E208" s="48"/>
      <c r="F208" s="49"/>
      <c r="G208" s="47"/>
      <c r="H208" s="50"/>
      <c r="I208" s="51"/>
      <c r="J208" s="51"/>
      <c r="K208" s="50"/>
    </row>
    <row r="209" spans="4:11" s="36" customFormat="1">
      <c r="D209" s="47"/>
      <c r="E209" s="48"/>
      <c r="F209" s="49"/>
      <c r="G209" s="47"/>
      <c r="H209" s="50"/>
      <c r="I209" s="51"/>
      <c r="J209" s="51"/>
      <c r="K209" s="50"/>
    </row>
    <row r="210" spans="4:11" s="36" customFormat="1">
      <c r="D210" s="47"/>
      <c r="E210" s="48"/>
      <c r="F210" s="49"/>
      <c r="G210" s="47"/>
      <c r="H210" s="50"/>
      <c r="I210" s="51"/>
      <c r="J210" s="51"/>
      <c r="K210" s="50"/>
    </row>
    <row r="211" spans="4:11" s="36" customFormat="1">
      <c r="D211" s="47"/>
      <c r="E211" s="48"/>
      <c r="F211" s="49"/>
      <c r="G211" s="47"/>
      <c r="H211" s="50"/>
      <c r="I211" s="51"/>
      <c r="J211" s="51"/>
      <c r="K211" s="50"/>
    </row>
    <row r="212" spans="4:11" s="36" customFormat="1">
      <c r="D212" s="47"/>
      <c r="E212" s="48"/>
      <c r="F212" s="49"/>
      <c r="G212" s="47"/>
      <c r="H212" s="50"/>
      <c r="I212" s="51"/>
      <c r="J212" s="51"/>
      <c r="K212" s="50"/>
    </row>
    <row r="213" spans="4:11" s="36" customFormat="1">
      <c r="D213" s="47"/>
      <c r="E213" s="48"/>
      <c r="F213" s="49"/>
      <c r="G213" s="47"/>
      <c r="H213" s="50"/>
      <c r="I213" s="51"/>
      <c r="J213" s="51"/>
      <c r="K213" s="50"/>
    </row>
    <row r="214" spans="4:11" s="36" customFormat="1">
      <c r="D214" s="47"/>
      <c r="E214" s="48"/>
      <c r="F214" s="49"/>
      <c r="G214" s="47"/>
      <c r="H214" s="50"/>
      <c r="I214" s="51"/>
      <c r="J214" s="51"/>
      <c r="K214" s="50"/>
    </row>
    <row r="215" spans="4:11" s="36" customFormat="1">
      <c r="D215" s="47"/>
      <c r="E215" s="48"/>
      <c r="F215" s="49"/>
      <c r="G215" s="47"/>
      <c r="H215" s="50"/>
      <c r="I215" s="51"/>
      <c r="J215" s="51"/>
      <c r="K215" s="50"/>
    </row>
    <row r="216" spans="4:11" s="36" customFormat="1">
      <c r="D216" s="47"/>
      <c r="E216" s="48"/>
      <c r="F216" s="49"/>
      <c r="G216" s="47"/>
      <c r="H216" s="50"/>
      <c r="I216" s="51"/>
      <c r="J216" s="51"/>
      <c r="K216" s="50"/>
    </row>
    <row r="217" spans="4:11" s="36" customFormat="1">
      <c r="D217" s="47"/>
      <c r="E217" s="48"/>
      <c r="F217" s="49"/>
      <c r="G217" s="47"/>
      <c r="H217" s="50"/>
      <c r="I217" s="51"/>
      <c r="J217" s="51"/>
      <c r="K217" s="50"/>
    </row>
    <row r="218" spans="4:11" s="36" customFormat="1">
      <c r="D218" s="47"/>
      <c r="E218" s="48"/>
      <c r="F218" s="49"/>
      <c r="G218" s="47"/>
      <c r="H218" s="50"/>
      <c r="I218" s="51"/>
      <c r="J218" s="51"/>
      <c r="K218" s="50"/>
    </row>
    <row r="219" spans="4:11" s="36" customFormat="1">
      <c r="D219" s="47"/>
      <c r="E219" s="48"/>
      <c r="F219" s="49"/>
      <c r="G219" s="47"/>
      <c r="H219" s="50"/>
      <c r="I219" s="51"/>
      <c r="J219" s="51"/>
      <c r="K219" s="50"/>
    </row>
    <row r="220" spans="4:11" s="36" customFormat="1">
      <c r="D220" s="47"/>
      <c r="E220" s="48"/>
      <c r="F220" s="49"/>
      <c r="G220" s="47"/>
      <c r="H220" s="50"/>
      <c r="I220" s="51"/>
      <c r="J220" s="51"/>
      <c r="K220" s="50"/>
    </row>
    <row r="221" spans="4:11" s="36" customFormat="1">
      <c r="D221" s="47"/>
      <c r="E221" s="48"/>
      <c r="F221" s="49"/>
      <c r="G221" s="47"/>
      <c r="H221" s="50"/>
      <c r="I221" s="51"/>
      <c r="J221" s="51"/>
      <c r="K221" s="50"/>
    </row>
    <row r="222" spans="4:11" s="36" customFormat="1">
      <c r="D222" s="47"/>
      <c r="E222" s="48"/>
      <c r="F222" s="49"/>
      <c r="G222" s="47"/>
      <c r="H222" s="50"/>
      <c r="I222" s="51"/>
      <c r="J222" s="51"/>
      <c r="K222" s="50"/>
    </row>
    <row r="223" spans="4:11" s="36" customFormat="1">
      <c r="D223" s="47"/>
      <c r="E223" s="48"/>
      <c r="F223" s="49"/>
      <c r="G223" s="47"/>
      <c r="H223" s="50"/>
      <c r="I223" s="51"/>
      <c r="J223" s="51"/>
      <c r="K223" s="50"/>
    </row>
    <row r="224" spans="4:11" s="36" customFormat="1">
      <c r="D224" s="47"/>
      <c r="E224" s="48"/>
      <c r="F224" s="49"/>
      <c r="G224" s="47"/>
      <c r="H224" s="50"/>
      <c r="I224" s="51"/>
      <c r="J224" s="51"/>
      <c r="K224" s="50"/>
    </row>
    <row r="225" spans="4:11" s="36" customFormat="1">
      <c r="D225" s="47"/>
      <c r="E225" s="48"/>
      <c r="F225" s="49"/>
      <c r="G225" s="47"/>
      <c r="H225" s="50"/>
      <c r="I225" s="51"/>
      <c r="J225" s="51"/>
      <c r="K225" s="50"/>
    </row>
    <row r="226" spans="4:11" s="36" customFormat="1">
      <c r="D226" s="47"/>
      <c r="E226" s="48"/>
      <c r="F226" s="49"/>
      <c r="G226" s="47"/>
      <c r="H226" s="50"/>
      <c r="I226" s="51"/>
      <c r="J226" s="51"/>
      <c r="K226" s="50"/>
    </row>
    <row r="227" spans="4:11" s="36" customFormat="1">
      <c r="D227" s="47"/>
      <c r="E227" s="48"/>
      <c r="F227" s="49"/>
      <c r="G227" s="47"/>
      <c r="H227" s="50"/>
      <c r="I227" s="51"/>
      <c r="J227" s="51"/>
      <c r="K227" s="50"/>
    </row>
    <row r="228" spans="4:11" s="36" customFormat="1">
      <c r="D228" s="47"/>
      <c r="E228" s="48"/>
      <c r="F228" s="49"/>
      <c r="G228" s="47"/>
      <c r="H228" s="50"/>
      <c r="I228" s="51"/>
      <c r="J228" s="51"/>
      <c r="K228" s="50"/>
    </row>
    <row r="229" spans="4:11" s="36" customFormat="1">
      <c r="D229" s="47"/>
      <c r="E229" s="48"/>
      <c r="F229" s="49"/>
      <c r="G229" s="47"/>
      <c r="H229" s="50"/>
      <c r="I229" s="51"/>
      <c r="J229" s="51"/>
      <c r="K229" s="50"/>
    </row>
    <row r="230" spans="4:11" s="36" customFormat="1">
      <c r="D230" s="47"/>
      <c r="E230" s="48"/>
      <c r="F230" s="49"/>
      <c r="G230" s="47"/>
      <c r="H230" s="50"/>
      <c r="I230" s="51"/>
      <c r="J230" s="51"/>
      <c r="K230" s="50"/>
    </row>
    <row r="231" spans="4:11" s="36" customFormat="1">
      <c r="D231" s="47"/>
      <c r="E231" s="48"/>
      <c r="F231" s="49"/>
      <c r="G231" s="47"/>
      <c r="H231" s="50"/>
      <c r="I231" s="51"/>
      <c r="J231" s="51"/>
      <c r="K231" s="50"/>
    </row>
    <row r="232" spans="4:11" s="36" customFormat="1">
      <c r="D232" s="47"/>
      <c r="E232" s="48"/>
      <c r="F232" s="49"/>
      <c r="G232" s="47"/>
      <c r="H232" s="50"/>
      <c r="I232" s="51"/>
      <c r="J232" s="51"/>
      <c r="K232" s="50"/>
    </row>
    <row r="233" spans="4:11" s="36" customFormat="1">
      <c r="D233" s="47"/>
      <c r="E233" s="48"/>
      <c r="F233" s="49"/>
      <c r="G233" s="47"/>
      <c r="H233" s="50"/>
      <c r="I233" s="51"/>
      <c r="J233" s="51"/>
      <c r="K233" s="50"/>
    </row>
    <row r="234" spans="4:11" s="36" customFormat="1">
      <c r="D234" s="47"/>
      <c r="E234" s="48"/>
      <c r="F234" s="49"/>
      <c r="G234" s="47"/>
      <c r="H234" s="50"/>
      <c r="I234" s="51"/>
      <c r="J234" s="51"/>
      <c r="K234" s="50"/>
    </row>
    <row r="235" spans="4:11" s="36" customFormat="1">
      <c r="D235" s="47"/>
      <c r="E235" s="48"/>
      <c r="F235" s="49"/>
      <c r="G235" s="47"/>
      <c r="H235" s="50"/>
      <c r="I235" s="51"/>
      <c r="J235" s="51"/>
      <c r="K235" s="50"/>
    </row>
    <row r="236" spans="4:11" s="36" customFormat="1">
      <c r="D236" s="47"/>
      <c r="E236" s="48"/>
      <c r="F236" s="49"/>
      <c r="G236" s="47"/>
      <c r="H236" s="50"/>
      <c r="I236" s="51"/>
      <c r="J236" s="51"/>
      <c r="K236" s="50"/>
    </row>
    <row r="237" spans="4:11" s="36" customFormat="1">
      <c r="D237" s="47"/>
      <c r="E237" s="48"/>
      <c r="F237" s="49"/>
      <c r="G237" s="47"/>
      <c r="H237" s="50"/>
      <c r="I237" s="51"/>
      <c r="J237" s="51"/>
      <c r="K237" s="50"/>
    </row>
    <row r="238" spans="4:11" s="36" customFormat="1">
      <c r="D238" s="47"/>
      <c r="E238" s="48"/>
      <c r="F238" s="49"/>
      <c r="G238" s="47"/>
      <c r="H238" s="50"/>
      <c r="I238" s="51"/>
      <c r="J238" s="51"/>
      <c r="K238" s="50"/>
    </row>
    <row r="239" spans="4:11" s="36" customFormat="1">
      <c r="D239" s="47"/>
      <c r="E239" s="48"/>
      <c r="F239" s="49"/>
      <c r="G239" s="47"/>
      <c r="H239" s="50"/>
      <c r="I239" s="51"/>
      <c r="J239" s="51"/>
      <c r="K239" s="50"/>
    </row>
    <row r="240" spans="4:11" s="36" customFormat="1">
      <c r="D240" s="47"/>
      <c r="E240" s="48"/>
      <c r="F240" s="49"/>
      <c r="G240" s="47"/>
      <c r="H240" s="50"/>
      <c r="I240" s="51"/>
      <c r="J240" s="51"/>
      <c r="K240" s="50"/>
    </row>
    <row r="241" spans="4:11" s="36" customFormat="1">
      <c r="D241" s="47"/>
      <c r="E241" s="48"/>
      <c r="F241" s="49"/>
      <c r="G241" s="47"/>
      <c r="H241" s="50"/>
      <c r="I241" s="51"/>
      <c r="J241" s="51"/>
      <c r="K241" s="50"/>
    </row>
    <row r="242" spans="4:11" s="36" customFormat="1">
      <c r="D242" s="47"/>
      <c r="E242" s="48"/>
      <c r="F242" s="49"/>
      <c r="G242" s="47"/>
      <c r="H242" s="50"/>
      <c r="I242" s="51"/>
      <c r="J242" s="51"/>
      <c r="K242" s="50"/>
    </row>
    <row r="243" spans="4:11" s="36" customFormat="1">
      <c r="D243" s="47"/>
      <c r="E243" s="48"/>
      <c r="F243" s="49"/>
      <c r="G243" s="47"/>
      <c r="H243" s="50"/>
      <c r="I243" s="51"/>
      <c r="J243" s="51"/>
      <c r="K243" s="50"/>
    </row>
    <row r="244" spans="4:11" s="36" customFormat="1">
      <c r="D244" s="47"/>
      <c r="E244" s="48"/>
      <c r="F244" s="49"/>
      <c r="G244" s="47"/>
      <c r="H244" s="50"/>
      <c r="I244" s="51"/>
      <c r="J244" s="51"/>
      <c r="K244" s="50"/>
    </row>
    <row r="245" spans="4:11" s="36" customFormat="1">
      <c r="D245" s="47"/>
      <c r="E245" s="48"/>
      <c r="F245" s="49"/>
      <c r="G245" s="47"/>
      <c r="H245" s="50"/>
      <c r="I245" s="51"/>
      <c r="J245" s="51"/>
      <c r="K245" s="50"/>
    </row>
    <row r="246" spans="4:11" s="36" customFormat="1">
      <c r="D246" s="47"/>
      <c r="E246" s="48"/>
      <c r="F246" s="49"/>
      <c r="G246" s="47"/>
      <c r="H246" s="50"/>
      <c r="I246" s="51"/>
      <c r="J246" s="51"/>
      <c r="K246" s="50"/>
    </row>
    <row r="247" spans="4:11" s="36" customFormat="1">
      <c r="D247" s="47"/>
      <c r="E247" s="48"/>
      <c r="F247" s="49"/>
      <c r="G247" s="47"/>
      <c r="H247" s="50"/>
      <c r="I247" s="51"/>
      <c r="J247" s="51"/>
      <c r="K247" s="50"/>
    </row>
    <row r="248" spans="4:11" s="36" customFormat="1">
      <c r="D248" s="47"/>
      <c r="E248" s="48"/>
      <c r="F248" s="49"/>
      <c r="G248" s="47"/>
      <c r="H248" s="50"/>
      <c r="I248" s="51"/>
      <c r="J248" s="51"/>
      <c r="K248" s="50"/>
    </row>
    <row r="249" spans="4:11" s="36" customFormat="1">
      <c r="D249" s="47"/>
      <c r="E249" s="48"/>
      <c r="F249" s="49"/>
      <c r="G249" s="47"/>
      <c r="H249" s="50"/>
      <c r="I249" s="51"/>
      <c r="J249" s="51"/>
      <c r="K249" s="50"/>
    </row>
    <row r="250" spans="4:11" s="36" customFormat="1">
      <c r="D250" s="47"/>
      <c r="E250" s="48"/>
      <c r="F250" s="49"/>
      <c r="G250" s="47"/>
      <c r="H250" s="50"/>
      <c r="I250" s="51"/>
      <c r="J250" s="51"/>
      <c r="K250" s="50"/>
    </row>
    <row r="251" spans="4:11" s="36" customFormat="1">
      <c r="D251" s="47"/>
      <c r="E251" s="48"/>
      <c r="F251" s="49"/>
      <c r="G251" s="47"/>
      <c r="H251" s="50"/>
      <c r="I251" s="51"/>
      <c r="J251" s="51"/>
      <c r="K251" s="50"/>
    </row>
    <row r="252" spans="4:11" s="36" customFormat="1">
      <c r="D252" s="47"/>
      <c r="E252" s="48"/>
      <c r="F252" s="49"/>
      <c r="G252" s="47"/>
      <c r="H252" s="50"/>
      <c r="I252" s="51"/>
      <c r="J252" s="51"/>
      <c r="K252" s="50"/>
    </row>
    <row r="253" spans="4:11" s="36" customFormat="1">
      <c r="D253" s="47"/>
      <c r="E253" s="48"/>
      <c r="F253" s="49"/>
      <c r="G253" s="47"/>
      <c r="H253" s="50"/>
      <c r="I253" s="51"/>
      <c r="J253" s="51"/>
      <c r="K253" s="50"/>
    </row>
    <row r="254" spans="4:11" s="36" customFormat="1">
      <c r="D254" s="47"/>
      <c r="E254" s="48"/>
      <c r="F254" s="49"/>
      <c r="G254" s="47"/>
      <c r="H254" s="50"/>
      <c r="I254" s="51"/>
      <c r="J254" s="51"/>
      <c r="K254" s="50"/>
    </row>
    <row r="255" spans="4:11" s="36" customFormat="1">
      <c r="D255" s="47"/>
      <c r="E255" s="48"/>
      <c r="F255" s="49"/>
      <c r="G255" s="47"/>
      <c r="H255" s="50"/>
      <c r="I255" s="51"/>
      <c r="J255" s="51"/>
      <c r="K255" s="50"/>
    </row>
    <row r="256" spans="4:11" s="36" customFormat="1">
      <c r="D256" s="47"/>
      <c r="E256" s="48"/>
      <c r="F256" s="49"/>
      <c r="G256" s="47"/>
      <c r="H256" s="50"/>
      <c r="I256" s="51"/>
      <c r="J256" s="51"/>
      <c r="K256" s="50"/>
    </row>
    <row r="257" spans="4:11" s="36" customFormat="1">
      <c r="D257" s="47"/>
      <c r="E257" s="48"/>
      <c r="F257" s="49"/>
      <c r="G257" s="47"/>
      <c r="H257" s="50"/>
      <c r="I257" s="51"/>
      <c r="J257" s="51"/>
      <c r="K257" s="50"/>
    </row>
    <row r="258" spans="4:11" s="36" customFormat="1">
      <c r="D258" s="47"/>
      <c r="E258" s="48"/>
      <c r="F258" s="49"/>
      <c r="G258" s="47"/>
      <c r="H258" s="50"/>
      <c r="I258" s="51"/>
      <c r="J258" s="51"/>
      <c r="K258" s="50"/>
    </row>
    <row r="259" spans="4:11" s="36" customFormat="1">
      <c r="D259" s="47"/>
      <c r="E259" s="48"/>
      <c r="F259" s="49"/>
      <c r="G259" s="47"/>
      <c r="H259" s="50"/>
      <c r="I259" s="51"/>
      <c r="J259" s="51"/>
      <c r="K259" s="50"/>
    </row>
    <row r="260" spans="4:11" s="36" customFormat="1">
      <c r="D260" s="47"/>
      <c r="E260" s="48"/>
      <c r="F260" s="49"/>
      <c r="G260" s="47"/>
      <c r="H260" s="50"/>
      <c r="I260" s="51"/>
      <c r="J260" s="51"/>
      <c r="K260" s="50"/>
    </row>
    <row r="261" spans="4:11" s="36" customFormat="1">
      <c r="D261" s="47"/>
      <c r="E261" s="48"/>
      <c r="F261" s="49"/>
      <c r="G261" s="47"/>
      <c r="H261" s="50"/>
      <c r="I261" s="51"/>
      <c r="J261" s="51"/>
      <c r="K261" s="50"/>
    </row>
    <row r="262" spans="4:11" s="36" customFormat="1">
      <c r="D262" s="47"/>
      <c r="E262" s="48"/>
      <c r="F262" s="49"/>
      <c r="G262" s="47"/>
      <c r="H262" s="50"/>
      <c r="I262" s="51"/>
      <c r="J262" s="51"/>
      <c r="K262" s="50"/>
    </row>
    <row r="263" spans="4:11" s="36" customFormat="1">
      <c r="D263" s="47"/>
      <c r="E263" s="48"/>
      <c r="F263" s="49"/>
      <c r="G263" s="47"/>
      <c r="H263" s="50"/>
      <c r="I263" s="51"/>
      <c r="J263" s="51"/>
      <c r="K263" s="50"/>
    </row>
    <row r="264" spans="4:11" s="36" customFormat="1">
      <c r="D264" s="47"/>
      <c r="E264" s="48"/>
      <c r="F264" s="49"/>
      <c r="G264" s="47"/>
      <c r="H264" s="50"/>
      <c r="I264" s="51"/>
      <c r="J264" s="51"/>
      <c r="K264" s="50"/>
    </row>
    <row r="265" spans="4:11" s="36" customFormat="1">
      <c r="D265" s="47"/>
      <c r="E265" s="48"/>
      <c r="F265" s="49"/>
      <c r="G265" s="47"/>
      <c r="H265" s="50"/>
      <c r="I265" s="51"/>
      <c r="J265" s="51"/>
      <c r="K265" s="50"/>
    </row>
    <row r="266" spans="4:11" s="36" customFormat="1">
      <c r="D266" s="47"/>
      <c r="E266" s="48"/>
      <c r="F266" s="49"/>
      <c r="G266" s="47"/>
      <c r="H266" s="50"/>
      <c r="I266" s="51"/>
      <c r="J266" s="51"/>
      <c r="K266" s="50"/>
    </row>
    <row r="267" spans="4:11" s="36" customFormat="1">
      <c r="D267" s="47"/>
      <c r="E267" s="48"/>
      <c r="F267" s="49"/>
      <c r="G267" s="47"/>
      <c r="H267" s="50"/>
      <c r="I267" s="51"/>
      <c r="J267" s="51"/>
      <c r="K267" s="50"/>
    </row>
    <row r="268" spans="4:11" s="36" customFormat="1">
      <c r="D268" s="47"/>
      <c r="E268" s="48"/>
      <c r="F268" s="49"/>
      <c r="G268" s="47"/>
      <c r="H268" s="50"/>
      <c r="I268" s="51"/>
      <c r="J268" s="51"/>
      <c r="K268" s="50"/>
    </row>
    <row r="269" spans="4:11" s="36" customFormat="1">
      <c r="D269" s="47"/>
      <c r="E269" s="48"/>
      <c r="F269" s="49"/>
      <c r="G269" s="47"/>
      <c r="H269" s="50"/>
      <c r="I269" s="51"/>
      <c r="J269" s="51"/>
      <c r="K269" s="50"/>
    </row>
    <row r="270" spans="4:11" s="36" customFormat="1">
      <c r="D270" s="47"/>
      <c r="E270" s="48"/>
      <c r="F270" s="49"/>
      <c r="G270" s="47"/>
      <c r="H270" s="50"/>
      <c r="I270" s="51"/>
      <c r="J270" s="51"/>
      <c r="K270" s="50"/>
    </row>
    <row r="271" spans="4:11" s="36" customFormat="1">
      <c r="D271" s="47"/>
      <c r="E271" s="48"/>
      <c r="F271" s="49"/>
      <c r="G271" s="47"/>
      <c r="H271" s="50"/>
      <c r="I271" s="51"/>
      <c r="J271" s="51"/>
      <c r="K271" s="50"/>
    </row>
    <row r="272" spans="4:11" s="36" customFormat="1">
      <c r="D272" s="47"/>
      <c r="E272" s="48"/>
      <c r="F272" s="49"/>
      <c r="G272" s="47"/>
      <c r="H272" s="50"/>
      <c r="I272" s="51"/>
      <c r="J272" s="51"/>
      <c r="K272" s="50"/>
    </row>
    <row r="273" spans="4:11" s="36" customFormat="1">
      <c r="D273" s="47"/>
      <c r="E273" s="48"/>
      <c r="F273" s="49"/>
      <c r="G273" s="47"/>
      <c r="H273" s="50"/>
      <c r="I273" s="51"/>
      <c r="J273" s="51"/>
      <c r="K273" s="50"/>
    </row>
    <row r="274" spans="4:11" s="36" customFormat="1">
      <c r="D274" s="47"/>
      <c r="E274" s="48"/>
      <c r="F274" s="49"/>
      <c r="G274" s="47"/>
      <c r="H274" s="50"/>
      <c r="I274" s="51"/>
      <c r="J274" s="51"/>
      <c r="K274" s="50"/>
    </row>
    <row r="275" spans="4:11" s="36" customFormat="1">
      <c r="D275" s="47"/>
      <c r="E275" s="48"/>
      <c r="F275" s="49"/>
      <c r="G275" s="47"/>
      <c r="H275" s="50"/>
      <c r="I275" s="51"/>
      <c r="J275" s="51"/>
      <c r="K275" s="50"/>
    </row>
    <row r="276" spans="4:11" s="36" customFormat="1">
      <c r="D276" s="47"/>
      <c r="E276" s="48"/>
      <c r="F276" s="49"/>
      <c r="G276" s="47"/>
      <c r="H276" s="50"/>
      <c r="I276" s="51"/>
      <c r="J276" s="51"/>
      <c r="K276" s="50"/>
    </row>
    <row r="277" spans="4:11" s="36" customFormat="1">
      <c r="D277" s="47"/>
      <c r="E277" s="48"/>
      <c r="F277" s="49"/>
      <c r="G277" s="47"/>
      <c r="H277" s="50"/>
      <c r="I277" s="51"/>
      <c r="J277" s="51"/>
      <c r="K277" s="50"/>
    </row>
    <row r="278" spans="4:11" s="36" customFormat="1">
      <c r="D278" s="47"/>
      <c r="E278" s="48"/>
      <c r="F278" s="49"/>
      <c r="G278" s="47"/>
      <c r="H278" s="50"/>
      <c r="I278" s="51"/>
      <c r="J278" s="51"/>
      <c r="K278" s="50"/>
    </row>
    <row r="279" spans="4:11" s="36" customFormat="1">
      <c r="D279" s="47"/>
      <c r="E279" s="48"/>
      <c r="F279" s="49"/>
      <c r="G279" s="47"/>
      <c r="H279" s="50"/>
      <c r="I279" s="51"/>
      <c r="J279" s="51"/>
      <c r="K279" s="50"/>
    </row>
    <row r="280" spans="4:11" s="36" customFormat="1">
      <c r="D280" s="47"/>
      <c r="E280" s="48"/>
      <c r="F280" s="49"/>
      <c r="G280" s="47"/>
      <c r="H280" s="50"/>
      <c r="I280" s="51"/>
      <c r="J280" s="51"/>
      <c r="K280" s="50"/>
    </row>
    <row r="281" spans="4:11" s="36" customFormat="1">
      <c r="D281" s="47"/>
      <c r="E281" s="48"/>
      <c r="F281" s="49"/>
      <c r="G281" s="47"/>
      <c r="H281" s="50"/>
      <c r="I281" s="51"/>
      <c r="J281" s="51"/>
      <c r="K281" s="50"/>
    </row>
    <row r="282" spans="4:11" s="36" customFormat="1">
      <c r="D282" s="47"/>
      <c r="E282" s="48"/>
      <c r="F282" s="49"/>
      <c r="G282" s="47"/>
      <c r="H282" s="50"/>
      <c r="I282" s="51"/>
      <c r="J282" s="51"/>
      <c r="K282" s="50"/>
    </row>
    <row r="283" spans="4:11" s="36" customFormat="1">
      <c r="D283" s="47"/>
      <c r="E283" s="48"/>
      <c r="F283" s="49"/>
      <c r="G283" s="47"/>
      <c r="H283" s="50"/>
      <c r="I283" s="51"/>
      <c r="J283" s="51"/>
      <c r="K283" s="50"/>
    </row>
    <row r="284" spans="4:11" s="36" customFormat="1">
      <c r="D284" s="47"/>
      <c r="E284" s="48"/>
      <c r="F284" s="49"/>
      <c r="G284" s="47"/>
      <c r="H284" s="50"/>
      <c r="I284" s="51"/>
      <c r="J284" s="51"/>
      <c r="K284" s="50"/>
    </row>
    <row r="285" spans="4:11" s="36" customFormat="1">
      <c r="D285" s="47"/>
      <c r="E285" s="48"/>
      <c r="F285" s="49"/>
      <c r="G285" s="47"/>
      <c r="H285" s="50"/>
      <c r="I285" s="51"/>
      <c r="J285" s="51"/>
      <c r="K285" s="50"/>
    </row>
    <row r="286" spans="4:11" s="36" customFormat="1">
      <c r="D286" s="47"/>
      <c r="E286" s="48"/>
      <c r="F286" s="49"/>
      <c r="G286" s="47"/>
      <c r="H286" s="50"/>
      <c r="I286" s="51"/>
      <c r="J286" s="51"/>
      <c r="K286" s="50"/>
    </row>
    <row r="287" spans="4:11" s="36" customFormat="1">
      <c r="D287" s="47"/>
      <c r="E287" s="48"/>
      <c r="F287" s="49"/>
      <c r="G287" s="47"/>
      <c r="H287" s="50"/>
      <c r="I287" s="51"/>
      <c r="J287" s="51"/>
      <c r="K287" s="50"/>
    </row>
    <row r="288" spans="4:11" s="36" customFormat="1">
      <c r="D288" s="47"/>
      <c r="E288" s="48"/>
      <c r="F288" s="49"/>
      <c r="G288" s="47"/>
      <c r="H288" s="50"/>
      <c r="I288" s="51"/>
      <c r="J288" s="51"/>
      <c r="K288" s="50"/>
    </row>
    <row r="289" spans="4:11" s="36" customFormat="1">
      <c r="D289" s="47"/>
      <c r="E289" s="48"/>
      <c r="F289" s="49"/>
      <c r="G289" s="47"/>
      <c r="H289" s="50"/>
      <c r="I289" s="51"/>
      <c r="J289" s="51"/>
      <c r="K289" s="50"/>
    </row>
    <row r="290" spans="4:11" s="36" customFormat="1">
      <c r="D290" s="47"/>
      <c r="E290" s="48"/>
      <c r="F290" s="49"/>
      <c r="G290" s="47"/>
      <c r="H290" s="50"/>
      <c r="I290" s="51"/>
      <c r="J290" s="51"/>
      <c r="K290" s="50"/>
    </row>
    <row r="291" spans="4:11" s="36" customFormat="1">
      <c r="D291" s="47"/>
      <c r="E291" s="48"/>
      <c r="F291" s="49"/>
      <c r="G291" s="47"/>
      <c r="H291" s="50"/>
      <c r="I291" s="51"/>
      <c r="J291" s="51"/>
      <c r="K291" s="50"/>
    </row>
    <row r="292" spans="4:11" s="36" customFormat="1">
      <c r="D292" s="47"/>
      <c r="E292" s="48"/>
      <c r="F292" s="49"/>
      <c r="G292" s="47"/>
      <c r="H292" s="50"/>
      <c r="I292" s="51"/>
      <c r="J292" s="51"/>
      <c r="K292" s="50"/>
    </row>
    <row r="293" spans="4:11" s="36" customFormat="1">
      <c r="D293" s="47"/>
      <c r="E293" s="48"/>
      <c r="F293" s="49"/>
      <c r="G293" s="47"/>
      <c r="H293" s="50"/>
      <c r="I293" s="51"/>
      <c r="J293" s="51"/>
      <c r="K293" s="50"/>
    </row>
    <row r="294" spans="4:11" s="36" customFormat="1">
      <c r="D294" s="47"/>
      <c r="E294" s="48"/>
      <c r="F294" s="49"/>
      <c r="G294" s="47"/>
      <c r="H294" s="50"/>
      <c r="I294" s="51"/>
      <c r="J294" s="51"/>
      <c r="K294" s="50"/>
    </row>
    <row r="295" spans="4:11" s="36" customFormat="1">
      <c r="D295" s="47"/>
      <c r="E295" s="48"/>
      <c r="F295" s="49"/>
      <c r="G295" s="47"/>
      <c r="H295" s="50"/>
      <c r="I295" s="51"/>
      <c r="J295" s="51"/>
      <c r="K295" s="50"/>
    </row>
    <row r="296" spans="4:11" s="36" customFormat="1">
      <c r="D296" s="47"/>
      <c r="E296" s="48"/>
      <c r="F296" s="49"/>
      <c r="G296" s="47"/>
      <c r="H296" s="50"/>
      <c r="I296" s="51"/>
      <c r="J296" s="51"/>
      <c r="K296" s="50"/>
    </row>
    <row r="297" spans="4:11" s="36" customFormat="1">
      <c r="D297" s="47"/>
      <c r="E297" s="48"/>
      <c r="F297" s="49"/>
      <c r="G297" s="47"/>
      <c r="H297" s="50"/>
      <c r="I297" s="51"/>
      <c r="J297" s="51"/>
      <c r="K297" s="50"/>
    </row>
    <row r="298" spans="4:11" s="36" customFormat="1">
      <c r="D298" s="47"/>
      <c r="E298" s="48"/>
      <c r="F298" s="49"/>
      <c r="G298" s="47"/>
      <c r="H298" s="50"/>
      <c r="I298" s="51"/>
      <c r="J298" s="51"/>
      <c r="K298" s="50"/>
    </row>
    <row r="299" spans="4:11" s="36" customFormat="1">
      <c r="D299" s="47"/>
      <c r="E299" s="48"/>
      <c r="F299" s="49"/>
      <c r="G299" s="47"/>
      <c r="H299" s="50"/>
      <c r="I299" s="51"/>
      <c r="J299" s="51"/>
      <c r="K299" s="50"/>
    </row>
    <row r="300" spans="4:11" s="36" customFormat="1">
      <c r="D300" s="47"/>
      <c r="E300" s="48"/>
      <c r="F300" s="49"/>
      <c r="G300" s="47"/>
      <c r="H300" s="50"/>
      <c r="I300" s="51"/>
      <c r="J300" s="51"/>
      <c r="K300" s="50"/>
    </row>
    <row r="301" spans="4:11" s="36" customFormat="1">
      <c r="D301" s="47"/>
      <c r="E301" s="48"/>
      <c r="F301" s="49"/>
      <c r="G301" s="47"/>
      <c r="H301" s="50"/>
      <c r="I301" s="51"/>
      <c r="J301" s="51"/>
      <c r="K301" s="50"/>
    </row>
    <row r="302" spans="4:11" s="36" customFormat="1">
      <c r="D302" s="47"/>
      <c r="E302" s="48"/>
      <c r="F302" s="49"/>
      <c r="G302" s="47"/>
      <c r="H302" s="50"/>
      <c r="I302" s="51"/>
      <c r="J302" s="51"/>
      <c r="K302" s="50"/>
    </row>
    <row r="303" spans="4:11" s="36" customFormat="1">
      <c r="D303" s="47"/>
      <c r="E303" s="48"/>
      <c r="F303" s="49"/>
      <c r="G303" s="47"/>
      <c r="H303" s="50"/>
      <c r="I303" s="51"/>
      <c r="J303" s="51"/>
      <c r="K303" s="50"/>
    </row>
    <row r="304" spans="4:11" s="36" customFormat="1">
      <c r="D304" s="47"/>
      <c r="E304" s="48"/>
      <c r="F304" s="49"/>
      <c r="G304" s="47"/>
      <c r="H304" s="50"/>
      <c r="I304" s="51"/>
      <c r="J304" s="51"/>
      <c r="K304" s="50"/>
    </row>
    <row r="305" spans="4:11" s="36" customFormat="1">
      <c r="D305" s="47"/>
      <c r="E305" s="48"/>
      <c r="F305" s="49"/>
      <c r="G305" s="47"/>
      <c r="H305" s="50"/>
      <c r="I305" s="51"/>
      <c r="J305" s="51"/>
      <c r="K305" s="50"/>
    </row>
    <row r="306" spans="4:11" s="36" customFormat="1">
      <c r="D306" s="47"/>
      <c r="E306" s="48"/>
      <c r="F306" s="49"/>
      <c r="G306" s="47"/>
      <c r="H306" s="50"/>
      <c r="I306" s="51"/>
      <c r="J306" s="51"/>
      <c r="K306" s="50"/>
    </row>
    <row r="307" spans="4:11" s="36" customFormat="1">
      <c r="D307" s="47"/>
      <c r="E307" s="48"/>
      <c r="F307" s="49"/>
      <c r="G307" s="47"/>
      <c r="H307" s="50"/>
      <c r="I307" s="51"/>
      <c r="J307" s="51"/>
      <c r="K307" s="50"/>
    </row>
    <row r="308" spans="4:11" s="36" customFormat="1">
      <c r="D308" s="47"/>
      <c r="E308" s="48"/>
      <c r="F308" s="49"/>
      <c r="G308" s="47"/>
      <c r="H308" s="50"/>
      <c r="I308" s="51"/>
      <c r="J308" s="51"/>
      <c r="K308" s="50"/>
    </row>
    <row r="309" spans="4:11" s="36" customFormat="1">
      <c r="D309" s="47"/>
      <c r="E309" s="48"/>
      <c r="F309" s="49"/>
      <c r="G309" s="47"/>
      <c r="H309" s="50"/>
      <c r="I309" s="51"/>
      <c r="J309" s="51"/>
      <c r="K309" s="50"/>
    </row>
    <row r="310" spans="4:11" s="36" customFormat="1">
      <c r="D310" s="47"/>
      <c r="E310" s="48"/>
      <c r="F310" s="49"/>
      <c r="G310" s="47"/>
      <c r="H310" s="50"/>
      <c r="I310" s="51"/>
      <c r="J310" s="51"/>
      <c r="K310" s="50"/>
    </row>
    <row r="311" spans="4:11" s="36" customFormat="1">
      <c r="D311" s="47"/>
      <c r="E311" s="48"/>
      <c r="F311" s="49"/>
      <c r="G311" s="47"/>
      <c r="H311" s="50"/>
      <c r="I311" s="51"/>
      <c r="J311" s="51"/>
      <c r="K311" s="50"/>
    </row>
    <row r="312" spans="4:11" s="36" customFormat="1">
      <c r="D312" s="47"/>
      <c r="E312" s="48"/>
      <c r="F312" s="49"/>
      <c r="G312" s="47"/>
      <c r="H312" s="50"/>
      <c r="I312" s="51"/>
      <c r="J312" s="51"/>
      <c r="K312" s="50"/>
    </row>
    <row r="313" spans="4:11" s="36" customFormat="1">
      <c r="D313" s="47"/>
      <c r="E313" s="48"/>
      <c r="F313" s="49"/>
      <c r="G313" s="47"/>
      <c r="H313" s="50"/>
      <c r="I313" s="51"/>
      <c r="J313" s="51"/>
      <c r="K313" s="50"/>
    </row>
    <row r="314" spans="4:11" s="36" customFormat="1">
      <c r="D314" s="47"/>
      <c r="E314" s="48"/>
      <c r="F314" s="49"/>
      <c r="G314" s="47"/>
      <c r="H314" s="50"/>
      <c r="I314" s="51"/>
      <c r="J314" s="51"/>
      <c r="K314" s="50"/>
    </row>
    <row r="315" spans="4:11" s="36" customFormat="1">
      <c r="D315" s="47"/>
      <c r="E315" s="48"/>
      <c r="F315" s="49"/>
      <c r="G315" s="47"/>
      <c r="H315" s="50"/>
      <c r="I315" s="51"/>
      <c r="J315" s="51"/>
      <c r="K315" s="50"/>
    </row>
    <row r="316" spans="4:11" s="36" customFormat="1">
      <c r="D316" s="47"/>
      <c r="E316" s="48"/>
      <c r="F316" s="49"/>
      <c r="G316" s="47"/>
      <c r="H316" s="50"/>
      <c r="I316" s="51"/>
      <c r="J316" s="51"/>
      <c r="K316" s="50"/>
    </row>
    <row r="317" spans="4:11" s="36" customFormat="1">
      <c r="D317" s="47"/>
      <c r="E317" s="48"/>
      <c r="F317" s="49"/>
      <c r="G317" s="47"/>
      <c r="H317" s="50"/>
      <c r="I317" s="51"/>
      <c r="J317" s="51"/>
      <c r="K317" s="50"/>
    </row>
    <row r="318" spans="4:11" s="36" customFormat="1">
      <c r="D318" s="47"/>
      <c r="E318" s="48"/>
      <c r="F318" s="49"/>
      <c r="G318" s="47"/>
      <c r="H318" s="50"/>
      <c r="I318" s="51"/>
      <c r="J318" s="51"/>
      <c r="K318" s="50"/>
    </row>
    <row r="319" spans="4:11" s="36" customFormat="1">
      <c r="D319" s="47"/>
      <c r="E319" s="48"/>
      <c r="F319" s="49"/>
      <c r="G319" s="47"/>
      <c r="H319" s="50"/>
      <c r="I319" s="51"/>
      <c r="J319" s="51"/>
      <c r="K319" s="50"/>
    </row>
    <row r="320" spans="4:11" s="36" customFormat="1">
      <c r="D320" s="47"/>
      <c r="E320" s="48"/>
      <c r="F320" s="49"/>
      <c r="G320" s="47"/>
      <c r="H320" s="50"/>
      <c r="I320" s="51"/>
      <c r="J320" s="51"/>
      <c r="K320" s="50"/>
    </row>
    <row r="321" spans="4:11" s="36" customFormat="1">
      <c r="D321" s="47"/>
      <c r="E321" s="48"/>
      <c r="F321" s="49"/>
      <c r="G321" s="47"/>
      <c r="H321" s="50"/>
      <c r="I321" s="51"/>
      <c r="J321" s="51"/>
      <c r="K321" s="50"/>
    </row>
    <row r="322" spans="4:11" s="36" customFormat="1">
      <c r="D322" s="47"/>
      <c r="E322" s="48"/>
      <c r="F322" s="49"/>
      <c r="G322" s="47"/>
      <c r="H322" s="50"/>
      <c r="I322" s="51"/>
      <c r="J322" s="51"/>
      <c r="K322" s="50"/>
    </row>
    <row r="323" spans="4:11" s="36" customFormat="1">
      <c r="D323" s="47"/>
      <c r="E323" s="48"/>
      <c r="F323" s="49"/>
      <c r="G323" s="47"/>
      <c r="H323" s="50"/>
      <c r="I323" s="51"/>
      <c r="J323" s="51"/>
      <c r="K323" s="50"/>
    </row>
    <row r="324" spans="4:11" s="36" customFormat="1">
      <c r="D324" s="47"/>
      <c r="E324" s="48"/>
      <c r="F324" s="49"/>
      <c r="G324" s="47"/>
      <c r="H324" s="50"/>
      <c r="I324" s="51"/>
      <c r="J324" s="51"/>
      <c r="K324" s="50"/>
    </row>
    <row r="325" spans="4:11" s="36" customFormat="1">
      <c r="D325" s="47"/>
      <c r="E325" s="48"/>
      <c r="F325" s="49"/>
      <c r="G325" s="47"/>
      <c r="H325" s="50"/>
      <c r="I325" s="51"/>
      <c r="J325" s="51"/>
      <c r="K325" s="50"/>
    </row>
    <row r="326" spans="4:11" s="36" customFormat="1">
      <c r="D326" s="47"/>
      <c r="E326" s="48"/>
      <c r="F326" s="49"/>
      <c r="G326" s="47"/>
      <c r="H326" s="50"/>
      <c r="I326" s="51"/>
      <c r="J326" s="51"/>
      <c r="K326" s="50"/>
    </row>
    <row r="327" spans="4:11" s="36" customFormat="1">
      <c r="D327" s="47"/>
      <c r="E327" s="48"/>
      <c r="F327" s="49"/>
      <c r="G327" s="47"/>
      <c r="H327" s="50"/>
      <c r="I327" s="51"/>
      <c r="J327" s="51"/>
      <c r="K327" s="50"/>
    </row>
    <row r="328" spans="4:11" s="36" customFormat="1">
      <c r="D328" s="47"/>
      <c r="E328" s="48"/>
      <c r="F328" s="49"/>
      <c r="G328" s="47"/>
      <c r="H328" s="50"/>
      <c r="I328" s="51"/>
      <c r="J328" s="51"/>
      <c r="K328" s="50"/>
    </row>
    <row r="329" spans="4:11" s="36" customFormat="1">
      <c r="D329" s="47"/>
      <c r="E329" s="48"/>
      <c r="F329" s="49"/>
      <c r="G329" s="47"/>
      <c r="H329" s="50"/>
      <c r="I329" s="51"/>
      <c r="J329" s="51"/>
      <c r="K329" s="50"/>
    </row>
    <row r="330" spans="4:11" s="36" customFormat="1">
      <c r="D330" s="47"/>
      <c r="E330" s="48"/>
      <c r="F330" s="49"/>
      <c r="G330" s="47"/>
      <c r="H330" s="50"/>
      <c r="I330" s="51"/>
      <c r="J330" s="51"/>
      <c r="K330" s="50"/>
    </row>
    <row r="331" spans="4:11" s="36" customFormat="1">
      <c r="D331" s="47"/>
      <c r="E331" s="48"/>
      <c r="F331" s="49"/>
      <c r="G331" s="47"/>
      <c r="H331" s="50"/>
      <c r="I331" s="51"/>
      <c r="J331" s="51"/>
      <c r="K331" s="50"/>
    </row>
    <row r="332" spans="4:11" s="36" customFormat="1">
      <c r="D332" s="47"/>
      <c r="E332" s="48"/>
      <c r="F332" s="49"/>
      <c r="G332" s="47"/>
      <c r="H332" s="50"/>
      <c r="I332" s="51"/>
      <c r="J332" s="51"/>
      <c r="K332" s="50"/>
    </row>
    <row r="333" spans="4:11" s="36" customFormat="1">
      <c r="D333" s="47"/>
      <c r="E333" s="48"/>
      <c r="F333" s="49"/>
      <c r="G333" s="47"/>
      <c r="H333" s="50"/>
      <c r="I333" s="51"/>
      <c r="J333" s="51"/>
      <c r="K333" s="50"/>
    </row>
    <row r="334" spans="4:11" s="36" customFormat="1">
      <c r="D334" s="47"/>
      <c r="E334" s="48"/>
      <c r="F334" s="49"/>
      <c r="G334" s="47"/>
      <c r="H334" s="50"/>
      <c r="I334" s="51"/>
      <c r="J334" s="51"/>
      <c r="K334" s="50"/>
    </row>
    <row r="335" spans="4:11" s="36" customFormat="1">
      <c r="D335" s="47"/>
      <c r="E335" s="48"/>
      <c r="F335" s="49"/>
      <c r="G335" s="47"/>
      <c r="H335" s="50"/>
      <c r="I335" s="51"/>
      <c r="J335" s="51"/>
      <c r="K335" s="50"/>
    </row>
    <row r="336" spans="4:11" s="36" customFormat="1">
      <c r="D336" s="47"/>
      <c r="E336" s="48"/>
      <c r="F336" s="49"/>
      <c r="G336" s="47"/>
      <c r="H336" s="50"/>
      <c r="I336" s="51"/>
      <c r="J336" s="51"/>
      <c r="K336" s="50"/>
    </row>
    <row r="337" spans="4:11" s="36" customFormat="1">
      <c r="D337" s="47"/>
      <c r="E337" s="48"/>
      <c r="F337" s="49"/>
      <c r="G337" s="47"/>
      <c r="H337" s="50"/>
      <c r="I337" s="51"/>
      <c r="J337" s="51"/>
      <c r="K337" s="50"/>
    </row>
    <row r="338" spans="4:11" s="36" customFormat="1">
      <c r="D338" s="47"/>
      <c r="E338" s="48"/>
      <c r="F338" s="49"/>
      <c r="G338" s="47"/>
      <c r="H338" s="50"/>
      <c r="I338" s="51"/>
      <c r="J338" s="51"/>
      <c r="K338" s="50"/>
    </row>
    <row r="339" spans="4:11" s="36" customFormat="1">
      <c r="D339" s="47"/>
      <c r="E339" s="48"/>
      <c r="F339" s="49"/>
      <c r="G339" s="47"/>
      <c r="H339" s="50"/>
      <c r="I339" s="51"/>
      <c r="J339" s="51"/>
      <c r="K339" s="50"/>
    </row>
    <row r="340" spans="4:11" s="36" customFormat="1">
      <c r="D340" s="47"/>
      <c r="E340" s="48"/>
      <c r="F340" s="49"/>
      <c r="G340" s="47"/>
      <c r="H340" s="50"/>
      <c r="I340" s="51"/>
      <c r="J340" s="51"/>
      <c r="K340" s="50"/>
    </row>
    <row r="341" spans="4:11" s="36" customFormat="1">
      <c r="D341" s="47"/>
      <c r="E341" s="48"/>
      <c r="F341" s="49"/>
      <c r="G341" s="47"/>
      <c r="H341" s="50"/>
      <c r="I341" s="51"/>
      <c r="J341" s="51"/>
      <c r="K341" s="50"/>
    </row>
    <row r="342" spans="4:11" s="36" customFormat="1">
      <c r="D342" s="47"/>
      <c r="E342" s="48"/>
      <c r="F342" s="49"/>
      <c r="G342" s="47"/>
      <c r="H342" s="50"/>
      <c r="I342" s="51"/>
      <c r="J342" s="51"/>
      <c r="K342" s="50"/>
    </row>
    <row r="343" spans="4:11" s="36" customFormat="1">
      <c r="D343" s="47"/>
      <c r="E343" s="48"/>
      <c r="F343" s="49"/>
      <c r="G343" s="47"/>
      <c r="H343" s="50"/>
      <c r="I343" s="51"/>
      <c r="J343" s="51"/>
      <c r="K343" s="50"/>
    </row>
    <row r="344" spans="4:11" s="36" customFormat="1">
      <c r="D344" s="47"/>
      <c r="E344" s="48"/>
      <c r="F344" s="49"/>
      <c r="G344" s="47"/>
      <c r="H344" s="50"/>
      <c r="I344" s="51"/>
      <c r="J344" s="51"/>
      <c r="K344" s="50"/>
    </row>
    <row r="345" spans="4:11" s="36" customFormat="1">
      <c r="D345" s="47"/>
      <c r="E345" s="48"/>
      <c r="F345" s="49"/>
      <c r="G345" s="47"/>
      <c r="H345" s="50"/>
      <c r="I345" s="51"/>
      <c r="J345" s="51"/>
      <c r="K345" s="50"/>
    </row>
    <row r="346" spans="4:11" s="36" customFormat="1">
      <c r="D346" s="47"/>
      <c r="E346" s="48"/>
      <c r="F346" s="49"/>
      <c r="G346" s="47"/>
      <c r="H346" s="50"/>
      <c r="I346" s="51"/>
      <c r="J346" s="51"/>
      <c r="K346" s="50"/>
    </row>
    <row r="347" spans="4:11" s="36" customFormat="1">
      <c r="D347" s="47"/>
      <c r="E347" s="48"/>
      <c r="F347" s="49"/>
      <c r="G347" s="47"/>
      <c r="H347" s="50"/>
      <c r="I347" s="51"/>
      <c r="J347" s="51"/>
      <c r="K347" s="50"/>
    </row>
    <row r="348" spans="4:11" s="36" customFormat="1">
      <c r="D348" s="47"/>
      <c r="E348" s="48"/>
      <c r="F348" s="49"/>
      <c r="G348" s="47"/>
      <c r="H348" s="50"/>
      <c r="I348" s="51"/>
      <c r="J348" s="51"/>
      <c r="K348" s="50"/>
    </row>
    <row r="349" spans="4:11" s="36" customFormat="1">
      <c r="D349" s="47"/>
      <c r="E349" s="48"/>
      <c r="F349" s="49"/>
      <c r="G349" s="47"/>
      <c r="H349" s="50"/>
      <c r="I349" s="51"/>
      <c r="J349" s="51"/>
      <c r="K349" s="50"/>
    </row>
    <row r="350" spans="4:11" s="36" customFormat="1">
      <c r="D350" s="47"/>
      <c r="E350" s="48"/>
      <c r="F350" s="49"/>
      <c r="G350" s="47"/>
      <c r="H350" s="50"/>
      <c r="I350" s="51"/>
      <c r="J350" s="51"/>
      <c r="K350" s="50"/>
    </row>
    <row r="351" spans="4:11" s="36" customFormat="1">
      <c r="D351" s="47"/>
      <c r="E351" s="48"/>
      <c r="F351" s="49"/>
      <c r="G351" s="47"/>
      <c r="H351" s="50"/>
      <c r="I351" s="51"/>
      <c r="J351" s="51"/>
      <c r="K351" s="50"/>
    </row>
    <row r="352" spans="4:11" s="36" customFormat="1">
      <c r="D352" s="47"/>
      <c r="E352" s="48"/>
      <c r="F352" s="49"/>
      <c r="G352" s="47"/>
      <c r="H352" s="50"/>
      <c r="I352" s="51"/>
      <c r="J352" s="51"/>
      <c r="K352" s="50"/>
    </row>
    <row r="353" spans="4:11" s="36" customFormat="1">
      <c r="D353" s="47"/>
      <c r="E353" s="48"/>
      <c r="F353" s="49"/>
      <c r="G353" s="47"/>
      <c r="H353" s="50"/>
      <c r="I353" s="51"/>
      <c r="J353" s="51"/>
      <c r="K353" s="50"/>
    </row>
    <row r="354" spans="4:11" s="36" customFormat="1">
      <c r="D354" s="47"/>
      <c r="E354" s="48"/>
      <c r="F354" s="49"/>
      <c r="G354" s="47"/>
      <c r="H354" s="50"/>
      <c r="I354" s="51"/>
      <c r="J354" s="51"/>
      <c r="K354" s="50"/>
    </row>
    <row r="355" spans="4:11" s="36" customFormat="1">
      <c r="D355" s="47"/>
      <c r="E355" s="48"/>
      <c r="F355" s="49"/>
      <c r="G355" s="47"/>
      <c r="H355" s="50"/>
      <c r="I355" s="51"/>
      <c r="J355" s="51"/>
      <c r="K355" s="50"/>
    </row>
    <row r="356" spans="4:11" s="36" customFormat="1">
      <c r="D356" s="47"/>
      <c r="E356" s="48"/>
      <c r="F356" s="49"/>
      <c r="G356" s="47"/>
      <c r="H356" s="50"/>
      <c r="I356" s="51"/>
      <c r="J356" s="51"/>
      <c r="K356" s="50"/>
    </row>
    <row r="357" spans="4:11" s="36" customFormat="1">
      <c r="D357" s="47"/>
      <c r="E357" s="48"/>
      <c r="F357" s="49"/>
      <c r="G357" s="47"/>
      <c r="H357" s="50"/>
      <c r="I357" s="51"/>
      <c r="J357" s="51"/>
      <c r="K357" s="50"/>
    </row>
    <row r="358" spans="4:11" s="36" customFormat="1">
      <c r="D358" s="47"/>
      <c r="E358" s="48"/>
      <c r="F358" s="49"/>
      <c r="G358" s="47"/>
      <c r="H358" s="50"/>
      <c r="I358" s="51"/>
      <c r="J358" s="51"/>
      <c r="K358" s="50"/>
    </row>
    <row r="359" spans="4:11" s="36" customFormat="1">
      <c r="D359" s="47"/>
      <c r="E359" s="48"/>
      <c r="F359" s="49"/>
      <c r="G359" s="47"/>
      <c r="H359" s="50"/>
      <c r="I359" s="51"/>
      <c r="J359" s="51"/>
      <c r="K359" s="50"/>
    </row>
    <row r="360" spans="4:11" s="36" customFormat="1">
      <c r="D360" s="47"/>
      <c r="E360" s="48"/>
      <c r="F360" s="49"/>
      <c r="G360" s="47"/>
      <c r="H360" s="50"/>
      <c r="I360" s="51"/>
      <c r="J360" s="51"/>
      <c r="K360" s="50"/>
    </row>
    <row r="361" spans="4:11" s="36" customFormat="1">
      <c r="D361" s="47"/>
      <c r="E361" s="48"/>
      <c r="F361" s="49"/>
      <c r="G361" s="47"/>
      <c r="H361" s="50"/>
      <c r="I361" s="51"/>
      <c r="J361" s="51"/>
      <c r="K361" s="50"/>
    </row>
    <row r="362" spans="4:11" s="36" customFormat="1">
      <c r="D362" s="47"/>
      <c r="E362" s="48"/>
      <c r="F362" s="49"/>
      <c r="G362" s="47"/>
      <c r="H362" s="50"/>
      <c r="I362" s="51"/>
      <c r="J362" s="51"/>
      <c r="K362" s="50"/>
    </row>
    <row r="363" spans="4:11" s="36" customFormat="1">
      <c r="D363" s="47"/>
      <c r="E363" s="48"/>
      <c r="F363" s="49"/>
      <c r="G363" s="47"/>
      <c r="H363" s="50"/>
      <c r="I363" s="51"/>
      <c r="J363" s="51"/>
      <c r="K363" s="50"/>
    </row>
    <row r="364" spans="4:11" s="36" customFormat="1">
      <c r="D364" s="47"/>
      <c r="E364" s="48"/>
      <c r="F364" s="49"/>
      <c r="G364" s="47"/>
      <c r="H364" s="50"/>
      <c r="I364" s="51"/>
      <c r="J364" s="51"/>
      <c r="K364" s="50"/>
    </row>
    <row r="365" spans="4:11" s="36" customFormat="1">
      <c r="D365" s="47"/>
      <c r="E365" s="48"/>
      <c r="F365" s="49"/>
      <c r="G365" s="47"/>
      <c r="H365" s="50"/>
      <c r="I365" s="51"/>
      <c r="J365" s="51"/>
      <c r="K365" s="50"/>
    </row>
    <row r="366" spans="4:11" s="36" customFormat="1">
      <c r="D366" s="47"/>
      <c r="E366" s="48"/>
      <c r="F366" s="49"/>
      <c r="G366" s="47"/>
      <c r="H366" s="50"/>
      <c r="I366" s="51"/>
      <c r="J366" s="51"/>
      <c r="K366" s="50"/>
    </row>
    <row r="367" spans="4:11" s="36" customFormat="1">
      <c r="D367" s="47"/>
      <c r="E367" s="48"/>
      <c r="F367" s="49"/>
      <c r="G367" s="47"/>
      <c r="H367" s="50"/>
      <c r="I367" s="51"/>
      <c r="J367" s="51"/>
      <c r="K367" s="50"/>
    </row>
    <row r="368" spans="4:11" s="36" customFormat="1">
      <c r="D368" s="47"/>
      <c r="E368" s="48"/>
      <c r="F368" s="49"/>
      <c r="G368" s="47"/>
      <c r="H368" s="50"/>
      <c r="I368" s="51"/>
      <c r="J368" s="51"/>
      <c r="K368" s="50"/>
    </row>
    <row r="369" spans="4:11" s="36" customFormat="1">
      <c r="D369" s="47"/>
      <c r="E369" s="48"/>
      <c r="F369" s="49"/>
      <c r="G369" s="47"/>
      <c r="H369" s="50"/>
      <c r="I369" s="51"/>
      <c r="J369" s="51"/>
      <c r="K369" s="50"/>
    </row>
    <row r="370" spans="4:11" s="36" customFormat="1">
      <c r="D370" s="47"/>
      <c r="E370" s="48"/>
      <c r="F370" s="49"/>
      <c r="G370" s="47"/>
      <c r="H370" s="50"/>
      <c r="I370" s="51"/>
      <c r="J370" s="51"/>
      <c r="K370" s="50"/>
    </row>
    <row r="371" spans="4:11" s="36" customFormat="1">
      <c r="D371" s="47"/>
      <c r="E371" s="48"/>
      <c r="F371" s="49"/>
      <c r="G371" s="47"/>
      <c r="H371" s="50"/>
      <c r="I371" s="51"/>
      <c r="J371" s="51"/>
      <c r="K371" s="50"/>
    </row>
    <row r="372" spans="4:11" s="36" customFormat="1">
      <c r="D372" s="47"/>
      <c r="E372" s="48"/>
      <c r="F372" s="49"/>
      <c r="G372" s="47"/>
      <c r="H372" s="50"/>
      <c r="I372" s="51"/>
      <c r="J372" s="51"/>
      <c r="K372" s="50"/>
    </row>
    <row r="373" spans="4:11" s="36" customFormat="1">
      <c r="D373" s="47"/>
      <c r="E373" s="48"/>
      <c r="F373" s="49"/>
      <c r="G373" s="47"/>
      <c r="H373" s="50"/>
      <c r="I373" s="51"/>
      <c r="J373" s="51"/>
      <c r="K373" s="50"/>
    </row>
    <row r="374" spans="4:11" s="36" customFormat="1">
      <c r="D374" s="47"/>
      <c r="E374" s="48"/>
      <c r="F374" s="49"/>
      <c r="G374" s="47"/>
      <c r="H374" s="50"/>
      <c r="I374" s="51"/>
      <c r="J374" s="51"/>
      <c r="K374" s="50"/>
    </row>
    <row r="375" spans="4:11" s="36" customFormat="1">
      <c r="D375" s="47"/>
      <c r="E375" s="48"/>
      <c r="F375" s="49"/>
      <c r="G375" s="47"/>
      <c r="H375" s="50"/>
      <c r="I375" s="51"/>
      <c r="J375" s="51"/>
      <c r="K375" s="50"/>
    </row>
    <row r="376" spans="4:11" s="36" customFormat="1">
      <c r="D376" s="47"/>
      <c r="E376" s="48"/>
      <c r="F376" s="49"/>
      <c r="G376" s="47"/>
      <c r="H376" s="50"/>
      <c r="I376" s="51"/>
      <c r="J376" s="51"/>
      <c r="K376" s="50"/>
    </row>
    <row r="377" spans="4:11" s="36" customFormat="1">
      <c r="D377" s="47"/>
      <c r="E377" s="48"/>
      <c r="F377" s="49"/>
      <c r="G377" s="47"/>
      <c r="H377" s="50"/>
      <c r="I377" s="51"/>
      <c r="J377" s="51"/>
      <c r="K377" s="50"/>
    </row>
    <row r="378" spans="4:11" s="36" customFormat="1">
      <c r="D378" s="47"/>
      <c r="E378" s="48"/>
      <c r="F378" s="49"/>
      <c r="G378" s="47"/>
      <c r="H378" s="50"/>
      <c r="I378" s="51"/>
      <c r="J378" s="51"/>
      <c r="K378" s="50"/>
    </row>
    <row r="379" spans="4:11" s="36" customFormat="1">
      <c r="D379" s="47"/>
      <c r="E379" s="48"/>
      <c r="F379" s="49"/>
      <c r="G379" s="47"/>
      <c r="H379" s="50"/>
      <c r="I379" s="51"/>
      <c r="J379" s="51"/>
      <c r="K379" s="50"/>
    </row>
    <row r="380" spans="4:11" s="36" customFormat="1">
      <c r="D380" s="47"/>
      <c r="E380" s="48"/>
      <c r="F380" s="49"/>
      <c r="G380" s="47"/>
      <c r="H380" s="50"/>
      <c r="I380" s="51"/>
      <c r="J380" s="51"/>
      <c r="K380" s="50"/>
    </row>
    <row r="381" spans="4:11" s="36" customFormat="1">
      <c r="D381" s="47"/>
      <c r="E381" s="48"/>
      <c r="F381" s="49"/>
      <c r="G381" s="47"/>
      <c r="H381" s="50"/>
      <c r="I381" s="51"/>
      <c r="J381" s="51"/>
      <c r="K381" s="50"/>
    </row>
    <row r="382" spans="4:11" s="36" customFormat="1">
      <c r="D382" s="47"/>
      <c r="E382" s="48"/>
      <c r="F382" s="49"/>
      <c r="G382" s="47"/>
      <c r="H382" s="50"/>
      <c r="I382" s="51"/>
      <c r="J382" s="51"/>
      <c r="K382" s="50"/>
    </row>
    <row r="383" spans="4:11" s="36" customFormat="1">
      <c r="D383" s="47"/>
      <c r="E383" s="48"/>
      <c r="F383" s="49"/>
      <c r="G383" s="47"/>
      <c r="H383" s="50"/>
      <c r="I383" s="51"/>
      <c r="J383" s="51"/>
      <c r="K383" s="50"/>
    </row>
    <row r="384" spans="4:11" s="36" customFormat="1">
      <c r="D384" s="47"/>
      <c r="E384" s="48"/>
      <c r="F384" s="49"/>
      <c r="G384" s="47"/>
      <c r="H384" s="50"/>
      <c r="I384" s="51"/>
      <c r="J384" s="51"/>
      <c r="K384" s="50"/>
    </row>
    <row r="385" spans="4:11" s="36" customFormat="1">
      <c r="D385" s="47"/>
      <c r="E385" s="48"/>
      <c r="F385" s="49"/>
      <c r="G385" s="47"/>
      <c r="H385" s="50"/>
      <c r="I385" s="51"/>
      <c r="J385" s="51"/>
      <c r="K385" s="50"/>
    </row>
    <row r="386" spans="4:11" s="36" customFormat="1">
      <c r="D386" s="47"/>
      <c r="E386" s="48"/>
      <c r="F386" s="49"/>
      <c r="G386" s="47"/>
      <c r="H386" s="50"/>
      <c r="I386" s="51"/>
      <c r="J386" s="51"/>
      <c r="K386" s="50"/>
    </row>
    <row r="387" spans="4:11" s="36" customFormat="1">
      <c r="D387" s="47"/>
      <c r="E387" s="48"/>
      <c r="F387" s="49"/>
      <c r="G387" s="47"/>
      <c r="H387" s="50"/>
      <c r="I387" s="51"/>
      <c r="J387" s="51"/>
      <c r="K387" s="50"/>
    </row>
    <row r="388" spans="4:11" s="36" customFormat="1">
      <c r="D388" s="47"/>
      <c r="E388" s="48"/>
      <c r="F388" s="49"/>
      <c r="G388" s="47"/>
      <c r="H388" s="50"/>
      <c r="I388" s="51"/>
      <c r="J388" s="51"/>
      <c r="K388" s="50"/>
    </row>
    <row r="389" spans="4:11" s="36" customFormat="1">
      <c r="D389" s="47"/>
      <c r="E389" s="48"/>
      <c r="F389" s="49"/>
      <c r="G389" s="47"/>
      <c r="H389" s="50"/>
      <c r="I389" s="51"/>
      <c r="J389" s="51"/>
      <c r="K389" s="50"/>
    </row>
    <row r="390" spans="4:11" s="36" customFormat="1">
      <c r="D390" s="47"/>
      <c r="E390" s="48"/>
      <c r="F390" s="49"/>
      <c r="G390" s="47"/>
      <c r="H390" s="50"/>
      <c r="I390" s="51"/>
      <c r="J390" s="51"/>
      <c r="K390" s="50"/>
    </row>
    <row r="391" spans="4:11" s="36" customFormat="1">
      <c r="D391" s="47"/>
      <c r="E391" s="48"/>
      <c r="F391" s="49"/>
      <c r="G391" s="47"/>
      <c r="H391" s="50"/>
      <c r="I391" s="51"/>
      <c r="J391" s="51"/>
      <c r="K391" s="50"/>
    </row>
    <row r="392" spans="4:11" s="36" customFormat="1">
      <c r="D392" s="47"/>
      <c r="E392" s="48"/>
      <c r="F392" s="49"/>
      <c r="G392" s="47"/>
      <c r="H392" s="50"/>
      <c r="I392" s="51"/>
      <c r="J392" s="51"/>
      <c r="K392" s="50"/>
    </row>
    <row r="393" spans="4:11" s="36" customFormat="1">
      <c r="D393" s="47"/>
      <c r="E393" s="48"/>
      <c r="F393" s="49"/>
      <c r="G393" s="47"/>
      <c r="H393" s="50"/>
      <c r="I393" s="51"/>
      <c r="J393" s="51"/>
      <c r="K393" s="50"/>
    </row>
    <row r="394" spans="4:11" s="36" customFormat="1">
      <c r="D394" s="47"/>
      <c r="E394" s="48"/>
      <c r="F394" s="49"/>
      <c r="G394" s="47"/>
      <c r="H394" s="50"/>
      <c r="I394" s="51"/>
      <c r="J394" s="51"/>
      <c r="K394" s="50"/>
    </row>
    <row r="395" spans="4:11" s="36" customFormat="1">
      <c r="D395" s="47"/>
      <c r="E395" s="48"/>
      <c r="F395" s="49"/>
      <c r="G395" s="47"/>
      <c r="H395" s="50"/>
      <c r="I395" s="51"/>
      <c r="J395" s="51"/>
      <c r="K395" s="50"/>
    </row>
    <row r="396" spans="4:11" s="36" customFormat="1">
      <c r="D396" s="47"/>
      <c r="E396" s="48"/>
      <c r="F396" s="49"/>
      <c r="G396" s="47"/>
      <c r="H396" s="50"/>
      <c r="I396" s="51"/>
      <c r="J396" s="51"/>
      <c r="K396" s="50"/>
    </row>
    <row r="397" spans="4:11" s="36" customFormat="1">
      <c r="D397" s="47"/>
      <c r="E397" s="48"/>
      <c r="F397" s="49"/>
      <c r="G397" s="47"/>
      <c r="H397" s="50"/>
      <c r="I397" s="51"/>
      <c r="J397" s="51"/>
      <c r="K397" s="50"/>
    </row>
    <row r="398" spans="4:11" s="36" customFormat="1">
      <c r="D398" s="47"/>
      <c r="E398" s="48"/>
      <c r="F398" s="49"/>
      <c r="G398" s="47"/>
      <c r="H398" s="50"/>
      <c r="I398" s="51"/>
      <c r="J398" s="51"/>
      <c r="K398" s="50"/>
    </row>
    <row r="399" spans="4:11" s="36" customFormat="1">
      <c r="D399" s="47"/>
      <c r="E399" s="48"/>
      <c r="F399" s="49"/>
      <c r="G399" s="47"/>
      <c r="H399" s="50"/>
      <c r="I399" s="51"/>
      <c r="J399" s="51"/>
      <c r="K399" s="50"/>
    </row>
    <row r="400" spans="4:11" s="36" customFormat="1">
      <c r="D400" s="47"/>
      <c r="E400" s="48"/>
      <c r="F400" s="49"/>
      <c r="G400" s="47"/>
      <c r="H400" s="50"/>
      <c r="I400" s="51"/>
      <c r="J400" s="51"/>
      <c r="K400" s="50"/>
    </row>
    <row r="401" spans="4:11" s="36" customFormat="1">
      <c r="D401" s="47"/>
      <c r="E401" s="48"/>
      <c r="F401" s="49"/>
      <c r="G401" s="47"/>
      <c r="H401" s="50"/>
      <c r="I401" s="51"/>
      <c r="J401" s="51"/>
      <c r="K401" s="50"/>
    </row>
    <row r="402" spans="4:11" s="36" customFormat="1">
      <c r="D402" s="47"/>
      <c r="E402" s="48"/>
      <c r="F402" s="49"/>
      <c r="G402" s="47"/>
      <c r="H402" s="50"/>
      <c r="I402" s="51"/>
      <c r="J402" s="51"/>
      <c r="K402" s="50"/>
    </row>
    <row r="403" spans="4:11" s="36" customFormat="1">
      <c r="D403" s="47"/>
      <c r="E403" s="48"/>
      <c r="F403" s="49"/>
      <c r="G403" s="47"/>
      <c r="H403" s="50"/>
      <c r="I403" s="51"/>
      <c r="J403" s="51"/>
      <c r="K403" s="50"/>
    </row>
    <row r="404" spans="4:11" s="36" customFormat="1">
      <c r="D404" s="47"/>
      <c r="E404" s="48"/>
      <c r="F404" s="49"/>
      <c r="G404" s="47"/>
      <c r="H404" s="50"/>
      <c r="I404" s="51"/>
      <c r="J404" s="51"/>
      <c r="K404" s="50"/>
    </row>
    <row r="405" spans="4:11" s="36" customFormat="1">
      <c r="D405" s="47"/>
      <c r="E405" s="48"/>
      <c r="F405" s="49"/>
      <c r="G405" s="47"/>
      <c r="H405" s="50"/>
      <c r="I405" s="51"/>
      <c r="J405" s="51"/>
      <c r="K405" s="50"/>
    </row>
    <row r="406" spans="4:11" s="36" customFormat="1">
      <c r="D406" s="47"/>
      <c r="E406" s="48"/>
      <c r="F406" s="49"/>
      <c r="G406" s="47"/>
      <c r="H406" s="50"/>
      <c r="I406" s="51"/>
      <c r="J406" s="51"/>
      <c r="K406" s="50"/>
    </row>
    <row r="407" spans="4:11" s="36" customFormat="1">
      <c r="D407" s="47"/>
      <c r="E407" s="48"/>
      <c r="F407" s="49"/>
      <c r="G407" s="47"/>
      <c r="H407" s="50"/>
      <c r="I407" s="51"/>
      <c r="J407" s="51"/>
      <c r="K407" s="50"/>
    </row>
    <row r="408" spans="4:11" s="36" customFormat="1">
      <c r="D408" s="47"/>
      <c r="E408" s="48"/>
      <c r="F408" s="49"/>
      <c r="G408" s="47"/>
      <c r="H408" s="50"/>
      <c r="I408" s="51"/>
      <c r="J408" s="51"/>
      <c r="K408" s="50"/>
    </row>
    <row r="409" spans="4:11" s="36" customFormat="1">
      <c r="D409" s="47"/>
      <c r="E409" s="48"/>
      <c r="F409" s="49"/>
      <c r="G409" s="47"/>
      <c r="H409" s="50"/>
      <c r="I409" s="51"/>
      <c r="J409" s="51"/>
      <c r="K409" s="50"/>
    </row>
    <row r="410" spans="4:11" s="36" customFormat="1">
      <c r="D410" s="47"/>
      <c r="E410" s="48"/>
      <c r="F410" s="49"/>
      <c r="G410" s="47"/>
      <c r="H410" s="50"/>
      <c r="I410" s="51"/>
      <c r="J410" s="51"/>
      <c r="K410" s="50"/>
    </row>
    <row r="411" spans="4:11" s="36" customFormat="1">
      <c r="D411" s="47"/>
      <c r="E411" s="48"/>
      <c r="F411" s="49"/>
      <c r="G411" s="47"/>
      <c r="H411" s="50"/>
      <c r="I411" s="51"/>
      <c r="J411" s="51"/>
      <c r="K411" s="50"/>
    </row>
    <row r="412" spans="4:11" s="36" customFormat="1">
      <c r="D412" s="47"/>
      <c r="E412" s="48"/>
      <c r="F412" s="49"/>
      <c r="G412" s="47"/>
      <c r="H412" s="50"/>
      <c r="I412" s="51"/>
      <c r="J412" s="51"/>
      <c r="K412" s="50"/>
    </row>
    <row r="413" spans="4:11" s="36" customFormat="1">
      <c r="D413" s="47"/>
      <c r="E413" s="48"/>
      <c r="F413" s="49"/>
      <c r="G413" s="47"/>
      <c r="H413" s="50"/>
      <c r="I413" s="51"/>
      <c r="J413" s="51"/>
      <c r="K413" s="50"/>
    </row>
    <row r="414" spans="4:11" s="36" customFormat="1">
      <c r="D414" s="47"/>
      <c r="E414" s="48"/>
      <c r="F414" s="49"/>
      <c r="G414" s="47"/>
      <c r="H414" s="50"/>
      <c r="I414" s="51"/>
      <c r="J414" s="51"/>
      <c r="K414" s="50"/>
    </row>
    <row r="415" spans="4:11" s="36" customFormat="1">
      <c r="D415" s="47"/>
      <c r="E415" s="48"/>
      <c r="F415" s="49"/>
      <c r="G415" s="47"/>
      <c r="H415" s="50"/>
      <c r="I415" s="51"/>
      <c r="J415" s="51"/>
      <c r="K415" s="50"/>
    </row>
    <row r="416" spans="4:11" s="36" customFormat="1">
      <c r="D416" s="47"/>
      <c r="E416" s="48"/>
      <c r="F416" s="49"/>
      <c r="G416" s="47"/>
      <c r="H416" s="50"/>
      <c r="I416" s="51"/>
      <c r="J416" s="51"/>
      <c r="K416" s="50"/>
    </row>
    <row r="417" spans="4:11" s="36" customFormat="1">
      <c r="D417" s="47"/>
      <c r="E417" s="48"/>
      <c r="F417" s="49"/>
      <c r="G417" s="47"/>
      <c r="H417" s="50"/>
      <c r="I417" s="51"/>
      <c r="J417" s="51"/>
      <c r="K417" s="50"/>
    </row>
    <row r="418" spans="4:11" s="36" customFormat="1">
      <c r="D418" s="47"/>
      <c r="E418" s="48"/>
      <c r="F418" s="49"/>
      <c r="G418" s="47"/>
      <c r="H418" s="50"/>
      <c r="I418" s="51"/>
      <c r="J418" s="51"/>
      <c r="K418" s="50"/>
    </row>
    <row r="419" spans="4:11" s="36" customFormat="1">
      <c r="D419" s="47"/>
      <c r="E419" s="48"/>
      <c r="F419" s="49"/>
      <c r="G419" s="47"/>
      <c r="H419" s="50"/>
      <c r="I419" s="51"/>
      <c r="J419" s="51"/>
      <c r="K419" s="50"/>
    </row>
    <row r="420" spans="4:11" s="36" customFormat="1">
      <c r="D420" s="47"/>
      <c r="E420" s="48"/>
      <c r="F420" s="49"/>
      <c r="G420" s="47"/>
      <c r="H420" s="50"/>
      <c r="I420" s="51"/>
      <c r="J420" s="51"/>
      <c r="K420" s="50"/>
    </row>
    <row r="421" spans="4:11" s="36" customFormat="1">
      <c r="D421" s="47"/>
      <c r="E421" s="48"/>
      <c r="F421" s="49"/>
      <c r="G421" s="47"/>
      <c r="H421" s="50"/>
      <c r="I421" s="51"/>
      <c r="J421" s="51"/>
      <c r="K421" s="50"/>
    </row>
    <row r="422" spans="4:11" s="36" customFormat="1">
      <c r="D422" s="47"/>
      <c r="E422" s="48"/>
      <c r="F422" s="49"/>
      <c r="G422" s="47"/>
      <c r="H422" s="50"/>
      <c r="I422" s="51"/>
      <c r="J422" s="51"/>
      <c r="K422" s="50"/>
    </row>
    <row r="423" spans="4:11" s="36" customFormat="1">
      <c r="D423" s="47"/>
      <c r="E423" s="48"/>
      <c r="F423" s="49"/>
      <c r="G423" s="47"/>
      <c r="H423" s="50"/>
      <c r="I423" s="51"/>
      <c r="J423" s="51"/>
      <c r="K423" s="50"/>
    </row>
    <row r="424" spans="4:11" s="36" customFormat="1">
      <c r="D424" s="47"/>
      <c r="E424" s="48"/>
      <c r="F424" s="49"/>
      <c r="G424" s="47"/>
      <c r="H424" s="50"/>
      <c r="I424" s="51"/>
      <c r="J424" s="51"/>
      <c r="K424" s="50"/>
    </row>
    <row r="425" spans="4:11" s="36" customFormat="1">
      <c r="D425" s="47"/>
      <c r="E425" s="48"/>
      <c r="F425" s="49"/>
      <c r="G425" s="47"/>
      <c r="H425" s="50"/>
      <c r="I425" s="51"/>
      <c r="J425" s="51"/>
      <c r="K425" s="50"/>
    </row>
    <row r="426" spans="4:11" s="36" customFormat="1">
      <c r="D426" s="47"/>
      <c r="E426" s="48"/>
      <c r="F426" s="49"/>
      <c r="G426" s="47"/>
      <c r="H426" s="50"/>
      <c r="I426" s="51"/>
      <c r="J426" s="51"/>
      <c r="K426" s="50"/>
    </row>
    <row r="427" spans="4:11" s="36" customFormat="1">
      <c r="D427" s="47"/>
      <c r="E427" s="48"/>
      <c r="F427" s="49"/>
      <c r="G427" s="47"/>
      <c r="H427" s="50"/>
      <c r="I427" s="51"/>
      <c r="J427" s="51"/>
      <c r="K427" s="50"/>
    </row>
    <row r="428" spans="4:11" s="36" customFormat="1">
      <c r="D428" s="47"/>
      <c r="E428" s="48"/>
      <c r="F428" s="49"/>
      <c r="G428" s="47"/>
      <c r="H428" s="50"/>
      <c r="I428" s="51"/>
      <c r="J428" s="51"/>
      <c r="K428" s="50"/>
    </row>
    <row r="429" spans="4:11" s="36" customFormat="1">
      <c r="D429" s="47"/>
      <c r="E429" s="48"/>
      <c r="F429" s="49"/>
      <c r="G429" s="47"/>
      <c r="H429" s="50"/>
      <c r="I429" s="51"/>
      <c r="J429" s="51"/>
      <c r="K429" s="50"/>
    </row>
    <row r="430" spans="4:11" s="36" customFormat="1">
      <c r="D430" s="47"/>
      <c r="E430" s="48"/>
      <c r="F430" s="49"/>
      <c r="G430" s="47"/>
      <c r="H430" s="50"/>
      <c r="I430" s="51"/>
      <c r="J430" s="51"/>
      <c r="K430" s="50"/>
    </row>
    <row r="431" spans="4:11" s="36" customFormat="1">
      <c r="D431" s="47"/>
      <c r="E431" s="48"/>
      <c r="F431" s="49"/>
      <c r="G431" s="47"/>
      <c r="H431" s="50"/>
      <c r="I431" s="51"/>
      <c r="J431" s="51"/>
      <c r="K431" s="50"/>
    </row>
    <row r="432" spans="4:11" s="36" customFormat="1">
      <c r="D432" s="47"/>
      <c r="E432" s="48"/>
      <c r="F432" s="49"/>
      <c r="G432" s="47"/>
      <c r="H432" s="50"/>
      <c r="I432" s="51"/>
      <c r="J432" s="51"/>
      <c r="K432" s="50"/>
    </row>
    <row r="433" spans="4:11" s="36" customFormat="1">
      <c r="D433" s="47"/>
      <c r="E433" s="48"/>
      <c r="F433" s="49"/>
      <c r="G433" s="47"/>
      <c r="H433" s="50"/>
      <c r="I433" s="51"/>
      <c r="J433" s="51"/>
      <c r="K433" s="50"/>
    </row>
    <row r="434" spans="4:11" s="36" customFormat="1">
      <c r="D434" s="47"/>
      <c r="E434" s="48"/>
      <c r="F434" s="49"/>
      <c r="G434" s="47"/>
      <c r="H434" s="50"/>
      <c r="I434" s="51"/>
      <c r="J434" s="51"/>
      <c r="K434" s="50"/>
    </row>
    <row r="435" spans="4:11" s="36" customFormat="1">
      <c r="D435" s="47"/>
      <c r="E435" s="48"/>
      <c r="F435" s="49"/>
      <c r="G435" s="47"/>
      <c r="H435" s="50"/>
      <c r="I435" s="51"/>
      <c r="J435" s="51"/>
      <c r="K435" s="50"/>
    </row>
    <row r="436" spans="4:11" s="36" customFormat="1">
      <c r="D436" s="47"/>
      <c r="E436" s="48"/>
      <c r="F436" s="49"/>
      <c r="G436" s="47"/>
      <c r="H436" s="50"/>
      <c r="I436" s="51"/>
      <c r="J436" s="51"/>
      <c r="K436" s="50"/>
    </row>
    <row r="437" spans="4:11" s="36" customFormat="1">
      <c r="D437" s="47"/>
      <c r="E437" s="48"/>
      <c r="F437" s="49"/>
      <c r="G437" s="47"/>
      <c r="H437" s="50"/>
      <c r="I437" s="51"/>
      <c r="J437" s="51"/>
      <c r="K437" s="50"/>
    </row>
    <row r="438" spans="4:11" s="36" customFormat="1">
      <c r="D438" s="47"/>
      <c r="E438" s="48"/>
      <c r="F438" s="49"/>
      <c r="G438" s="47"/>
      <c r="H438" s="50"/>
      <c r="I438" s="51"/>
      <c r="J438" s="51"/>
      <c r="K438" s="50"/>
    </row>
    <row r="439" spans="4:11" s="36" customFormat="1">
      <c r="D439" s="47"/>
      <c r="E439" s="48"/>
      <c r="F439" s="49"/>
      <c r="G439" s="47"/>
      <c r="H439" s="50"/>
      <c r="I439" s="51"/>
      <c r="J439" s="51"/>
      <c r="K439" s="50"/>
    </row>
    <row r="440" spans="4:11" s="36" customFormat="1">
      <c r="D440" s="47"/>
      <c r="E440" s="48"/>
      <c r="F440" s="49"/>
      <c r="G440" s="47"/>
      <c r="H440" s="50"/>
      <c r="I440" s="51"/>
      <c r="J440" s="51"/>
      <c r="K440" s="50"/>
    </row>
    <row r="441" spans="4:11" s="36" customFormat="1">
      <c r="D441" s="47"/>
      <c r="E441" s="48"/>
      <c r="F441" s="49"/>
      <c r="G441" s="47"/>
      <c r="H441" s="50"/>
      <c r="I441" s="51"/>
      <c r="J441" s="51"/>
      <c r="K441" s="50"/>
    </row>
    <row r="442" spans="4:11" s="36" customFormat="1">
      <c r="D442" s="47"/>
      <c r="E442" s="48"/>
      <c r="F442" s="49"/>
      <c r="G442" s="47"/>
      <c r="H442" s="50"/>
      <c r="I442" s="51"/>
      <c r="J442" s="51"/>
      <c r="K442" s="50"/>
    </row>
    <row r="443" spans="4:11" s="36" customFormat="1">
      <c r="D443" s="47"/>
      <c r="E443" s="48"/>
      <c r="F443" s="49"/>
      <c r="G443" s="47"/>
      <c r="H443" s="50"/>
      <c r="I443" s="51"/>
      <c r="J443" s="51"/>
      <c r="K443" s="50"/>
    </row>
    <row r="444" spans="4:11" s="36" customFormat="1">
      <c r="D444" s="47"/>
      <c r="E444" s="48"/>
      <c r="F444" s="49"/>
      <c r="G444" s="47"/>
      <c r="H444" s="50"/>
      <c r="I444" s="51"/>
      <c r="J444" s="51"/>
      <c r="K444" s="50"/>
    </row>
    <row r="445" spans="4:11" s="36" customFormat="1">
      <c r="D445" s="47"/>
      <c r="E445" s="48"/>
      <c r="F445" s="49"/>
      <c r="G445" s="47"/>
      <c r="H445" s="50"/>
      <c r="I445" s="51"/>
      <c r="J445" s="51"/>
      <c r="K445" s="50"/>
    </row>
    <row r="446" spans="4:11" s="36" customFormat="1">
      <c r="D446" s="47"/>
      <c r="E446" s="48"/>
      <c r="F446" s="49"/>
      <c r="G446" s="47"/>
      <c r="H446" s="50"/>
      <c r="I446" s="51"/>
      <c r="J446" s="51"/>
      <c r="K446" s="50"/>
    </row>
    <row r="447" spans="4:11" s="36" customFormat="1">
      <c r="D447" s="47"/>
      <c r="E447" s="48"/>
      <c r="F447" s="49"/>
      <c r="G447" s="47"/>
      <c r="H447" s="50"/>
      <c r="I447" s="51"/>
      <c r="J447" s="51"/>
      <c r="K447" s="50"/>
    </row>
    <row r="448" spans="4:11" s="36" customFormat="1">
      <c r="D448" s="47"/>
      <c r="E448" s="48"/>
      <c r="F448" s="49"/>
      <c r="G448" s="47"/>
      <c r="H448" s="50"/>
      <c r="I448" s="51"/>
      <c r="J448" s="51"/>
      <c r="K448" s="50"/>
    </row>
    <row r="449" spans="4:11" s="36" customFormat="1">
      <c r="D449" s="47"/>
      <c r="E449" s="48"/>
      <c r="F449" s="49"/>
      <c r="G449" s="47"/>
      <c r="H449" s="50"/>
      <c r="I449" s="51"/>
      <c r="J449" s="51"/>
      <c r="K449" s="50"/>
    </row>
    <row r="450" spans="4:11" s="36" customFormat="1">
      <c r="D450" s="47"/>
      <c r="E450" s="48"/>
      <c r="F450" s="49"/>
      <c r="G450" s="47"/>
      <c r="H450" s="50"/>
      <c r="I450" s="51"/>
      <c r="J450" s="51"/>
      <c r="K450" s="50"/>
    </row>
    <row r="451" spans="4:11" s="36" customFormat="1">
      <c r="D451" s="47"/>
      <c r="E451" s="48"/>
      <c r="F451" s="49"/>
      <c r="G451" s="47"/>
      <c r="H451" s="50"/>
      <c r="I451" s="51"/>
      <c r="J451" s="51"/>
      <c r="K451" s="50"/>
    </row>
    <row r="452" spans="4:11" s="36" customFormat="1">
      <c r="D452" s="47"/>
      <c r="E452" s="48"/>
      <c r="F452" s="49"/>
      <c r="G452" s="47"/>
      <c r="H452" s="50"/>
      <c r="I452" s="51"/>
      <c r="J452" s="51"/>
      <c r="K452" s="50"/>
    </row>
    <row r="453" spans="4:11" s="36" customFormat="1">
      <c r="D453" s="47"/>
      <c r="E453" s="48"/>
      <c r="F453" s="49"/>
      <c r="G453" s="47"/>
      <c r="H453" s="50"/>
      <c r="I453" s="51"/>
      <c r="J453" s="51"/>
      <c r="K453" s="50"/>
    </row>
    <row r="454" spans="4:11" s="36" customFormat="1">
      <c r="D454" s="47"/>
      <c r="E454" s="48"/>
      <c r="F454" s="49"/>
      <c r="G454" s="47"/>
      <c r="H454" s="50"/>
      <c r="I454" s="51"/>
      <c r="J454" s="51"/>
      <c r="K454" s="50"/>
    </row>
    <row r="455" spans="4:11" s="36" customFormat="1">
      <c r="D455" s="47"/>
      <c r="E455" s="48"/>
      <c r="F455" s="49"/>
      <c r="G455" s="47"/>
      <c r="H455" s="50"/>
      <c r="I455" s="51"/>
      <c r="J455" s="51"/>
      <c r="K455" s="50"/>
    </row>
    <row r="456" spans="4:11" s="36" customFormat="1">
      <c r="D456" s="47"/>
      <c r="E456" s="48"/>
      <c r="F456" s="49"/>
      <c r="G456" s="47"/>
      <c r="H456" s="50"/>
      <c r="I456" s="51"/>
      <c r="J456" s="51"/>
      <c r="K456" s="50"/>
    </row>
    <row r="457" spans="4:11" s="36" customFormat="1">
      <c r="D457" s="47"/>
      <c r="E457" s="48"/>
      <c r="F457" s="49"/>
      <c r="G457" s="47"/>
      <c r="H457" s="50"/>
      <c r="I457" s="51"/>
      <c r="J457" s="51"/>
      <c r="K457" s="50"/>
    </row>
    <row r="458" spans="4:11" s="36" customFormat="1">
      <c r="D458" s="47"/>
      <c r="E458" s="48"/>
      <c r="F458" s="49"/>
      <c r="G458" s="47"/>
      <c r="H458" s="50"/>
      <c r="I458" s="51"/>
      <c r="J458" s="51"/>
      <c r="K458" s="50"/>
    </row>
    <row r="459" spans="4:11" s="36" customFormat="1">
      <c r="D459" s="47"/>
      <c r="E459" s="48"/>
      <c r="F459" s="49"/>
      <c r="G459" s="47"/>
      <c r="H459" s="50"/>
      <c r="I459" s="51"/>
      <c r="J459" s="51"/>
      <c r="K459" s="50"/>
    </row>
    <row r="460" spans="4:11" s="36" customFormat="1">
      <c r="D460" s="47"/>
      <c r="E460" s="48"/>
      <c r="F460" s="49"/>
      <c r="G460" s="47"/>
      <c r="H460" s="50"/>
      <c r="I460" s="51"/>
      <c r="J460" s="51"/>
      <c r="K460" s="50"/>
    </row>
    <row r="461" spans="4:11" s="36" customFormat="1">
      <c r="D461" s="47"/>
      <c r="E461" s="48"/>
      <c r="F461" s="49"/>
      <c r="G461" s="47"/>
      <c r="H461" s="50"/>
      <c r="I461" s="51"/>
      <c r="J461" s="51"/>
      <c r="K461" s="50"/>
    </row>
    <row r="462" spans="4:11" s="36" customFormat="1">
      <c r="D462" s="47"/>
      <c r="E462" s="48"/>
      <c r="F462" s="49"/>
      <c r="G462" s="47"/>
      <c r="H462" s="50"/>
      <c r="I462" s="51"/>
      <c r="J462" s="51"/>
      <c r="K462" s="50"/>
    </row>
    <row r="463" spans="4:11" s="36" customFormat="1">
      <c r="D463" s="47"/>
      <c r="E463" s="48"/>
      <c r="F463" s="49"/>
      <c r="G463" s="47"/>
      <c r="H463" s="50"/>
      <c r="I463" s="51"/>
      <c r="J463" s="51"/>
      <c r="K463" s="50"/>
    </row>
    <row r="464" spans="4:11" s="36" customFormat="1">
      <c r="D464" s="47"/>
      <c r="E464" s="48"/>
      <c r="F464" s="49"/>
      <c r="G464" s="47"/>
      <c r="H464" s="50"/>
      <c r="I464" s="51"/>
      <c r="J464" s="51"/>
      <c r="K464" s="50"/>
    </row>
    <row r="465" spans="1:11" s="36" customFormat="1">
      <c r="D465" s="47"/>
      <c r="E465" s="48"/>
      <c r="F465" s="49"/>
      <c r="G465" s="47"/>
      <c r="H465" s="50"/>
      <c r="I465" s="51"/>
      <c r="J465" s="51"/>
      <c r="K465" s="50"/>
    </row>
    <row r="466" spans="1:11" s="36" customFormat="1">
      <c r="D466" s="47"/>
      <c r="E466" s="48"/>
      <c r="F466" s="49"/>
      <c r="G466" s="47"/>
      <c r="H466" s="50"/>
      <c r="I466" s="51"/>
      <c r="J466" s="51"/>
      <c r="K466" s="50"/>
    </row>
    <row r="467" spans="1:11" s="36" customFormat="1">
      <c r="D467" s="47"/>
      <c r="E467" s="48"/>
      <c r="F467" s="49"/>
      <c r="G467" s="47"/>
      <c r="H467" s="50"/>
      <c r="I467" s="51"/>
      <c r="J467" s="51"/>
      <c r="K467" s="50"/>
    </row>
    <row r="468" spans="1:11">
      <c r="A468" s="56"/>
      <c r="B468" s="56"/>
      <c r="D468" s="57"/>
      <c r="E468" s="48"/>
      <c r="F468" s="58"/>
      <c r="G468" s="57"/>
      <c r="H468" s="50"/>
      <c r="I468" s="59"/>
      <c r="J468" s="59"/>
      <c r="K468" s="60"/>
    </row>
    <row r="469" spans="1:11">
      <c r="A469" s="56"/>
      <c r="B469" s="56"/>
      <c r="D469" s="57"/>
      <c r="E469" s="48"/>
      <c r="F469" s="58"/>
      <c r="G469" s="57"/>
      <c r="H469" s="50"/>
      <c r="I469" s="59"/>
      <c r="J469" s="59"/>
      <c r="K469" s="60"/>
    </row>
    <row r="470" spans="1:11">
      <c r="A470" s="56"/>
      <c r="B470" s="56"/>
      <c r="D470" s="57"/>
      <c r="E470" s="48"/>
      <c r="F470" s="58"/>
      <c r="G470" s="57"/>
      <c r="H470" s="50"/>
      <c r="I470" s="59"/>
      <c r="J470" s="59"/>
      <c r="K470" s="60"/>
    </row>
    <row r="471" spans="1:11">
      <c r="A471" s="56"/>
      <c r="B471" s="56"/>
      <c r="D471" s="57"/>
      <c r="E471" s="48"/>
      <c r="F471" s="58"/>
      <c r="G471" s="57"/>
      <c r="H471" s="50"/>
      <c r="I471" s="59"/>
      <c r="J471" s="59"/>
      <c r="K471" s="60"/>
    </row>
    <row r="472" spans="1:11">
      <c r="A472" s="56"/>
      <c r="B472" s="56"/>
      <c r="D472" s="57"/>
      <c r="E472" s="48"/>
      <c r="F472" s="58"/>
      <c r="G472" s="57"/>
      <c r="H472" s="50"/>
      <c r="I472" s="59"/>
      <c r="J472" s="59"/>
      <c r="K472" s="60"/>
    </row>
    <row r="473" spans="1:11">
      <c r="A473" s="56"/>
      <c r="B473" s="56"/>
      <c r="D473" s="57"/>
      <c r="E473" s="48"/>
      <c r="F473" s="58"/>
      <c r="G473" s="57"/>
      <c r="H473" s="50"/>
      <c r="I473" s="59"/>
      <c r="J473" s="59"/>
      <c r="K473" s="60"/>
    </row>
    <row r="474" spans="1:11">
      <c r="A474" s="56"/>
      <c r="B474" s="56"/>
      <c r="D474" s="57"/>
      <c r="E474" s="48"/>
      <c r="F474" s="58"/>
      <c r="G474" s="57"/>
      <c r="H474" s="50"/>
      <c r="I474" s="59"/>
      <c r="J474" s="59"/>
      <c r="K474" s="60"/>
    </row>
    <row r="475" spans="1:11">
      <c r="A475" s="56"/>
      <c r="B475" s="56"/>
      <c r="D475" s="57"/>
      <c r="E475" s="48"/>
      <c r="F475" s="58"/>
      <c r="G475" s="57"/>
      <c r="H475" s="50"/>
      <c r="I475" s="59"/>
      <c r="J475" s="59"/>
      <c r="K475" s="60"/>
    </row>
    <row r="476" spans="1:11">
      <c r="A476" s="56"/>
      <c r="B476" s="56"/>
      <c r="D476" s="57"/>
      <c r="E476" s="48"/>
      <c r="F476" s="58"/>
      <c r="G476" s="57"/>
      <c r="H476" s="50"/>
      <c r="I476" s="59"/>
      <c r="J476" s="59"/>
      <c r="K476" s="60"/>
    </row>
    <row r="477" spans="1:11">
      <c r="A477" s="56"/>
      <c r="B477" s="56"/>
      <c r="D477" s="57"/>
      <c r="E477" s="48"/>
      <c r="F477" s="58"/>
      <c r="G477" s="57"/>
      <c r="H477" s="50"/>
      <c r="I477" s="59"/>
      <c r="J477" s="59"/>
      <c r="K477" s="60"/>
    </row>
    <row r="478" spans="1:11">
      <c r="A478" s="56"/>
      <c r="B478" s="56"/>
      <c r="D478" s="57"/>
      <c r="E478" s="48"/>
      <c r="F478" s="58"/>
      <c r="G478" s="57"/>
      <c r="H478" s="50"/>
      <c r="I478" s="59"/>
      <c r="J478" s="59"/>
      <c r="K478" s="60"/>
    </row>
    <row r="479" spans="1:11">
      <c r="A479" s="56"/>
      <c r="B479" s="56"/>
      <c r="D479" s="57"/>
      <c r="E479" s="48"/>
      <c r="F479" s="58"/>
      <c r="G479" s="57"/>
      <c r="H479" s="50"/>
      <c r="I479" s="59"/>
      <c r="J479" s="59"/>
      <c r="K479" s="60"/>
    </row>
    <row r="480" spans="1:11">
      <c r="A480" s="56"/>
      <c r="B480" s="56"/>
      <c r="D480" s="57"/>
      <c r="E480" s="48"/>
      <c r="F480" s="58"/>
      <c r="G480" s="57"/>
      <c r="H480" s="50"/>
      <c r="I480" s="59"/>
      <c r="J480" s="59"/>
      <c r="K480" s="60"/>
    </row>
    <row r="481" spans="1:11">
      <c r="A481" s="56"/>
      <c r="B481" s="56"/>
      <c r="D481" s="57"/>
      <c r="E481" s="48"/>
      <c r="F481" s="58"/>
      <c r="G481" s="57"/>
      <c r="H481" s="50"/>
      <c r="I481" s="59"/>
      <c r="J481" s="59"/>
      <c r="K481" s="60"/>
    </row>
    <row r="482" spans="1:11">
      <c r="A482" s="56"/>
      <c r="B482" s="56"/>
      <c r="D482" s="57"/>
      <c r="E482" s="48"/>
      <c r="F482" s="58"/>
      <c r="G482" s="57"/>
      <c r="H482" s="50"/>
      <c r="I482" s="59"/>
      <c r="J482" s="59"/>
      <c r="K482" s="60"/>
    </row>
    <row r="483" spans="1:11">
      <c r="A483" s="56"/>
      <c r="B483" s="56"/>
      <c r="D483" s="57"/>
      <c r="E483" s="48"/>
      <c r="F483" s="58"/>
      <c r="G483" s="57"/>
      <c r="H483" s="50"/>
      <c r="I483" s="59"/>
      <c r="J483" s="59"/>
      <c r="K483" s="60"/>
    </row>
    <row r="484" spans="1:11">
      <c r="A484" s="56"/>
      <c r="B484" s="56"/>
      <c r="D484" s="57"/>
      <c r="E484" s="48"/>
      <c r="F484" s="58"/>
      <c r="G484" s="57"/>
      <c r="H484" s="50"/>
      <c r="I484" s="59"/>
      <c r="J484" s="59"/>
      <c r="K484" s="60"/>
    </row>
    <row r="485" spans="1:11">
      <c r="A485" s="56"/>
      <c r="B485" s="56"/>
      <c r="D485" s="57"/>
      <c r="E485" s="48"/>
      <c r="F485" s="58"/>
      <c r="G485" s="57"/>
      <c r="H485" s="50"/>
      <c r="I485" s="59"/>
      <c r="J485" s="59"/>
      <c r="K485" s="60"/>
    </row>
    <row r="486" spans="1:11">
      <c r="A486" s="56"/>
      <c r="B486" s="56"/>
      <c r="D486" s="57"/>
      <c r="E486" s="48"/>
      <c r="F486" s="58"/>
      <c r="G486" s="57"/>
      <c r="H486" s="50"/>
      <c r="I486" s="59"/>
      <c r="J486" s="59"/>
      <c r="K486" s="60"/>
    </row>
    <row r="487" spans="1:11">
      <c r="A487" s="56"/>
      <c r="B487" s="56"/>
      <c r="D487" s="57"/>
      <c r="E487" s="48"/>
      <c r="F487" s="58"/>
      <c r="G487" s="57"/>
      <c r="H487" s="50"/>
      <c r="I487" s="59"/>
      <c r="J487" s="59"/>
      <c r="K487" s="60"/>
    </row>
    <row r="488" spans="1:11">
      <c r="A488" s="56"/>
      <c r="B488" s="56"/>
      <c r="D488" s="57"/>
      <c r="E488" s="48"/>
      <c r="F488" s="58"/>
      <c r="G488" s="57"/>
      <c r="H488" s="50"/>
      <c r="I488" s="59"/>
      <c r="J488" s="59"/>
      <c r="K488" s="60"/>
    </row>
    <row r="489" spans="1:11">
      <c r="A489" s="56"/>
      <c r="B489" s="56"/>
      <c r="D489" s="57"/>
      <c r="E489" s="48"/>
      <c r="F489" s="58"/>
      <c r="G489" s="57"/>
      <c r="H489" s="50"/>
      <c r="I489" s="59"/>
      <c r="J489" s="59"/>
      <c r="K489" s="60"/>
    </row>
    <row r="490" spans="1:11">
      <c r="A490" s="56"/>
      <c r="B490" s="56"/>
      <c r="D490" s="57"/>
      <c r="E490" s="48"/>
      <c r="F490" s="58"/>
      <c r="G490" s="57"/>
      <c r="H490" s="50"/>
      <c r="I490" s="59"/>
      <c r="J490" s="59"/>
      <c r="K490" s="60"/>
    </row>
    <row r="491" spans="1:11">
      <c r="A491" s="56"/>
      <c r="B491" s="56"/>
      <c r="D491" s="57"/>
      <c r="E491" s="48"/>
      <c r="F491" s="58"/>
      <c r="G491" s="57"/>
      <c r="H491" s="50"/>
      <c r="I491" s="59"/>
      <c r="J491" s="59"/>
      <c r="K491" s="60"/>
    </row>
    <row r="492" spans="1:11">
      <c r="A492" s="56"/>
      <c r="B492" s="56"/>
      <c r="D492" s="57"/>
      <c r="E492" s="48"/>
      <c r="F492" s="58"/>
      <c r="G492" s="57"/>
      <c r="H492" s="50"/>
      <c r="I492" s="59"/>
      <c r="J492" s="59"/>
      <c r="K492" s="60"/>
    </row>
    <row r="493" spans="1:11">
      <c r="A493" s="56"/>
      <c r="B493" s="56"/>
      <c r="D493" s="57"/>
      <c r="E493" s="48"/>
      <c r="F493" s="58"/>
      <c r="G493" s="57"/>
      <c r="H493" s="50"/>
      <c r="I493" s="59"/>
      <c r="J493" s="59"/>
      <c r="K493" s="60"/>
    </row>
    <row r="494" spans="1:11">
      <c r="A494" s="56"/>
      <c r="B494" s="56"/>
      <c r="D494" s="57"/>
      <c r="E494" s="48"/>
      <c r="F494" s="58"/>
      <c r="G494" s="57"/>
      <c r="H494" s="50"/>
      <c r="I494" s="59"/>
      <c r="J494" s="59"/>
      <c r="K494" s="60"/>
    </row>
    <row r="495" spans="1:11">
      <c r="A495" s="56"/>
      <c r="B495" s="56"/>
      <c r="D495" s="57"/>
      <c r="E495" s="48"/>
      <c r="F495" s="58"/>
      <c r="G495" s="57"/>
      <c r="H495" s="50"/>
      <c r="I495" s="59"/>
      <c r="J495" s="59"/>
      <c r="K495" s="60"/>
    </row>
    <row r="496" spans="1:11">
      <c r="A496" s="56"/>
      <c r="B496" s="56"/>
      <c r="D496" s="57"/>
      <c r="E496" s="48"/>
      <c r="F496" s="58"/>
      <c r="G496" s="57"/>
      <c r="H496" s="50"/>
      <c r="I496" s="59"/>
      <c r="J496" s="59"/>
      <c r="K496" s="60"/>
    </row>
    <row r="497" spans="1:11">
      <c r="A497" s="56"/>
      <c r="B497" s="56"/>
      <c r="D497" s="57"/>
      <c r="E497" s="48"/>
      <c r="F497" s="58"/>
      <c r="G497" s="57"/>
      <c r="H497" s="50"/>
      <c r="I497" s="59"/>
      <c r="J497" s="59"/>
      <c r="K497" s="60"/>
    </row>
    <row r="498" spans="1:11">
      <c r="A498" s="56"/>
      <c r="B498" s="56"/>
      <c r="D498" s="57"/>
      <c r="E498" s="48"/>
      <c r="F498" s="58"/>
      <c r="G498" s="57"/>
      <c r="H498" s="50"/>
      <c r="I498" s="59"/>
      <c r="J498" s="59"/>
      <c r="K498" s="60"/>
    </row>
    <row r="499" spans="1:11">
      <c r="A499" s="56"/>
      <c r="B499" s="56"/>
      <c r="D499" s="57"/>
      <c r="E499" s="48"/>
      <c r="F499" s="58"/>
      <c r="G499" s="57"/>
      <c r="H499" s="50"/>
      <c r="I499" s="59"/>
      <c r="J499" s="59"/>
      <c r="K499" s="60"/>
    </row>
    <row r="500" spans="1:11">
      <c r="A500" s="56"/>
      <c r="B500" s="56"/>
      <c r="D500" s="57"/>
      <c r="E500" s="48"/>
      <c r="F500" s="58"/>
      <c r="G500" s="57"/>
      <c r="H500" s="50"/>
      <c r="I500" s="59"/>
      <c r="J500" s="59"/>
      <c r="K500" s="60"/>
    </row>
    <row r="501" spans="1:11">
      <c r="A501" s="56"/>
      <c r="B501" s="56"/>
      <c r="D501" s="57"/>
      <c r="E501" s="48"/>
      <c r="F501" s="58"/>
      <c r="G501" s="57"/>
      <c r="H501" s="50"/>
      <c r="I501" s="59"/>
      <c r="J501" s="59"/>
      <c r="K501" s="60"/>
    </row>
    <row r="502" spans="1:11">
      <c r="A502" s="56"/>
      <c r="B502" s="56"/>
      <c r="D502" s="57"/>
      <c r="E502" s="48"/>
      <c r="F502" s="58"/>
      <c r="G502" s="57"/>
      <c r="H502" s="50"/>
      <c r="I502" s="59"/>
      <c r="J502" s="59"/>
      <c r="K502" s="60"/>
    </row>
    <row r="503" spans="1:11">
      <c r="A503" s="56"/>
      <c r="B503" s="56"/>
      <c r="D503" s="57"/>
      <c r="E503" s="48"/>
      <c r="F503" s="58"/>
      <c r="G503" s="57"/>
      <c r="H503" s="50"/>
      <c r="I503" s="59"/>
      <c r="J503" s="59"/>
      <c r="K503" s="60"/>
    </row>
    <row r="504" spans="1:11">
      <c r="A504" s="56"/>
      <c r="B504" s="56"/>
      <c r="D504" s="57"/>
      <c r="E504" s="48"/>
      <c r="F504" s="58"/>
      <c r="G504" s="57"/>
      <c r="H504" s="50"/>
      <c r="I504" s="59"/>
      <c r="J504" s="59"/>
      <c r="K504" s="60"/>
    </row>
    <row r="505" spans="1:11">
      <c r="A505" s="56"/>
      <c r="B505" s="56"/>
      <c r="D505" s="57"/>
      <c r="E505" s="48"/>
      <c r="F505" s="58"/>
      <c r="G505" s="57"/>
      <c r="H505" s="50"/>
      <c r="I505" s="59"/>
      <c r="J505" s="59"/>
      <c r="K505" s="60"/>
    </row>
    <row r="506" spans="1:11">
      <c r="A506" s="56"/>
      <c r="B506" s="56"/>
      <c r="D506" s="57"/>
      <c r="E506" s="48"/>
      <c r="F506" s="58"/>
      <c r="G506" s="57"/>
      <c r="H506" s="50"/>
      <c r="I506" s="59"/>
      <c r="J506" s="59"/>
      <c r="K506" s="60"/>
    </row>
    <row r="507" spans="1:11">
      <c r="A507" s="56"/>
      <c r="B507" s="56"/>
      <c r="D507" s="57"/>
      <c r="E507" s="48"/>
      <c r="F507" s="58"/>
      <c r="G507" s="57"/>
      <c r="H507" s="50"/>
      <c r="I507" s="59"/>
      <c r="J507" s="59"/>
      <c r="K507" s="60"/>
    </row>
    <row r="508" spans="1:11">
      <c r="A508" s="56"/>
      <c r="B508" s="56"/>
      <c r="D508" s="57"/>
      <c r="E508" s="48"/>
      <c r="F508" s="58"/>
      <c r="G508" s="57"/>
      <c r="H508" s="50"/>
      <c r="I508" s="59"/>
      <c r="J508" s="59"/>
      <c r="K508" s="60"/>
    </row>
    <row r="509" spans="1:11">
      <c r="A509" s="56"/>
      <c r="B509" s="56"/>
      <c r="D509" s="57"/>
      <c r="E509" s="48"/>
      <c r="F509" s="58"/>
      <c r="G509" s="57"/>
      <c r="H509" s="50"/>
      <c r="I509" s="59"/>
      <c r="J509" s="59"/>
      <c r="K509" s="60"/>
    </row>
    <row r="510" spans="1:11">
      <c r="A510" s="56"/>
      <c r="B510" s="56"/>
      <c r="D510" s="57"/>
      <c r="E510" s="48"/>
      <c r="F510" s="58"/>
      <c r="G510" s="57"/>
      <c r="H510" s="50"/>
      <c r="I510" s="59"/>
      <c r="J510" s="59"/>
      <c r="K510" s="60"/>
    </row>
    <row r="511" spans="1:11">
      <c r="A511" s="56"/>
      <c r="B511" s="56"/>
      <c r="D511" s="57"/>
      <c r="E511" s="48"/>
      <c r="F511" s="58"/>
      <c r="G511" s="57"/>
      <c r="H511" s="50"/>
      <c r="I511" s="59"/>
      <c r="J511" s="59"/>
      <c r="K511" s="60"/>
    </row>
    <row r="512" spans="1:11">
      <c r="A512" s="56"/>
      <c r="B512" s="56"/>
      <c r="D512" s="57"/>
      <c r="E512" s="48"/>
      <c r="F512" s="58"/>
      <c r="G512" s="57"/>
      <c r="H512" s="50"/>
      <c r="I512" s="59"/>
      <c r="J512" s="59"/>
      <c r="K512" s="60"/>
    </row>
    <row r="513" spans="1:11">
      <c r="A513" s="56"/>
      <c r="B513" s="56"/>
      <c r="D513" s="57"/>
      <c r="E513" s="48"/>
      <c r="F513" s="58"/>
      <c r="G513" s="57"/>
      <c r="H513" s="50"/>
      <c r="I513" s="59"/>
      <c r="J513" s="59"/>
      <c r="K513" s="60"/>
    </row>
    <row r="514" spans="1:11">
      <c r="A514" s="56"/>
      <c r="B514" s="56"/>
      <c r="D514" s="57"/>
      <c r="E514" s="48"/>
      <c r="F514" s="58"/>
      <c r="G514" s="57"/>
      <c r="H514" s="50"/>
      <c r="I514" s="59"/>
      <c r="J514" s="59"/>
      <c r="K514" s="60"/>
    </row>
  </sheetData>
  <mergeCells count="6">
    <mergeCell ref="D7:E7"/>
    <mergeCell ref="A1:L1"/>
    <mergeCell ref="A2:L2"/>
    <mergeCell ref="A3:L3"/>
    <mergeCell ref="A4:L4"/>
    <mergeCell ref="H6:I6"/>
  </mergeCells>
  <printOptions horizontalCentered="1"/>
  <pageMargins left="0.5" right="0.5" top="0.7" bottom="0.55000000000000004" header="0.5" footer="0.5"/>
  <pageSetup scale="72" fitToHeight="3" orientation="landscape" horizontalDpi="300" verticalDpi="300" r:id="rId1"/>
  <headerFooter alignWithMargins="0">
    <oddHeader>&amp;RPage &amp;P of &amp;N</oddHeader>
  </headerFooter>
  <ignoredErrors>
    <ignoredError sqref="B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workbookViewId="0">
      <selection activeCell="A21" sqref="A21"/>
    </sheetView>
  </sheetViews>
  <sheetFormatPr defaultRowHeight="12.75"/>
  <cols>
    <col min="1" max="1" width="3" style="4" customWidth="1"/>
    <col min="2" max="2" width="5.5703125" style="4" bestFit="1" customWidth="1"/>
    <col min="3" max="3" width="21.7109375" style="4" bestFit="1" customWidth="1"/>
    <col min="4" max="4" width="15.140625" style="4" customWidth="1"/>
    <col min="5" max="5" width="13.140625" style="4" customWidth="1"/>
    <col min="6" max="6" width="9" style="4" bestFit="1" customWidth="1"/>
    <col min="7" max="7" width="9.7109375" style="5" customWidth="1"/>
    <col min="8" max="8" width="5.42578125" style="4" bestFit="1" customWidth="1"/>
    <col min="9" max="10" width="7.85546875" style="4" bestFit="1" customWidth="1"/>
    <col min="11" max="11" width="2" style="4" bestFit="1" customWidth="1"/>
    <col min="12" max="12" width="7.5703125" style="4" customWidth="1"/>
    <col min="13" max="13" width="9.140625" style="4"/>
    <col min="14" max="14" width="11.5703125" style="4" customWidth="1"/>
    <col min="15" max="16" width="11.42578125" style="4" bestFit="1" customWidth="1"/>
    <col min="17" max="17" width="8.42578125" style="4" bestFit="1" customWidth="1"/>
    <col min="18" max="18" width="11.7109375" style="4" customWidth="1"/>
    <col min="19" max="19" width="1.42578125" style="4" customWidth="1"/>
    <col min="20" max="20" width="8" style="5" customWidth="1"/>
    <col min="21" max="21" width="9.140625" style="4"/>
    <col min="22" max="22" width="11.140625" style="4" bestFit="1" customWidth="1"/>
    <col min="23" max="16384" width="9.140625" style="4"/>
  </cols>
  <sheetData>
    <row r="1" spans="1:20" s="22" customFormat="1" ht="15.75">
      <c r="A1" s="21" t="s">
        <v>36</v>
      </c>
      <c r="B1" s="21"/>
      <c r="G1" s="30"/>
      <c r="T1" s="30"/>
    </row>
    <row r="2" spans="1:20" s="22" customFormat="1" ht="15.75">
      <c r="A2" s="21" t="s">
        <v>132</v>
      </c>
      <c r="B2" s="21"/>
      <c r="G2" s="30"/>
      <c r="T2" s="30"/>
    </row>
    <row r="4" spans="1:20">
      <c r="B4" s="5" t="s">
        <v>69</v>
      </c>
      <c r="N4" s="5"/>
    </row>
    <row r="5" spans="1:20">
      <c r="B5" s="5" t="s">
        <v>71</v>
      </c>
      <c r="C5" s="5" t="s">
        <v>22</v>
      </c>
      <c r="E5" s="5" t="s">
        <v>111</v>
      </c>
      <c r="F5" s="5" t="s">
        <v>4</v>
      </c>
      <c r="G5" s="5" t="s">
        <v>3</v>
      </c>
      <c r="I5" s="5" t="s">
        <v>6</v>
      </c>
      <c r="J5" s="5" t="s">
        <v>6</v>
      </c>
      <c r="K5" s="5"/>
      <c r="L5" s="5" t="s">
        <v>16</v>
      </c>
      <c r="M5" s="5" t="s">
        <v>0</v>
      </c>
      <c r="N5" s="5" t="s">
        <v>9</v>
      </c>
      <c r="O5" s="5" t="s">
        <v>18</v>
      </c>
      <c r="P5" s="5" t="s">
        <v>63</v>
      </c>
      <c r="Q5" s="5" t="s">
        <v>20</v>
      </c>
      <c r="R5" s="5" t="s">
        <v>43</v>
      </c>
    </row>
    <row r="6" spans="1:20">
      <c r="A6" s="15"/>
      <c r="B6" s="14" t="s">
        <v>70</v>
      </c>
      <c r="C6" s="14" t="s">
        <v>26</v>
      </c>
      <c r="D6" s="14" t="s">
        <v>10</v>
      </c>
      <c r="E6" s="14" t="s">
        <v>112</v>
      </c>
      <c r="F6" s="14" t="s">
        <v>2</v>
      </c>
      <c r="G6" s="14" t="s">
        <v>2</v>
      </c>
      <c r="H6" s="14" t="s">
        <v>5</v>
      </c>
      <c r="I6" s="14" t="s">
        <v>7</v>
      </c>
      <c r="J6" s="14" t="s">
        <v>8</v>
      </c>
      <c r="K6" s="14"/>
      <c r="L6" s="14" t="s">
        <v>9</v>
      </c>
      <c r="M6" s="14" t="s">
        <v>1</v>
      </c>
      <c r="N6" s="14" t="s">
        <v>17</v>
      </c>
      <c r="O6" s="14" t="s">
        <v>19</v>
      </c>
      <c r="P6" s="14" t="s">
        <v>19</v>
      </c>
      <c r="Q6" s="14" t="s">
        <v>21</v>
      </c>
      <c r="R6" s="14" t="s">
        <v>44</v>
      </c>
      <c r="T6" s="14" t="s">
        <v>64</v>
      </c>
    </row>
    <row r="7" spans="1:20">
      <c r="A7" s="5">
        <v>1</v>
      </c>
      <c r="B7" s="5">
        <v>14</v>
      </c>
      <c r="C7" s="16" t="s">
        <v>11</v>
      </c>
      <c r="D7" s="12">
        <v>350000000</v>
      </c>
      <c r="E7" s="12">
        <f>D7</f>
        <v>350000000</v>
      </c>
      <c r="F7" s="2">
        <f>DATE(2006,8,10)</f>
        <v>38939</v>
      </c>
      <c r="G7" s="2">
        <f>DATE(2036,8,1)</f>
        <v>49888</v>
      </c>
      <c r="H7" s="3">
        <f t="shared" ref="H7:H11" si="0">YEARFRAC(F7,G7)</f>
        <v>29.975000000000001</v>
      </c>
      <c r="I7" s="11">
        <v>5.0639999999999998E-2</v>
      </c>
      <c r="J7" s="11">
        <v>1.06E-2</v>
      </c>
      <c r="K7" s="11"/>
      <c r="L7" s="7">
        <f>I7+J7</f>
        <v>6.1239999999999996E-2</v>
      </c>
      <c r="M7" s="35">
        <v>6.0999999999999999E-2</v>
      </c>
      <c r="N7" s="10">
        <v>1141000</v>
      </c>
      <c r="O7" s="10">
        <v>2907880.81</v>
      </c>
      <c r="P7" s="33">
        <v>0</v>
      </c>
      <c r="Q7" s="9">
        <f>ROUND(YIELD(F7,G7,M7,(E7-N7-O7-P7)/E7*100,100,2,0),5)</f>
        <v>6.1850000000000002E-2</v>
      </c>
      <c r="R7" s="12">
        <f>E7*Q7</f>
        <v>21647500</v>
      </c>
      <c r="T7" s="13">
        <v>7.0000000000000001E-3</v>
      </c>
    </row>
    <row r="8" spans="1:20">
      <c r="A8" s="5">
        <f>A7+1</f>
        <v>2</v>
      </c>
      <c r="B8" s="5">
        <v>15</v>
      </c>
      <c r="C8" s="1" t="s">
        <v>12</v>
      </c>
      <c r="D8" s="12">
        <v>600000000</v>
      </c>
      <c r="E8" s="12">
        <f>D8</f>
        <v>600000000</v>
      </c>
      <c r="F8" s="2">
        <f>DATE(2007,3,14)</f>
        <v>39155</v>
      </c>
      <c r="G8" s="2">
        <f>DATE(2037,4,1)</f>
        <v>50131</v>
      </c>
      <c r="H8" s="3">
        <f t="shared" si="0"/>
        <v>30.047222222222221</v>
      </c>
      <c r="I8" s="11">
        <v>4.7500000000000001E-2</v>
      </c>
      <c r="J8" s="11">
        <v>0.01</v>
      </c>
      <c r="K8" s="11"/>
      <c r="L8" s="7">
        <f t="shared" ref="L8:L11" si="1">I8+J8</f>
        <v>5.7500000000000002E-2</v>
      </c>
      <c r="M8" s="35">
        <v>5.7500000000000002E-2</v>
      </c>
      <c r="N8" s="10">
        <v>24000</v>
      </c>
      <c r="O8" s="10">
        <v>589216.14</v>
      </c>
      <c r="P8" s="33">
        <v>0</v>
      </c>
      <c r="Q8" s="9">
        <f>ROUND(YIELD(F8,G8,M8,(E8-N8-O8-P8)/E8*100,100,2,0),5)</f>
        <v>5.7570000000000003E-2</v>
      </c>
      <c r="R8" s="12">
        <f>E8*Q8</f>
        <v>34542000</v>
      </c>
      <c r="T8" s="13">
        <v>0</v>
      </c>
    </row>
    <row r="9" spans="1:20">
      <c r="A9" s="5">
        <f t="shared" ref="A9:A20" si="2">A8+1</f>
        <v>3</v>
      </c>
      <c r="B9" s="5">
        <v>16</v>
      </c>
      <c r="C9" s="1" t="s">
        <v>13</v>
      </c>
      <c r="D9" s="12">
        <v>600000000</v>
      </c>
      <c r="E9" s="12">
        <f>D9</f>
        <v>600000000</v>
      </c>
      <c r="F9" s="2">
        <f>DATE(2007,10,3)</f>
        <v>39358</v>
      </c>
      <c r="G9" s="2">
        <f>DATE(2037,10,15)</f>
        <v>50328</v>
      </c>
      <c r="H9" s="3">
        <f t="shared" si="0"/>
        <v>30.033333333333335</v>
      </c>
      <c r="I9" s="11">
        <v>4.8590000000000001E-2</v>
      </c>
      <c r="J9" s="11">
        <v>1.4E-2</v>
      </c>
      <c r="K9" s="11"/>
      <c r="L9" s="7">
        <f t="shared" si="1"/>
        <v>6.2590000000000007E-2</v>
      </c>
      <c r="M9" s="35">
        <v>6.25E-2</v>
      </c>
      <c r="N9" s="10">
        <v>750000</v>
      </c>
      <c r="O9" s="10">
        <v>5127281.03</v>
      </c>
      <c r="P9" s="33">
        <v>0</v>
      </c>
      <c r="Q9" s="9">
        <f>ROUND(YIELD(F9,G9,M9,(E9-N9-O9-P9)/E9*100,100,2,0),5)</f>
        <v>6.3229999999999995E-2</v>
      </c>
      <c r="R9" s="12">
        <f>E9*Q9</f>
        <v>37938000</v>
      </c>
      <c r="T9" s="13">
        <v>7.7499999999999999E-3</v>
      </c>
    </row>
    <row r="10" spans="1:20">
      <c r="A10" s="5">
        <f t="shared" si="2"/>
        <v>4</v>
      </c>
      <c r="B10" s="5">
        <v>17</v>
      </c>
      <c r="C10" s="1" t="s">
        <v>14</v>
      </c>
      <c r="D10" s="12">
        <v>300000000</v>
      </c>
      <c r="E10" s="12">
        <f>D10</f>
        <v>300000000</v>
      </c>
      <c r="F10" s="2">
        <f>DATE(2008,7,17)</f>
        <v>39646</v>
      </c>
      <c r="G10" s="2">
        <f>DATE(2038,7,15)</f>
        <v>50601</v>
      </c>
      <c r="H10" s="3">
        <f t="shared" si="0"/>
        <v>29.994444444444444</v>
      </c>
      <c r="I10" s="11">
        <v>4.4720000000000003E-2</v>
      </c>
      <c r="J10" s="11">
        <v>1.9199999999999998E-2</v>
      </c>
      <c r="K10" s="11"/>
      <c r="L10" s="7">
        <f t="shared" si="1"/>
        <v>6.3920000000000005E-2</v>
      </c>
      <c r="M10" s="35">
        <v>6.3500000000000001E-2</v>
      </c>
      <c r="N10" s="10">
        <v>1671000</v>
      </c>
      <c r="O10" s="10">
        <f>2289957.54+375</f>
        <v>2290332.54</v>
      </c>
      <c r="P10" s="33">
        <v>0</v>
      </c>
      <c r="Q10" s="9">
        <f>ROUND(YIELD(F10,G10,M10,(E10-N10-O10-P10)/E10*100,100,2,0),5)</f>
        <v>6.4500000000000002E-2</v>
      </c>
      <c r="R10" s="12">
        <f>E10*Q10</f>
        <v>19350000</v>
      </c>
      <c r="T10" s="13">
        <v>7.0000000000000001E-3</v>
      </c>
    </row>
    <row r="11" spans="1:20">
      <c r="A11" s="5">
        <f t="shared" si="2"/>
        <v>5</v>
      </c>
      <c r="B11" s="23">
        <v>18</v>
      </c>
      <c r="C11" s="1" t="s">
        <v>15</v>
      </c>
      <c r="D11" s="12">
        <v>650000000</v>
      </c>
      <c r="E11" s="12">
        <f>D11</f>
        <v>650000000</v>
      </c>
      <c r="F11" s="2">
        <f>DATE(2009,1,8)</f>
        <v>39821</v>
      </c>
      <c r="G11" s="2">
        <f>DATE(2039,1,15)</f>
        <v>50785</v>
      </c>
      <c r="H11" s="3">
        <f t="shared" si="0"/>
        <v>30.019444444444446</v>
      </c>
      <c r="I11" s="24">
        <v>2.9690000000000001E-2</v>
      </c>
      <c r="J11" s="24">
        <v>3.1E-2</v>
      </c>
      <c r="K11" s="24"/>
      <c r="L11" s="25">
        <f t="shared" si="1"/>
        <v>6.0690000000000001E-2</v>
      </c>
      <c r="M11" s="35">
        <v>0.06</v>
      </c>
      <c r="N11" s="26">
        <v>6175000.0000000009</v>
      </c>
      <c r="O11" s="10">
        <v>6134686.8199999994</v>
      </c>
      <c r="P11" s="33">
        <v>0</v>
      </c>
      <c r="Q11" s="9">
        <f t="shared" ref="Q11:Q14" si="3">ROUND(YIELD(F11,G11,M11,(D11-N11-O11-P11)/D11*100,100,2,0),5)</f>
        <v>6.139E-2</v>
      </c>
      <c r="R11" s="12">
        <f t="shared" ref="R11:R20" si="4">E11*Q11</f>
        <v>39903500</v>
      </c>
      <c r="T11" s="75">
        <v>8.7500000000000008E-3</v>
      </c>
    </row>
    <row r="12" spans="1:20">
      <c r="A12" s="5">
        <f t="shared" si="2"/>
        <v>6</v>
      </c>
      <c r="B12" s="23">
        <v>3</v>
      </c>
      <c r="C12" s="1" t="s">
        <v>45</v>
      </c>
      <c r="D12" s="12">
        <v>400000000</v>
      </c>
      <c r="E12" s="12">
        <f t="shared" ref="E12:E17" si="5">D12</f>
        <v>400000000</v>
      </c>
      <c r="F12" s="2">
        <f>DATE(2011,5,12)</f>
        <v>40675</v>
      </c>
      <c r="G12" s="2">
        <f>DATE(2021,6,15)</f>
        <v>44362</v>
      </c>
      <c r="H12" s="3">
        <f t="shared" ref="H12" si="6">YEARFRAC(F12,G12)</f>
        <v>10.091666666666667</v>
      </c>
      <c r="I12" s="24">
        <v>3.1419999999999997E-2</v>
      </c>
      <c r="J12" s="24">
        <v>7.3000000000000001E-3</v>
      </c>
      <c r="K12" s="24"/>
      <c r="L12" s="25">
        <f t="shared" ref="L12" si="7">I12+J12</f>
        <v>3.8719999999999997E-2</v>
      </c>
      <c r="M12" s="35">
        <v>3.85E-2</v>
      </c>
      <c r="N12" s="26">
        <v>744000</v>
      </c>
      <c r="O12" s="10">
        <v>3007138.2199999997</v>
      </c>
      <c r="P12" s="33">
        <v>0</v>
      </c>
      <c r="Q12" s="9">
        <f t="shared" si="3"/>
        <v>3.9629999999999999E-2</v>
      </c>
      <c r="R12" s="12">
        <f t="shared" si="4"/>
        <v>15852000</v>
      </c>
      <c r="T12" s="13">
        <v>6.4999999999999997E-3</v>
      </c>
    </row>
    <row r="13" spans="1:20">
      <c r="A13" s="5">
        <f t="shared" si="2"/>
        <v>7</v>
      </c>
      <c r="B13" s="23">
        <v>4</v>
      </c>
      <c r="C13" s="1" t="s">
        <v>46</v>
      </c>
      <c r="D13" s="12">
        <v>350000000</v>
      </c>
      <c r="E13" s="12">
        <f t="shared" si="5"/>
        <v>350000000</v>
      </c>
      <c r="F13" s="2">
        <f>DATE(2012,1,6)</f>
        <v>40914</v>
      </c>
      <c r="G13" s="2">
        <f>DATE(2022,2,1)</f>
        <v>44593</v>
      </c>
      <c r="H13" s="3">
        <f t="shared" ref="H13" si="8">YEARFRAC(F13,G13)</f>
        <v>10.069444444444445</v>
      </c>
      <c r="I13" s="24">
        <v>1.9599999999999999E-2</v>
      </c>
      <c r="J13" s="24">
        <v>0.01</v>
      </c>
      <c r="K13" s="24"/>
      <c r="L13" s="25">
        <f t="shared" ref="L13" si="9">I13+J13</f>
        <v>2.9600000000000001E-2</v>
      </c>
      <c r="M13" s="35">
        <v>2.9499999999999998E-2</v>
      </c>
      <c r="N13" s="26">
        <v>308000</v>
      </c>
      <c r="O13" s="10">
        <f>2030000+393807.67+421.77</f>
        <v>2424229.44</v>
      </c>
      <c r="P13" s="33">
        <v>0</v>
      </c>
      <c r="Q13" s="9">
        <f t="shared" si="3"/>
        <v>3.04E-2</v>
      </c>
      <c r="R13" s="12">
        <f t="shared" si="4"/>
        <v>10640000</v>
      </c>
      <c r="T13" s="13">
        <v>5.7999999999999996E-3</v>
      </c>
    </row>
    <row r="14" spans="1:20">
      <c r="A14" s="5">
        <f t="shared" si="2"/>
        <v>8</v>
      </c>
      <c r="B14" s="23">
        <v>19</v>
      </c>
      <c r="C14" s="1" t="s">
        <v>48</v>
      </c>
      <c r="D14" s="12">
        <v>300000000</v>
      </c>
      <c r="E14" s="12">
        <f t="shared" si="5"/>
        <v>300000000</v>
      </c>
      <c r="F14" s="2">
        <f>DATE(2012,1,6)</f>
        <v>40914</v>
      </c>
      <c r="G14" s="2">
        <f>DATE(2042,2,1)</f>
        <v>51898</v>
      </c>
      <c r="H14" s="3">
        <f t="shared" ref="H14:H16" si="10">YEARFRAC(F14,G14)</f>
        <v>30.069444444444443</v>
      </c>
      <c r="I14" s="24">
        <v>2.9690000000000001E-2</v>
      </c>
      <c r="J14" s="24">
        <v>1.15E-2</v>
      </c>
      <c r="K14" s="24"/>
      <c r="L14" s="25">
        <f t="shared" ref="L14:L17" si="11">I14+J14</f>
        <v>4.1190000000000004E-2</v>
      </c>
      <c r="M14" s="35">
        <v>4.1000000000000002E-2</v>
      </c>
      <c r="N14" s="26">
        <f>987000</f>
        <v>987000</v>
      </c>
      <c r="O14" s="10">
        <v>2737910.9299999997</v>
      </c>
      <c r="P14" s="33">
        <v>0</v>
      </c>
      <c r="Q14" s="9">
        <f t="shared" si="3"/>
        <v>4.1730000000000003E-2</v>
      </c>
      <c r="R14" s="12">
        <f t="shared" si="4"/>
        <v>12519000.000000002</v>
      </c>
      <c r="T14" s="13">
        <v>8.0000000000000002E-3</v>
      </c>
    </row>
    <row r="15" spans="1:20">
      <c r="A15" s="5">
        <f t="shared" si="2"/>
        <v>9</v>
      </c>
      <c r="B15" s="23">
        <v>5</v>
      </c>
      <c r="C15" s="1" t="s">
        <v>46</v>
      </c>
      <c r="D15" s="12">
        <v>100000000</v>
      </c>
      <c r="E15" s="12">
        <f t="shared" si="5"/>
        <v>100000000</v>
      </c>
      <c r="F15" s="2">
        <f>DATE(2012,3,6)</f>
        <v>40974</v>
      </c>
      <c r="G15" s="2">
        <f>DATE(2022,2,1)</f>
        <v>44593</v>
      </c>
      <c r="H15" s="3">
        <f t="shared" si="10"/>
        <v>9.9027777777777786</v>
      </c>
      <c r="I15" s="24">
        <v>1.908E-2</v>
      </c>
      <c r="J15" s="24">
        <v>1.0319999999999999E-2</v>
      </c>
      <c r="K15" s="24"/>
      <c r="L15" s="25">
        <f t="shared" si="11"/>
        <v>2.9399999999999999E-2</v>
      </c>
      <c r="M15" s="35">
        <v>2.9499999999999998E-2</v>
      </c>
      <c r="N15" s="26">
        <f>-81000</f>
        <v>-81000</v>
      </c>
      <c r="O15" s="10">
        <v>254249.01</v>
      </c>
      <c r="P15" s="10">
        <v>4970792.79</v>
      </c>
      <c r="Q15" s="9">
        <f>ROUND(YIELD(F15,G15,M15,(D15-N15-O15-P15)/D15*100,100,2,0),5)</f>
        <v>3.5709999999999999E-2</v>
      </c>
      <c r="R15" s="12">
        <f t="shared" si="4"/>
        <v>3571000</v>
      </c>
      <c r="T15" s="13">
        <v>0</v>
      </c>
    </row>
    <row r="16" spans="1:20">
      <c r="A16" s="5">
        <f t="shared" si="2"/>
        <v>10</v>
      </c>
      <c r="B16" s="23">
        <v>6</v>
      </c>
      <c r="C16" s="1" t="s">
        <v>47</v>
      </c>
      <c r="D16" s="12">
        <v>300000000</v>
      </c>
      <c r="E16" s="12">
        <f t="shared" si="5"/>
        <v>300000000</v>
      </c>
      <c r="F16" s="2">
        <f>DATE(2013,6,6)</f>
        <v>41431</v>
      </c>
      <c r="G16" s="2">
        <f>DATE(2023,6,1)</f>
        <v>45078</v>
      </c>
      <c r="H16" s="3">
        <f t="shared" si="10"/>
        <v>9.9861111111111107</v>
      </c>
      <c r="I16" s="24">
        <v>2.1350000000000001E-2</v>
      </c>
      <c r="J16" s="24">
        <v>8.5000000000000006E-3</v>
      </c>
      <c r="K16" s="24"/>
      <c r="L16" s="25">
        <f t="shared" si="11"/>
        <v>2.9850000000000002E-2</v>
      </c>
      <c r="M16" s="35">
        <v>2.9499999999999998E-2</v>
      </c>
      <c r="N16" s="26">
        <f>900000</f>
        <v>900000</v>
      </c>
      <c r="O16" s="10">
        <v>1859351.54</v>
      </c>
      <c r="P16" s="33">
        <v>0</v>
      </c>
      <c r="Q16" s="9">
        <f t="shared" ref="Q16" si="12">ROUND(YIELD(F16,G16,M16,(D16-N16-O16-P16)/D16*100,100,2,0),5)</f>
        <v>3.058E-2</v>
      </c>
      <c r="R16" s="12">
        <f t="shared" si="4"/>
        <v>9174000</v>
      </c>
      <c r="T16" s="13">
        <v>4.4999999999999997E-3</v>
      </c>
    </row>
    <row r="17" spans="1:22">
      <c r="A17" s="5">
        <f t="shared" si="2"/>
        <v>11</v>
      </c>
      <c r="B17" s="23">
        <v>7</v>
      </c>
      <c r="C17" s="1" t="s">
        <v>65</v>
      </c>
      <c r="D17" s="12">
        <v>425000000</v>
      </c>
      <c r="E17" s="12">
        <f t="shared" si="5"/>
        <v>425000000</v>
      </c>
      <c r="F17" s="2">
        <f>DATE(2014,3,13)</f>
        <v>41711</v>
      </c>
      <c r="G17" s="2">
        <f>DATE(2024,4,1)</f>
        <v>45383</v>
      </c>
      <c r="H17" s="3">
        <f t="shared" ref="H17" si="13">YEARFRAC(F17,G17)</f>
        <v>10.050000000000001</v>
      </c>
      <c r="I17" s="24">
        <v>2.777E-2</v>
      </c>
      <c r="J17" s="24">
        <v>8.3000000000000001E-3</v>
      </c>
      <c r="K17" s="24"/>
      <c r="L17" s="25">
        <f t="shared" si="11"/>
        <v>3.6069999999999998E-2</v>
      </c>
      <c r="M17" s="35">
        <v>3.5999999999999997E-2</v>
      </c>
      <c r="N17" s="26">
        <v>255000</v>
      </c>
      <c r="O17" s="10">
        <v>3345164.21</v>
      </c>
      <c r="P17" s="10">
        <v>1943074.52</v>
      </c>
      <c r="Q17" s="9">
        <f t="shared" ref="Q17" si="14">ROUND(YIELD(F17,G17,M17,(D17-N17-O17-P17)/D17*100,100,2,0),5)</f>
        <v>3.7569999999999999E-2</v>
      </c>
      <c r="R17" s="12">
        <f t="shared" si="4"/>
        <v>15967250</v>
      </c>
      <c r="T17" s="13">
        <v>6.1999999999999998E-3</v>
      </c>
    </row>
    <row r="18" spans="1:22">
      <c r="A18" s="5">
        <f t="shared" si="2"/>
        <v>12</v>
      </c>
      <c r="B18" s="23">
        <v>8</v>
      </c>
      <c r="C18" s="1" t="s">
        <v>113</v>
      </c>
      <c r="D18" s="12">
        <v>250000000</v>
      </c>
      <c r="E18" s="12">
        <f>D18</f>
        <v>250000000</v>
      </c>
      <c r="F18" s="74">
        <f>DATE(2015,6,19)</f>
        <v>42174</v>
      </c>
      <c r="G18" s="74">
        <f>DATE(2025,7,1)</f>
        <v>45839</v>
      </c>
      <c r="H18" s="3">
        <f t="shared" ref="H18:H21" si="15">YEARFRAC(F18,G18)</f>
        <v>10.033333333333333</v>
      </c>
      <c r="I18" s="24">
        <v>2.315E-2</v>
      </c>
      <c r="J18" s="24">
        <v>1.0500000000000001E-2</v>
      </c>
      <c r="K18" s="24"/>
      <c r="L18" s="25">
        <f t="shared" ref="L18:L21" si="16">I18+J18</f>
        <v>3.3649999999999999E-2</v>
      </c>
      <c r="M18" s="35">
        <v>3.3500000000000002E-2</v>
      </c>
      <c r="N18" s="26">
        <v>320000</v>
      </c>
      <c r="O18" s="10">
        <v>2121421.02</v>
      </c>
      <c r="P18" s="10">
        <v>0</v>
      </c>
      <c r="Q18" s="9">
        <f t="shared" ref="Q18:Q20" si="17">ROUND(YIELD(F18,G18,M18,(D18-N18-O18-P18)/D18*100,100,2,0),5)</f>
        <v>3.4660000000000003E-2</v>
      </c>
      <c r="R18" s="12">
        <f t="shared" si="4"/>
        <v>8665000</v>
      </c>
      <c r="T18" s="13">
        <v>6.4999999999999997E-3</v>
      </c>
    </row>
    <row r="19" spans="1:22">
      <c r="A19" s="5">
        <f t="shared" si="2"/>
        <v>13</v>
      </c>
      <c r="B19" s="23">
        <v>20</v>
      </c>
      <c r="C19" s="1" t="s">
        <v>119</v>
      </c>
      <c r="D19" s="12">
        <v>600000000</v>
      </c>
      <c r="E19" s="12">
        <f>D19</f>
        <v>600000000</v>
      </c>
      <c r="F19" s="74">
        <f>DATE(2018,7,13)</f>
        <v>43294</v>
      </c>
      <c r="G19" s="74">
        <f>DATE(2049,1,15)</f>
        <v>54438</v>
      </c>
      <c r="H19" s="3">
        <f t="shared" si="15"/>
        <v>30.505555555555556</v>
      </c>
      <c r="I19" s="24">
        <v>2.9680000000000002E-2</v>
      </c>
      <c r="J19" s="24">
        <v>1.17E-2</v>
      </c>
      <c r="K19" s="24"/>
      <c r="L19" s="25">
        <f t="shared" si="16"/>
        <v>4.138E-2</v>
      </c>
      <c r="M19" s="35">
        <v>4.1250000000000002E-2</v>
      </c>
      <c r="N19" s="26">
        <v>1344000</v>
      </c>
      <c r="O19" s="10">
        <v>5640084.5899999999</v>
      </c>
      <c r="P19" s="10">
        <v>0</v>
      </c>
      <c r="Q19" s="9">
        <f t="shared" si="17"/>
        <v>4.1930000000000002E-2</v>
      </c>
      <c r="R19" s="12">
        <f t="shared" si="4"/>
        <v>25158000</v>
      </c>
      <c r="T19" s="13">
        <v>8.0000000000000002E-3</v>
      </c>
    </row>
    <row r="20" spans="1:22">
      <c r="A20" s="5">
        <f t="shared" si="2"/>
        <v>14</v>
      </c>
      <c r="B20" s="23">
        <v>9</v>
      </c>
      <c r="C20" s="1" t="s">
        <v>120</v>
      </c>
      <c r="D20" s="12">
        <v>400000000</v>
      </c>
      <c r="E20" s="12">
        <f>D20</f>
        <v>400000000</v>
      </c>
      <c r="F20" s="74">
        <f>DATE(2019,3,1)</f>
        <v>43525</v>
      </c>
      <c r="G20" s="74">
        <f>DATE(2029,6,15)</f>
        <v>47284</v>
      </c>
      <c r="H20" s="3">
        <f t="shared" si="15"/>
        <v>10.28888888888889</v>
      </c>
      <c r="I20" s="24">
        <v>2.6720000000000001E-2</v>
      </c>
      <c r="J20" s="24">
        <v>8.5000000000000006E-3</v>
      </c>
      <c r="K20" s="24"/>
      <c r="L20" s="25">
        <f t="shared" si="16"/>
        <v>3.5220000000000001E-2</v>
      </c>
      <c r="M20" s="35">
        <v>3.5000000000000003E-2</v>
      </c>
      <c r="N20" s="26">
        <v>740000</v>
      </c>
      <c r="O20" s="10">
        <v>2134051.12</v>
      </c>
      <c r="P20" s="10">
        <v>0</v>
      </c>
      <c r="Q20" s="9">
        <f t="shared" si="17"/>
        <v>3.5839999999999997E-2</v>
      </c>
      <c r="R20" s="12">
        <f t="shared" si="4"/>
        <v>14335999.999999998</v>
      </c>
      <c r="T20" s="13">
        <v>4.2500000000000003E-3</v>
      </c>
    </row>
    <row r="21" spans="1:22">
      <c r="A21" s="5">
        <v>15</v>
      </c>
      <c r="B21" s="23">
        <v>21</v>
      </c>
      <c r="C21" s="1" t="s">
        <v>122</v>
      </c>
      <c r="D21" s="76">
        <v>600000000</v>
      </c>
      <c r="E21" s="12">
        <f>D21</f>
        <v>600000000</v>
      </c>
      <c r="F21" s="74">
        <f>DATE(2019,3,1)</f>
        <v>43525</v>
      </c>
      <c r="G21" s="74">
        <f>DATE(2050,2,15)</f>
        <v>54834</v>
      </c>
      <c r="H21" s="3">
        <f t="shared" si="15"/>
        <v>30.955555555555556</v>
      </c>
      <c r="I21" s="24">
        <v>3.0269999999999998E-2</v>
      </c>
      <c r="J21" s="24">
        <v>1.15E-2</v>
      </c>
      <c r="K21" s="24"/>
      <c r="L21" s="25">
        <f t="shared" si="16"/>
        <v>4.1770000000000002E-2</v>
      </c>
      <c r="M21" s="35">
        <v>4.1500000000000002E-2</v>
      </c>
      <c r="N21" s="26">
        <v>2790000</v>
      </c>
      <c r="O21" s="10">
        <v>5148576.7</v>
      </c>
      <c r="P21" s="10">
        <v>0</v>
      </c>
      <c r="Q21" s="9">
        <f t="shared" ref="Q21" si="18">ROUND(YIELD(F21,G21,M21,(D21-N21-O21-P21)/D21*100,100,2,0),5)</f>
        <v>4.2270000000000002E-2</v>
      </c>
      <c r="R21" s="12">
        <f t="shared" ref="R21" si="19">E21*Q21</f>
        <v>25362000</v>
      </c>
      <c r="T21" s="13">
        <v>7.4999999999999997E-3</v>
      </c>
    </row>
    <row r="22" spans="1:22">
      <c r="D22" s="6">
        <f>SUM(D7:D21)</f>
        <v>6225000000</v>
      </c>
      <c r="E22" s="6">
        <f>SUM(E7:E21)</f>
        <v>6225000000</v>
      </c>
      <c r="F22" s="74"/>
      <c r="G22" s="74"/>
      <c r="H22" s="3"/>
      <c r="M22" s="9">
        <f>SUMPRODUCT(M7:M21,D7:D21)/D22</f>
        <v>4.6353413654618474E-2</v>
      </c>
      <c r="N22" s="8">
        <f>SUM(N7:N21)</f>
        <v>18068000</v>
      </c>
      <c r="O22" s="8">
        <f>SUM(O7:O21)</f>
        <v>45721574.119999997</v>
      </c>
      <c r="P22" s="8">
        <f>SUM(P7:P21)</f>
        <v>6913867.3100000005</v>
      </c>
      <c r="Q22" s="13">
        <f>SUMPRODUCT(E7:E21,Q7:Q21)/E22</f>
        <v>4.7329357429718874E-2</v>
      </c>
      <c r="R22" s="12">
        <f>SUM(R7:R21)</f>
        <v>294625250</v>
      </c>
      <c r="T22" s="31"/>
    </row>
    <row r="23" spans="1:22">
      <c r="T23" s="31"/>
    </row>
    <row r="24" spans="1:22">
      <c r="T24" s="31"/>
    </row>
    <row r="25" spans="1:22">
      <c r="C25" s="5"/>
      <c r="E25" s="5" t="s">
        <v>111</v>
      </c>
      <c r="F25" s="5" t="s">
        <v>4</v>
      </c>
      <c r="G25" s="5" t="s">
        <v>3</v>
      </c>
      <c r="I25" s="5" t="s">
        <v>6</v>
      </c>
      <c r="J25" s="5" t="s">
        <v>6</v>
      </c>
      <c r="K25" s="5"/>
      <c r="L25" s="5" t="s">
        <v>16</v>
      </c>
      <c r="M25" s="5" t="s">
        <v>0</v>
      </c>
      <c r="N25" s="5" t="s">
        <v>9</v>
      </c>
      <c r="O25" s="5" t="s">
        <v>18</v>
      </c>
      <c r="P25" s="5" t="s">
        <v>63</v>
      </c>
      <c r="Q25" s="5" t="s">
        <v>20</v>
      </c>
      <c r="R25" s="5" t="s">
        <v>43</v>
      </c>
      <c r="T25" s="31" t="s">
        <v>125</v>
      </c>
    </row>
    <row r="26" spans="1:22">
      <c r="A26" s="15"/>
      <c r="B26" s="15"/>
      <c r="C26" s="14" t="s">
        <v>42</v>
      </c>
      <c r="D26" s="14" t="s">
        <v>10</v>
      </c>
      <c r="E26" s="14" t="s">
        <v>112</v>
      </c>
      <c r="F26" s="14" t="s">
        <v>2</v>
      </c>
      <c r="G26" s="14" t="s">
        <v>2</v>
      </c>
      <c r="H26" s="14" t="s">
        <v>5</v>
      </c>
      <c r="I26" s="14" t="s">
        <v>7</v>
      </c>
      <c r="J26" s="14" t="s">
        <v>8</v>
      </c>
      <c r="K26" s="14"/>
      <c r="L26" s="14" t="s">
        <v>9</v>
      </c>
      <c r="M26" s="14" t="s">
        <v>1</v>
      </c>
      <c r="N26" s="14" t="s">
        <v>17</v>
      </c>
      <c r="O26" s="14" t="s">
        <v>19</v>
      </c>
      <c r="P26" s="14" t="s">
        <v>19</v>
      </c>
      <c r="Q26" s="14" t="s">
        <v>21</v>
      </c>
      <c r="R26" s="14" t="s">
        <v>44</v>
      </c>
      <c r="T26" s="14" t="s">
        <v>64</v>
      </c>
    </row>
    <row r="27" spans="1:22">
      <c r="A27" s="5">
        <v>1</v>
      </c>
      <c r="B27" s="5"/>
      <c r="C27" s="1" t="s">
        <v>23</v>
      </c>
      <c r="D27" s="12">
        <v>350000000</v>
      </c>
      <c r="E27" s="12">
        <f>D27</f>
        <v>350000000</v>
      </c>
      <c r="F27" s="2">
        <f>DATE(2006,8,10)</f>
        <v>38939</v>
      </c>
      <c r="G27" s="2">
        <f>DATE(2036,8,1)</f>
        <v>49888</v>
      </c>
      <c r="H27" s="3">
        <f t="shared" ref="H27:H36" si="20">YEARFRAC(F27,G27)</f>
        <v>29.975000000000001</v>
      </c>
      <c r="I27" s="18">
        <f t="shared" ref="I27:I41" si="21">I7</f>
        <v>5.0639999999999998E-2</v>
      </c>
      <c r="J27" s="11">
        <v>1.7500000000000002E-2</v>
      </c>
      <c r="K27" s="17" t="s">
        <v>25</v>
      </c>
      <c r="L27" s="7">
        <f>I27+J27</f>
        <v>6.8140000000000006E-2</v>
      </c>
      <c r="M27" s="9">
        <f>L27</f>
        <v>6.8140000000000006E-2</v>
      </c>
      <c r="N27" s="10">
        <v>0</v>
      </c>
      <c r="O27" s="1">
        <f t="shared" ref="O27:O41" si="22">D27*T27+(O7-T7*D7)</f>
        <v>3520380.8100000005</v>
      </c>
      <c r="P27" s="19">
        <f t="shared" ref="P27:P41" si="23">P7</f>
        <v>0</v>
      </c>
      <c r="Q27" s="9">
        <f>ROUND(YIELD(F27,G27,M27,(D27-N27-O27-P27)/D27*100,100,2,0),5)</f>
        <v>6.8940000000000001E-2</v>
      </c>
      <c r="R27" s="12">
        <f>E27*Q27</f>
        <v>24129000</v>
      </c>
      <c r="T27" s="13">
        <v>8.7500000000000008E-3</v>
      </c>
      <c r="V27" s="32"/>
    </row>
    <row r="28" spans="1:22">
      <c r="A28" s="5">
        <f>A27+1</f>
        <v>2</v>
      </c>
      <c r="B28" s="5"/>
      <c r="C28" s="1" t="s">
        <v>24</v>
      </c>
      <c r="D28" s="12">
        <v>600000000</v>
      </c>
      <c r="E28" s="12">
        <f>D28</f>
        <v>600000000</v>
      </c>
      <c r="F28" s="2">
        <f>DATE(2007,3,14)</f>
        <v>39155</v>
      </c>
      <c r="G28" s="2">
        <f>DATE(2037,4,1)</f>
        <v>50131</v>
      </c>
      <c r="H28" s="3">
        <f t="shared" si="20"/>
        <v>30.047222222222221</v>
      </c>
      <c r="I28" s="18">
        <f t="shared" si="21"/>
        <v>4.7500000000000001E-2</v>
      </c>
      <c r="J28" s="11">
        <v>1.2200000000000001E-2</v>
      </c>
      <c r="K28" s="17" t="s">
        <v>30</v>
      </c>
      <c r="L28" s="7">
        <f t="shared" ref="L28:L31" si="24">I28+J28</f>
        <v>5.9700000000000003E-2</v>
      </c>
      <c r="M28" s="9">
        <f t="shared" ref="M28:M31" si="25">L28</f>
        <v>5.9700000000000003E-2</v>
      </c>
      <c r="N28" s="10">
        <v>0</v>
      </c>
      <c r="O28" s="1">
        <f t="shared" si="22"/>
        <v>5839216.1400000006</v>
      </c>
      <c r="P28" s="19">
        <f t="shared" si="23"/>
        <v>0</v>
      </c>
      <c r="Q28" s="9">
        <f t="shared" ref="Q28:Q36" si="26">ROUND(YIELD(F28,G28,M28,(D28-N28-O28-P28)/D28*100,100,2,0),5)</f>
        <v>6.0400000000000002E-2</v>
      </c>
      <c r="R28" s="12">
        <f t="shared" ref="R28:R41" si="27">E28*Q28</f>
        <v>36240000</v>
      </c>
      <c r="T28" s="13">
        <v>8.7500000000000008E-3</v>
      </c>
      <c r="V28" s="32"/>
    </row>
    <row r="29" spans="1:22">
      <c r="A29" s="5">
        <f t="shared" ref="A29:A41" si="28">A28+1</f>
        <v>3</v>
      </c>
      <c r="B29" s="5"/>
      <c r="C29" s="1" t="s">
        <v>27</v>
      </c>
      <c r="D29" s="12">
        <v>600000000</v>
      </c>
      <c r="E29" s="12">
        <f>D29</f>
        <v>600000000</v>
      </c>
      <c r="F29" s="2">
        <f>DATE(2007,10,3)</f>
        <v>39358</v>
      </c>
      <c r="G29" s="2">
        <f>DATE(2037,10,15)</f>
        <v>50328</v>
      </c>
      <c r="H29" s="3">
        <f t="shared" si="20"/>
        <v>30.033333333333335</v>
      </c>
      <c r="I29" s="18">
        <f t="shared" si="21"/>
        <v>4.8590000000000001E-2</v>
      </c>
      <c r="J29" s="11">
        <v>1.7000000000000001E-2</v>
      </c>
      <c r="K29" s="17" t="s">
        <v>31</v>
      </c>
      <c r="L29" s="7">
        <f t="shared" si="24"/>
        <v>6.5590000000000009E-2</v>
      </c>
      <c r="M29" s="9">
        <f t="shared" si="25"/>
        <v>6.5590000000000009E-2</v>
      </c>
      <c r="N29" s="10">
        <v>0</v>
      </c>
      <c r="O29" s="1">
        <f t="shared" si="22"/>
        <v>5727281.0300000012</v>
      </c>
      <c r="P29" s="19">
        <f t="shared" si="23"/>
        <v>0</v>
      </c>
      <c r="Q29" s="9">
        <f t="shared" si="26"/>
        <v>6.6320000000000004E-2</v>
      </c>
      <c r="R29" s="12">
        <f t="shared" si="27"/>
        <v>39792000</v>
      </c>
      <c r="T29" s="13">
        <v>8.7500000000000008E-3</v>
      </c>
      <c r="V29" s="32"/>
    </row>
    <row r="30" spans="1:22">
      <c r="A30" s="5">
        <f t="shared" si="28"/>
        <v>4</v>
      </c>
      <c r="B30" s="5"/>
      <c r="C30" s="1" t="s">
        <v>28</v>
      </c>
      <c r="D30" s="12">
        <v>300000000</v>
      </c>
      <c r="E30" s="12">
        <f>D30</f>
        <v>300000000</v>
      </c>
      <c r="F30" s="2">
        <f>DATE(2008,7,17)</f>
        <v>39646</v>
      </c>
      <c r="G30" s="2">
        <f>DATE(2038,7,15)</f>
        <v>50601</v>
      </c>
      <c r="H30" s="3">
        <f t="shared" si="20"/>
        <v>29.994444444444444</v>
      </c>
      <c r="I30" s="18">
        <f t="shared" si="21"/>
        <v>4.4720000000000003E-2</v>
      </c>
      <c r="J30" s="11">
        <v>2.8000000000000001E-2</v>
      </c>
      <c r="K30" s="17" t="s">
        <v>32</v>
      </c>
      <c r="L30" s="7">
        <f t="shared" si="24"/>
        <v>7.2720000000000007E-2</v>
      </c>
      <c r="M30" s="9">
        <f t="shared" si="25"/>
        <v>7.2720000000000007E-2</v>
      </c>
      <c r="N30" s="10">
        <v>0</v>
      </c>
      <c r="O30" s="1">
        <f t="shared" si="22"/>
        <v>2815332.5400000005</v>
      </c>
      <c r="P30" s="19">
        <f t="shared" si="23"/>
        <v>0</v>
      </c>
      <c r="Q30" s="9">
        <f t="shared" si="26"/>
        <v>7.3499999999999996E-2</v>
      </c>
      <c r="R30" s="12">
        <f t="shared" si="27"/>
        <v>22050000</v>
      </c>
      <c r="T30" s="13">
        <v>8.7500000000000008E-3</v>
      </c>
      <c r="V30" s="32"/>
    </row>
    <row r="31" spans="1:22">
      <c r="A31" s="5">
        <f t="shared" si="28"/>
        <v>5</v>
      </c>
      <c r="B31" s="23"/>
      <c r="C31" s="1" t="s">
        <v>29</v>
      </c>
      <c r="D31" s="12">
        <v>650000000</v>
      </c>
      <c r="E31" s="12">
        <f>D31</f>
        <v>650000000</v>
      </c>
      <c r="F31" s="2">
        <f>DATE(2009,1,8)</f>
        <v>39821</v>
      </c>
      <c r="G31" s="2">
        <f>DATE(2039,1,15)</f>
        <v>50785</v>
      </c>
      <c r="H31" s="3">
        <f t="shared" si="20"/>
        <v>30.019444444444446</v>
      </c>
      <c r="I31" s="27">
        <f t="shared" si="21"/>
        <v>2.9690000000000001E-2</v>
      </c>
      <c r="J31" s="24">
        <v>4.6300000000000001E-2</v>
      </c>
      <c r="K31" s="28" t="s">
        <v>33</v>
      </c>
      <c r="L31" s="25">
        <f t="shared" si="24"/>
        <v>7.5990000000000002E-2</v>
      </c>
      <c r="M31" s="9">
        <f t="shared" si="25"/>
        <v>7.5990000000000002E-2</v>
      </c>
      <c r="N31" s="26">
        <v>0</v>
      </c>
      <c r="O31" s="1">
        <f t="shared" si="22"/>
        <v>6134686.8199999994</v>
      </c>
      <c r="P31" s="19">
        <f t="shared" si="23"/>
        <v>0</v>
      </c>
      <c r="Q31" s="9">
        <f t="shared" si="26"/>
        <v>7.6799999999999993E-2</v>
      </c>
      <c r="R31" s="12">
        <f t="shared" si="27"/>
        <v>49919999.999999993</v>
      </c>
      <c r="T31" s="75">
        <v>8.7500000000000008E-3</v>
      </c>
      <c r="V31" s="32"/>
    </row>
    <row r="32" spans="1:22">
      <c r="A32" s="5">
        <f t="shared" si="28"/>
        <v>6</v>
      </c>
      <c r="B32" s="23"/>
      <c r="C32" s="1" t="s">
        <v>59</v>
      </c>
      <c r="D32" s="12">
        <v>400000000</v>
      </c>
      <c r="E32" s="12">
        <f t="shared" ref="E32:E37" si="29">D32</f>
        <v>400000000</v>
      </c>
      <c r="F32" s="2">
        <f>DATE(2011,5,12)</f>
        <v>40675</v>
      </c>
      <c r="G32" s="2">
        <f>DATE(2021,6,15)</f>
        <v>44362</v>
      </c>
      <c r="H32" s="3">
        <f t="shared" si="20"/>
        <v>10.091666666666667</v>
      </c>
      <c r="I32" s="27">
        <f t="shared" si="21"/>
        <v>3.1419999999999997E-2</v>
      </c>
      <c r="J32" s="24">
        <v>1.7000000000000001E-2</v>
      </c>
      <c r="K32" s="17" t="s">
        <v>49</v>
      </c>
      <c r="L32" s="25">
        <f t="shared" ref="L32:L36" si="30">I32+J32</f>
        <v>4.8419999999999998E-2</v>
      </c>
      <c r="M32" s="9">
        <f t="shared" ref="M32:M36" si="31">L32</f>
        <v>4.8419999999999998E-2</v>
      </c>
      <c r="N32" s="26">
        <v>0</v>
      </c>
      <c r="O32" s="1">
        <f t="shared" si="22"/>
        <v>3007138.2199999997</v>
      </c>
      <c r="P32" s="19">
        <f t="shared" si="23"/>
        <v>0</v>
      </c>
      <c r="Q32" s="9">
        <f t="shared" si="26"/>
        <v>4.9369999999999997E-2</v>
      </c>
      <c r="R32" s="12">
        <f t="shared" si="27"/>
        <v>19748000</v>
      </c>
      <c r="T32" s="13">
        <v>6.4999999999999997E-3</v>
      </c>
      <c r="V32" s="32"/>
    </row>
    <row r="33" spans="1:22">
      <c r="A33" s="5">
        <f t="shared" si="28"/>
        <v>7</v>
      </c>
      <c r="B33" s="23"/>
      <c r="C33" s="1" t="s">
        <v>60</v>
      </c>
      <c r="D33" s="12">
        <v>350000000</v>
      </c>
      <c r="E33" s="12">
        <f t="shared" si="29"/>
        <v>350000000</v>
      </c>
      <c r="F33" s="2">
        <f>DATE(2012,1,6)</f>
        <v>40914</v>
      </c>
      <c r="G33" s="2">
        <f>DATE(2022,2,1)</f>
        <v>44593</v>
      </c>
      <c r="H33" s="3">
        <f t="shared" si="20"/>
        <v>10.069444444444445</v>
      </c>
      <c r="I33" s="27">
        <f t="shared" si="21"/>
        <v>1.9599999999999999E-2</v>
      </c>
      <c r="J33" s="24">
        <v>1.7999999999999999E-2</v>
      </c>
      <c r="K33" s="28" t="s">
        <v>50</v>
      </c>
      <c r="L33" s="25">
        <f t="shared" si="30"/>
        <v>3.7599999999999995E-2</v>
      </c>
      <c r="M33" s="9">
        <f t="shared" si="31"/>
        <v>3.7599999999999995E-2</v>
      </c>
      <c r="N33" s="26">
        <v>0</v>
      </c>
      <c r="O33" s="1">
        <f t="shared" si="22"/>
        <v>2669229.4400000004</v>
      </c>
      <c r="P33" s="19">
        <f t="shared" si="23"/>
        <v>0</v>
      </c>
      <c r="Q33" s="9">
        <f t="shared" si="26"/>
        <v>3.8519999999999999E-2</v>
      </c>
      <c r="R33" s="12">
        <f t="shared" si="27"/>
        <v>13482000</v>
      </c>
      <c r="T33" s="13">
        <v>6.4999999999999997E-3</v>
      </c>
      <c r="V33" s="32"/>
    </row>
    <row r="34" spans="1:22">
      <c r="A34" s="5">
        <f t="shared" si="28"/>
        <v>8</v>
      </c>
      <c r="B34" s="23"/>
      <c r="C34" s="1" t="s">
        <v>61</v>
      </c>
      <c r="D34" s="12">
        <v>300000000</v>
      </c>
      <c r="E34" s="12">
        <f t="shared" si="29"/>
        <v>300000000</v>
      </c>
      <c r="F34" s="2">
        <f>DATE(2012,1,6)</f>
        <v>40914</v>
      </c>
      <c r="G34" s="2">
        <f>DATE(2042,2,1)</f>
        <v>51898</v>
      </c>
      <c r="H34" s="3">
        <f t="shared" si="20"/>
        <v>30.069444444444443</v>
      </c>
      <c r="I34" s="27">
        <f t="shared" si="21"/>
        <v>2.9690000000000001E-2</v>
      </c>
      <c r="J34" s="24">
        <v>1.55E-2</v>
      </c>
      <c r="K34" s="28" t="s">
        <v>51</v>
      </c>
      <c r="L34" s="25">
        <f t="shared" si="30"/>
        <v>4.5190000000000001E-2</v>
      </c>
      <c r="M34" s="9">
        <f t="shared" si="31"/>
        <v>4.5190000000000001E-2</v>
      </c>
      <c r="N34" s="26">
        <v>0</v>
      </c>
      <c r="O34" s="1">
        <f t="shared" si="22"/>
        <v>2962910.93</v>
      </c>
      <c r="P34" s="19">
        <f t="shared" si="23"/>
        <v>0</v>
      </c>
      <c r="Q34" s="9">
        <f t="shared" si="26"/>
        <v>4.58E-2</v>
      </c>
      <c r="R34" s="12">
        <f t="shared" si="27"/>
        <v>13740000</v>
      </c>
      <c r="T34" s="13">
        <v>8.7500000000000008E-3</v>
      </c>
      <c r="V34" s="32"/>
    </row>
    <row r="35" spans="1:22">
      <c r="A35" s="5">
        <f t="shared" si="28"/>
        <v>9</v>
      </c>
      <c r="B35" s="23"/>
      <c r="C35" s="1" t="s">
        <v>60</v>
      </c>
      <c r="D35" s="12">
        <v>100000000</v>
      </c>
      <c r="E35" s="12">
        <f t="shared" si="29"/>
        <v>100000000</v>
      </c>
      <c r="F35" s="2">
        <f>DATE(2012,3,6)</f>
        <v>40974</v>
      </c>
      <c r="G35" s="2">
        <f>DATE(2022,2,1)</f>
        <v>44593</v>
      </c>
      <c r="H35" s="3">
        <f t="shared" si="20"/>
        <v>9.9027777777777786</v>
      </c>
      <c r="I35" s="27">
        <f t="shared" si="21"/>
        <v>1.908E-2</v>
      </c>
      <c r="J35" s="24">
        <v>1.2800000000000001E-2</v>
      </c>
      <c r="K35" s="28" t="s">
        <v>52</v>
      </c>
      <c r="L35" s="25">
        <f t="shared" si="30"/>
        <v>3.1879999999999999E-2</v>
      </c>
      <c r="M35" s="9">
        <f t="shared" si="31"/>
        <v>3.1879999999999999E-2</v>
      </c>
      <c r="N35" s="26">
        <v>0</v>
      </c>
      <c r="O35" s="1">
        <f t="shared" si="22"/>
        <v>904249.01</v>
      </c>
      <c r="P35" s="19">
        <f t="shared" si="23"/>
        <v>4970792.79</v>
      </c>
      <c r="Q35" s="9">
        <f t="shared" si="26"/>
        <v>3.909E-2</v>
      </c>
      <c r="R35" s="12">
        <f t="shared" si="27"/>
        <v>3909000</v>
      </c>
      <c r="T35" s="13">
        <v>6.4999999999999997E-3</v>
      </c>
      <c r="V35" s="32"/>
    </row>
    <row r="36" spans="1:22">
      <c r="A36" s="5">
        <f t="shared" si="28"/>
        <v>10</v>
      </c>
      <c r="B36" s="23"/>
      <c r="C36" s="1" t="s">
        <v>62</v>
      </c>
      <c r="D36" s="12">
        <v>300000000</v>
      </c>
      <c r="E36" s="12">
        <f t="shared" si="29"/>
        <v>300000000</v>
      </c>
      <c r="F36" s="2">
        <f>DATE(2013,6,6)</f>
        <v>41431</v>
      </c>
      <c r="G36" s="2">
        <f>DATE(2023,6,1)</f>
        <v>45078</v>
      </c>
      <c r="H36" s="3">
        <f t="shared" si="20"/>
        <v>9.9861111111111107</v>
      </c>
      <c r="I36" s="27">
        <f t="shared" si="21"/>
        <v>2.1350000000000001E-2</v>
      </c>
      <c r="J36" s="24">
        <v>1.4999999999999999E-2</v>
      </c>
      <c r="K36" s="28" t="s">
        <v>53</v>
      </c>
      <c r="L36" s="25">
        <f t="shared" si="30"/>
        <v>3.635E-2</v>
      </c>
      <c r="M36" s="9">
        <f t="shared" si="31"/>
        <v>3.635E-2</v>
      </c>
      <c r="N36" s="26">
        <v>0</v>
      </c>
      <c r="O36" s="1">
        <f t="shared" si="22"/>
        <v>2459351.54</v>
      </c>
      <c r="P36" s="19">
        <f t="shared" si="23"/>
        <v>0</v>
      </c>
      <c r="Q36" s="9">
        <f t="shared" si="26"/>
        <v>3.7339999999999998E-2</v>
      </c>
      <c r="R36" s="12">
        <f t="shared" si="27"/>
        <v>11202000</v>
      </c>
      <c r="T36" s="13">
        <v>6.4999999999999997E-3</v>
      </c>
      <c r="V36" s="32"/>
    </row>
    <row r="37" spans="1:22">
      <c r="A37" s="5">
        <f t="shared" si="28"/>
        <v>11</v>
      </c>
      <c r="B37" s="23"/>
      <c r="C37" s="1" t="s">
        <v>66</v>
      </c>
      <c r="D37" s="12">
        <v>425000000</v>
      </c>
      <c r="E37" s="12">
        <f t="shared" si="29"/>
        <v>425000000</v>
      </c>
      <c r="F37" s="2">
        <f>DATE(2014,3,13)</f>
        <v>41711</v>
      </c>
      <c r="G37" s="2">
        <f>DATE(2024,4,1)</f>
        <v>45383</v>
      </c>
      <c r="H37" s="3">
        <f t="shared" ref="H37" si="32">YEARFRAC(F37,G37)</f>
        <v>10.050000000000001</v>
      </c>
      <c r="I37" s="27">
        <f t="shared" si="21"/>
        <v>2.777E-2</v>
      </c>
      <c r="J37" s="24">
        <v>1.0500000000000001E-2</v>
      </c>
      <c r="K37" s="28" t="s">
        <v>67</v>
      </c>
      <c r="L37" s="25">
        <f t="shared" ref="L37" si="33">I37+J37</f>
        <v>3.8269999999999998E-2</v>
      </c>
      <c r="M37" s="9">
        <f t="shared" ref="M37" si="34">L37</f>
        <v>3.8269999999999998E-2</v>
      </c>
      <c r="N37" s="26">
        <v>0</v>
      </c>
      <c r="O37" s="1">
        <f t="shared" si="22"/>
        <v>3472664.21</v>
      </c>
      <c r="P37" s="19">
        <f t="shared" si="23"/>
        <v>1943074.52</v>
      </c>
      <c r="Q37" s="9">
        <f t="shared" ref="Q37" si="35">ROUND(YIELD(F37,G37,M37,(D37-N37-O37-P37)/D37*100,100,2,0),5)</f>
        <v>3.9820000000000001E-2</v>
      </c>
      <c r="R37" s="12">
        <f t="shared" si="27"/>
        <v>16923500</v>
      </c>
      <c r="T37" s="13">
        <v>6.4999999999999997E-3</v>
      </c>
      <c r="V37" s="32"/>
    </row>
    <row r="38" spans="1:22">
      <c r="A38" s="5">
        <f t="shared" si="28"/>
        <v>12</v>
      </c>
      <c r="B38" s="23"/>
      <c r="C38" s="1" t="s">
        <v>114</v>
      </c>
      <c r="D38" s="12">
        <v>250000000</v>
      </c>
      <c r="E38" s="12">
        <f>D38</f>
        <v>250000000</v>
      </c>
      <c r="F38" s="74">
        <f>DATE(2015,6,19)</f>
        <v>42174</v>
      </c>
      <c r="G38" s="74">
        <f>DATE(2025,7,1)</f>
        <v>45839</v>
      </c>
      <c r="H38" s="3">
        <f t="shared" ref="H38:H41" si="36">YEARFRAC(F38,G38)</f>
        <v>10.033333333333333</v>
      </c>
      <c r="I38" s="27">
        <f t="shared" si="21"/>
        <v>2.315E-2</v>
      </c>
      <c r="J38" s="24">
        <v>1.15E-2</v>
      </c>
      <c r="K38" s="28" t="s">
        <v>115</v>
      </c>
      <c r="L38" s="25">
        <f t="shared" ref="L38:L39" si="37">I38+J38</f>
        <v>3.465E-2</v>
      </c>
      <c r="M38" s="9">
        <f t="shared" ref="M38:M39" si="38">L38</f>
        <v>3.465E-2</v>
      </c>
      <c r="N38" s="26">
        <v>0</v>
      </c>
      <c r="O38" s="1">
        <f t="shared" si="22"/>
        <v>2121421.02</v>
      </c>
      <c r="P38" s="19">
        <f t="shared" si="23"/>
        <v>0</v>
      </c>
      <c r="Q38" s="9">
        <f t="shared" ref="Q38:Q41" si="39">ROUND(YIELD(F38,G38,M38,(D38-N38-O38-P38)/D38*100,100,2,0),5)</f>
        <v>3.5659999999999997E-2</v>
      </c>
      <c r="R38" s="12">
        <f t="shared" si="27"/>
        <v>8915000</v>
      </c>
      <c r="T38" s="13">
        <v>6.4999999999999997E-3</v>
      </c>
      <c r="V38" s="32"/>
    </row>
    <row r="39" spans="1:22">
      <c r="A39" s="5">
        <f t="shared" si="28"/>
        <v>13</v>
      </c>
      <c r="B39" s="23"/>
      <c r="C39" s="1" t="s">
        <v>121</v>
      </c>
      <c r="D39" s="12">
        <v>600000000</v>
      </c>
      <c r="E39" s="12">
        <f>D39</f>
        <v>600000000</v>
      </c>
      <c r="F39" s="74">
        <f>DATE(2018,7,13)</f>
        <v>43294</v>
      </c>
      <c r="G39" s="74">
        <f>DATE(2049,1,15)</f>
        <v>54438</v>
      </c>
      <c r="H39" s="3">
        <f t="shared" si="36"/>
        <v>30.505555555555556</v>
      </c>
      <c r="I39" s="27">
        <f t="shared" si="21"/>
        <v>2.9680000000000002E-2</v>
      </c>
      <c r="J39" s="24">
        <v>1.2500000000000001E-2</v>
      </c>
      <c r="K39" s="28" t="s">
        <v>126</v>
      </c>
      <c r="L39" s="25">
        <f t="shared" si="37"/>
        <v>4.2180000000000002E-2</v>
      </c>
      <c r="M39" s="9">
        <f t="shared" si="38"/>
        <v>4.2180000000000002E-2</v>
      </c>
      <c r="N39" s="26">
        <v>0</v>
      </c>
      <c r="O39" s="1">
        <f t="shared" si="22"/>
        <v>6090084.5900000008</v>
      </c>
      <c r="P39" s="19">
        <f t="shared" si="23"/>
        <v>0</v>
      </c>
      <c r="Q39" s="9">
        <f t="shared" si="39"/>
        <v>4.2779999999999999E-2</v>
      </c>
      <c r="R39" s="12">
        <f t="shared" si="27"/>
        <v>25668000</v>
      </c>
      <c r="T39" s="13">
        <v>8.7500000000000008E-3</v>
      </c>
      <c r="V39" s="32"/>
    </row>
    <row r="40" spans="1:22">
      <c r="A40" s="5">
        <f t="shared" si="28"/>
        <v>14</v>
      </c>
      <c r="B40" s="23"/>
      <c r="C40" s="1" t="s">
        <v>123</v>
      </c>
      <c r="D40" s="12">
        <v>400000000</v>
      </c>
      <c r="E40" s="12">
        <f t="shared" ref="E40:E41" si="40">D40</f>
        <v>400000000</v>
      </c>
      <c r="F40" s="74">
        <f>DATE(2019,3,1)</f>
        <v>43525</v>
      </c>
      <c r="G40" s="74">
        <f>DATE(2029,6,15)</f>
        <v>47284</v>
      </c>
      <c r="H40" s="3">
        <f t="shared" si="36"/>
        <v>10.28888888888889</v>
      </c>
      <c r="I40" s="27">
        <f t="shared" si="21"/>
        <v>2.6720000000000001E-2</v>
      </c>
      <c r="J40" s="24">
        <v>1.23E-2</v>
      </c>
      <c r="K40" s="28" t="s">
        <v>127</v>
      </c>
      <c r="L40" s="25">
        <f t="shared" ref="L40:L41" si="41">I40+J40</f>
        <v>3.9019999999999999E-2</v>
      </c>
      <c r="M40" s="9">
        <f t="shared" ref="M40:M41" si="42">L40</f>
        <v>3.9019999999999999E-2</v>
      </c>
      <c r="N40" s="26">
        <v>0</v>
      </c>
      <c r="O40" s="1">
        <f t="shared" si="22"/>
        <v>3034051.12</v>
      </c>
      <c r="P40" s="19">
        <f t="shared" si="23"/>
        <v>0</v>
      </c>
      <c r="Q40" s="9">
        <f t="shared" si="39"/>
        <v>3.9919999999999997E-2</v>
      </c>
      <c r="R40" s="12">
        <f t="shared" si="27"/>
        <v>15967999.999999998</v>
      </c>
      <c r="T40" s="13">
        <v>6.4999999999999997E-3</v>
      </c>
      <c r="V40" s="32"/>
    </row>
    <row r="41" spans="1:22">
      <c r="A41" s="5">
        <f t="shared" si="28"/>
        <v>15</v>
      </c>
      <c r="B41" s="23"/>
      <c r="C41" s="1" t="s">
        <v>124</v>
      </c>
      <c r="D41" s="76">
        <v>600000000</v>
      </c>
      <c r="E41" s="12">
        <f t="shared" si="40"/>
        <v>600000000</v>
      </c>
      <c r="F41" s="74">
        <f>DATE(2019,3,1)</f>
        <v>43525</v>
      </c>
      <c r="G41" s="74">
        <f>DATE(2050,2,15)</f>
        <v>54834</v>
      </c>
      <c r="H41" s="3">
        <f t="shared" si="36"/>
        <v>30.955555555555556</v>
      </c>
      <c r="I41" s="27">
        <f t="shared" si="21"/>
        <v>3.0269999999999998E-2</v>
      </c>
      <c r="J41" s="24">
        <v>1.5800000000000002E-2</v>
      </c>
      <c r="K41" s="28" t="s">
        <v>128</v>
      </c>
      <c r="L41" s="25">
        <f t="shared" si="41"/>
        <v>4.607E-2</v>
      </c>
      <c r="M41" s="9">
        <f t="shared" si="42"/>
        <v>4.607E-2</v>
      </c>
      <c r="N41" s="26">
        <v>0</v>
      </c>
      <c r="O41" s="1">
        <f t="shared" si="22"/>
        <v>5898576.7000000011</v>
      </c>
      <c r="P41" s="19">
        <f t="shared" si="23"/>
        <v>0</v>
      </c>
      <c r="Q41" s="9">
        <f t="shared" si="39"/>
        <v>4.6670000000000003E-2</v>
      </c>
      <c r="R41" s="12">
        <f t="shared" si="27"/>
        <v>28002000.000000004</v>
      </c>
      <c r="T41" s="13">
        <v>8.7500000000000008E-3</v>
      </c>
      <c r="V41" s="32"/>
    </row>
    <row r="42" spans="1:22">
      <c r="A42" s="5"/>
      <c r="D42" s="6">
        <f>SUM(D27:D41)</f>
        <v>6225000000</v>
      </c>
      <c r="E42" s="6">
        <f>SUM(E27:E41)</f>
        <v>6225000000</v>
      </c>
      <c r="F42" s="74"/>
      <c r="G42" s="74"/>
      <c r="H42" s="3"/>
      <c r="I42" s="27"/>
      <c r="J42" s="24"/>
      <c r="K42" s="28"/>
      <c r="L42" s="25"/>
      <c r="M42" s="9">
        <f>SUMPRODUCT(M27:M41,D27:D41)/D42</f>
        <v>5.2031445783132527E-2</v>
      </c>
      <c r="N42" s="8">
        <f>SUM(N27:N41)</f>
        <v>0</v>
      </c>
      <c r="O42" s="8">
        <f>SUM(O27:O41)</f>
        <v>56656574.120000012</v>
      </c>
      <c r="P42" s="8">
        <f>SUM(P27:P41)</f>
        <v>6913867.3100000005</v>
      </c>
      <c r="Q42" s="13">
        <f>SUMPRODUCT(E27:E41,Q27:Q41)/E42</f>
        <v>5.2962008032128513E-2</v>
      </c>
      <c r="R42" s="12">
        <f>SUM(R27:R41)</f>
        <v>329688500</v>
      </c>
    </row>
    <row r="43" spans="1:22">
      <c r="D43" s="6"/>
      <c r="E43" s="6"/>
      <c r="N43" s="8"/>
      <c r="O43" s="8"/>
      <c r="P43" s="8"/>
      <c r="Q43" s="13"/>
      <c r="R43" s="12"/>
    </row>
    <row r="44" spans="1:22">
      <c r="C44" s="20" t="s">
        <v>34</v>
      </c>
    </row>
    <row r="45" spans="1:22">
      <c r="C45" s="20" t="s">
        <v>35</v>
      </c>
    </row>
    <row r="46" spans="1:22">
      <c r="C46" s="20" t="s">
        <v>37</v>
      </c>
      <c r="M46" s="34"/>
      <c r="O46" s="8"/>
    </row>
    <row r="47" spans="1:22">
      <c r="C47" s="20" t="s">
        <v>39</v>
      </c>
    </row>
    <row r="48" spans="1:22">
      <c r="C48" s="20" t="s">
        <v>38</v>
      </c>
    </row>
    <row r="49" spans="3:15">
      <c r="C49" s="20" t="s">
        <v>40</v>
      </c>
    </row>
    <row r="50" spans="3:15">
      <c r="C50" s="20" t="s">
        <v>41</v>
      </c>
    </row>
    <row r="51" spans="3:15">
      <c r="C51" s="20" t="s">
        <v>54</v>
      </c>
    </row>
    <row r="52" spans="3:15">
      <c r="C52" s="20" t="s">
        <v>55</v>
      </c>
    </row>
    <row r="53" spans="3:15">
      <c r="C53" s="20" t="s">
        <v>56</v>
      </c>
    </row>
    <row r="54" spans="3:15">
      <c r="C54" s="20" t="s">
        <v>57</v>
      </c>
    </row>
    <row r="55" spans="3:15">
      <c r="C55" s="20" t="s">
        <v>58</v>
      </c>
    </row>
    <row r="56" spans="3:15">
      <c r="C56" s="20" t="s">
        <v>68</v>
      </c>
    </row>
    <row r="57" spans="3:15">
      <c r="C57" s="20" t="s">
        <v>116</v>
      </c>
    </row>
    <row r="58" spans="3:15">
      <c r="C58" s="20" t="s">
        <v>134</v>
      </c>
    </row>
    <row r="59" spans="3:15">
      <c r="C59" s="20" t="s">
        <v>135</v>
      </c>
    </row>
    <row r="60" spans="3:15">
      <c r="C60" s="20" t="s">
        <v>136</v>
      </c>
    </row>
    <row r="61" spans="3:15">
      <c r="O61" s="29"/>
    </row>
    <row r="62" spans="3:15">
      <c r="O62" s="29"/>
    </row>
  </sheetData>
  <pageMargins left="0.7" right="0.7" top="0.75" bottom="0.75" header="0.3" footer="0.3"/>
  <pageSetup scale="67" orientation="landscape" r:id="rId1"/>
  <ignoredErrors>
    <ignoredError sqref="G14 G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72C9CA-7DE5-4EC4-B8A2-639A7528EAFE}"/>
</file>

<file path=customXml/itemProps2.xml><?xml version="1.0" encoding="utf-8"?>
<ds:datastoreItem xmlns:ds="http://schemas.openxmlformats.org/officeDocument/2006/customXml" ds:itemID="{0FFEB1C6-97D6-4181-867D-52787B66E296}"/>
</file>

<file path=customXml/itemProps3.xml><?xml version="1.0" encoding="utf-8"?>
<ds:datastoreItem xmlns:ds="http://schemas.openxmlformats.org/officeDocument/2006/customXml" ds:itemID="{98EA5055-FE2E-486E-AA27-5AB867469ABB}"/>
</file>

<file path=customXml/itemProps4.xml><?xml version="1.0" encoding="utf-8"?>
<ds:datastoreItem xmlns:ds="http://schemas.openxmlformats.org/officeDocument/2006/customXml" ds:itemID="{5FB353A3-B927-4DA4-83AF-C9B3462827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</vt:lpstr>
      <vt:lpstr>Support</vt:lpstr>
      <vt:lpstr>PAGE2</vt:lpstr>
      <vt:lpstr>Sum!Print_Area</vt:lpstr>
      <vt:lpstr>Support!Print_Area</vt:lpstr>
      <vt:lpstr>Sum!Print_Titles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2019-12-12T20:04:25Z</dcterms:created>
  <dcterms:modified xsi:type="dcterms:W3CDTF">2019-12-12T20:04:33Z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