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Override PartName="/xl/drawings/drawing1.xml" ContentType="application/vnd.openxmlformats-officedocument.drawing+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75" yWindow="720" windowWidth="7500" windowHeight="8775" tabRatio="986" activeTab="0"/>
  </bookViews>
  <sheets>
    <sheet name="Electric Operations - IS" sheetId="1" r:id="rId1"/>
    <sheet name="Electric Plant" sheetId="2" r:id="rId2"/>
    <sheet name="Data" sheetId="3" r:id="rId3"/>
    <sheet name="E-ALL" sheetId="4" r:id="rId4"/>
    <sheet name="E-555" sheetId="5" r:id="rId5"/>
    <sheet name="E-557" sheetId="6" r:id="rId6"/>
    <sheet name="E-903" sheetId="7" r:id="rId7"/>
    <sheet name="E-908" sheetId="8" r:id="rId8"/>
    <sheet name="E-INT" sheetId="9" r:id="rId9"/>
    <sheet name="E-FIT" sheetId="10" r:id="rId10"/>
    <sheet name="E-SCM" sheetId="11" r:id="rId11"/>
    <sheet name="E-DTE" sheetId="12" r:id="rId12"/>
    <sheet name="E-OTX" sheetId="13" r:id="rId13"/>
    <sheet name="E-APL" sheetId="14" r:id="rId14"/>
    <sheet name="C-AMT" sheetId="15" r:id="rId15"/>
    <sheet name="C-DEP" sheetId="16" r:id="rId16"/>
    <sheet name="C-GPL" sheetId="17" r:id="rId17"/>
    <sheet name="C-ADP" sheetId="18" r:id="rId18"/>
    <sheet name="E-ADP" sheetId="19" r:id="rId19"/>
    <sheet name="C-IPL" sheetId="20" r:id="rId20"/>
    <sheet name="C-AAM" sheetId="21" r:id="rId21"/>
    <sheet name="E-CAM" sheetId="22" r:id="rId22"/>
    <sheet name="C-DTX" sheetId="23" r:id="rId23"/>
    <sheet name="E-ROR" sheetId="24" r:id="rId24"/>
    <sheet name="ProdTaxCredit" sheetId="25" r:id="rId25"/>
    <sheet name="SFAS143AccDep" sheetId="26" r:id="rId26"/>
    <sheet name="E-CHK" sheetId="27" r:id="rId27"/>
    <sheet name="SpecialAdjustments" sheetId="28" r:id="rId28"/>
  </sheets>
  <definedNames>
    <definedName name="ALLOCATION_OF_CUSTOMER_ASSISTANCE">#REF!</definedName>
    <definedName name="Allocators">'E-ALL'!$A$6:$I$151</definedName>
    <definedName name="Average_of_Monthly_Averages_Basis">#REF!</definedName>
    <definedName name="btime">'Data'!#REF!</definedName>
    <definedName name="C_AAM">'C-AAM'!$A$2:$I$32</definedName>
    <definedName name="C_AAM_Area">'C-AAM'!$F$7:$I$33</definedName>
    <definedName name="C_AAM_Titles">#REF!,#REF!</definedName>
    <definedName name="C_ADP">'C-ADP'!$A$2:$A$40</definedName>
    <definedName name="C_ADP_Area">'C-ADP'!$F$7:$I$38</definedName>
    <definedName name="C_ADP_Titles">#REF!,#REF!</definedName>
    <definedName name="C_DTX">'C-DTX'!$A$2:$I$22</definedName>
    <definedName name="C_DTX_Area">'C-DTX'!$F$7:$I$22</definedName>
    <definedName name="C_DTX_Titles">#REF!,#REF!</definedName>
    <definedName name="C_GPL">'C-GPL'!$A$2:$A$26</definedName>
    <definedName name="C_GPL_Area">'C-GPL'!$F$6:$P$132</definedName>
    <definedName name="C_GPL_Titles">#REF!,#REF!</definedName>
    <definedName name="C_IPL">'C-IPL'!$A$2:$A$50</definedName>
    <definedName name="C_IPL_Area">'C-IPL'!$F$6:$Q$50</definedName>
    <definedName name="C_IPL_Titles">#REF!,#REF!</definedName>
    <definedName name="copy_area">'Data'!$H$40:$L$40</definedName>
    <definedName name="crit_cell">'Data'!$A$40</definedName>
    <definedName name="CRITERIA">'Data'!$A$39:$F$40</definedName>
    <definedName name="ctime">'Data'!#REF!</definedName>
    <definedName name="data">'Data'!$H$46:$L$579</definedName>
    <definedName name="Down_vars">'Data'!$E$1</definedName>
    <definedName name="downloaded">#REF!</definedName>
    <definedName name="Downloaded_Data">#REF!</definedName>
    <definedName name="downloaded2">#REF!</definedName>
    <definedName name="E_454">#REF!</definedName>
    <definedName name="E_555">'E-555'!$A$1:$N$19</definedName>
    <definedName name="E_557">'E-557'!$A$1:$O$29</definedName>
    <definedName name="E_903">'E-903'!$A$2:$A$19</definedName>
    <definedName name="E_903_Area">'E-903'!$F$7:$N$19</definedName>
    <definedName name="E_903_Titles">#REF!,#REF!</definedName>
    <definedName name="E_908">'E-908'!$A$2:$A$24</definedName>
    <definedName name="E_908_Area">'E-908'!$F$7:$N$23</definedName>
    <definedName name="E_908_Titles">#REF!,#REF!</definedName>
    <definedName name="E_928">#REF!</definedName>
    <definedName name="E_928_Area">#REF!</definedName>
    <definedName name="E_928_Titles">#REF!,#REF!</definedName>
    <definedName name="E_ADP">'E-ADP'!$A$2:$A$27</definedName>
    <definedName name="E_ADP_Area">'E-ADP'!$F$7:$N$58</definedName>
    <definedName name="E_ADP_Titles">#REF!,#REF!</definedName>
    <definedName name="E_ALL">'E-ALL'!$A$2:$A$34</definedName>
    <definedName name="E_ALL_Area">'E-ALL'!$F$6:$I$151</definedName>
    <definedName name="E_ALL_Titles">#REF!,#REF!</definedName>
    <definedName name="E_APL">'E-APL'!$A$2:$N$35</definedName>
    <definedName name="E_APL_Area">'E-APL'!$F$6:$N$43</definedName>
    <definedName name="E_APL_Titles">#REF!,#REF!</definedName>
    <definedName name="E_CAM">'E-CAM'!$A$2:$A$23</definedName>
    <definedName name="E_CAM_Area">'E-CAM'!$F$7:$N$25</definedName>
    <definedName name="E_CAM_Titles">#REF!,#REF!</definedName>
    <definedName name="E_CHK">'E-CHK'!$A$2:$B$170</definedName>
    <definedName name="E_CHK_Area">'E-CHK'!$A$7:$K$169</definedName>
    <definedName name="E_CHK_Titles">#REF!</definedName>
    <definedName name="E_DTE">'E-DTE'!$A$2:$A$24</definedName>
    <definedName name="E_DTE_Area">'E-DTE'!$F$6:$I$24</definedName>
    <definedName name="E_DTE_Titles">#REF!,#REF!</definedName>
    <definedName name="E_FIT">'E-FIT'!$A$2:$A$28</definedName>
    <definedName name="E_FIT_Area">'E-FIT'!$F$6:$I$33</definedName>
    <definedName name="E_FIT_OM">#REF!</definedName>
    <definedName name="E_FIT_Titles">#REF!,#REF!</definedName>
    <definedName name="E_INDEX_Area">'Data'!$A$15:$E$34</definedName>
    <definedName name="E_INDEX_Titles">#REF!</definedName>
    <definedName name="E_INT">'E-INT'!$A$2:$A$28</definedName>
    <definedName name="E_INT_Area">'E-INT'!$E$6:$G$28</definedName>
    <definedName name="E_OPS">'Electric Operations - IS'!$A$2:$A$33</definedName>
    <definedName name="E_OPS_Area">'Electric Operations - IS'!$F$7:$N$209</definedName>
    <definedName name="E_OPS_OM">#REF!</definedName>
    <definedName name="E_OPS_Titles">#REF!,#REF!</definedName>
    <definedName name="E_OTX">'E-OTX'!$A$2:$A$26</definedName>
    <definedName name="E_OTX_Area">'E-OTX'!$F$6:$N$30</definedName>
    <definedName name="E_OTX_Titles">#REF!,#REF!</definedName>
    <definedName name="E_PLT">'Electric Plant'!$A$2:$A$66</definedName>
    <definedName name="E_PLT_Area">'Electric Plant'!$F$6:$N$118</definedName>
    <definedName name="E_PLT_Titles">#REF!,#REF!</definedName>
    <definedName name="E_ROR">'E-ROR'!$A$2:$A$16</definedName>
    <definedName name="E_ROR_Area">'E-ROR'!$F$6:$H$16</definedName>
    <definedName name="E_ROR_OM">#REF!</definedName>
    <definedName name="E_ROR_Titles">#REF!,#REF!</definedName>
    <definedName name="E_SCM">'E-SCM'!$A$2:$N$110</definedName>
    <definedName name="E_SCM_Area">'E-SCM'!$F$7:$N$110</definedName>
    <definedName name="E_SCM_Titles">#REF!,#REF!</definedName>
    <definedName name="Electric_Data_Matrix">'Data'!$A$37</definedName>
    <definedName name="EOPS">'Electric Operations - IS'!$A$2:$A$24</definedName>
    <definedName name="etime">'Data'!#REF!</definedName>
    <definedName name="EXPENSE__ACCOUNT_0908">#REF!</definedName>
    <definedName name="extract_area">'Data'!$H$39:$L$40</definedName>
    <definedName name="For_Twelve_Months_Ended_October_31__1993">#REF!</definedName>
    <definedName name="INDEX">'Data'!$A$9:$A$35</definedName>
    <definedName name="INDEX_Area">'Data'!$A$15:$E$34</definedName>
    <definedName name="INDEX_Titles">#REF!</definedName>
    <definedName name="marker">'Data'!$A$577</definedName>
    <definedName name="months">'Data'!$H$2</definedName>
    <definedName name="_xlnm.Print_Area" localSheetId="17">'C-ADP'!$A$1:$I$40</definedName>
    <definedName name="_xlnm.Print_Area" localSheetId="16">'C-GPL'!$A$1:$P$132</definedName>
    <definedName name="_xlnm.Print_Area" localSheetId="4">'E-555'!$A$1:$N$20</definedName>
    <definedName name="_xlnm.Print_Area" localSheetId="18">'E-ADP'!$A:$IV</definedName>
    <definedName name="_xlnm.Print_Area" localSheetId="3">'E-ALL'!$A$1:$I$150</definedName>
    <definedName name="_xlnm.Print_Area" localSheetId="26">'E-CHK'!$A$1:$K$183</definedName>
    <definedName name="_xlnm.Print_Area" localSheetId="9">'E-FIT'!$A$1:$I$34</definedName>
    <definedName name="_xlnm.Print_Area" localSheetId="12">'E-OTX'!$A$1:$N$30</definedName>
    <definedName name="_xlnm.Print_Area" localSheetId="10">'E-SCM'!$A$1:$N$110</definedName>
    <definedName name="_xlnm.Print_Titles" localSheetId="16">'C-GPL'!$A:$E,'C-GPL'!$1:$5</definedName>
    <definedName name="_xlnm.Print_Titles" localSheetId="19">'C-IPL'!$A:$E</definedName>
    <definedName name="_xlnm.Print_Titles" localSheetId="3">'E-ALL'!$A:$E,'E-ALL'!$1:$5</definedName>
    <definedName name="_xlnm.Print_Titles" localSheetId="26">'E-CHK'!$1:$6</definedName>
    <definedName name="_xlnm.Print_Titles" localSheetId="0">'Electric Operations - IS'!$A:$E,'Electric Operations - IS'!$1:$5</definedName>
    <definedName name="_xlnm.Print_Titles" localSheetId="1">'Electric Plant'!$1:$5</definedName>
    <definedName name="_xlnm.Print_Titles" localSheetId="10">'E-SCM'!$1:$5</definedName>
    <definedName name="rbcalc">'Data'!$H$3</definedName>
    <definedName name="rbcalc_heading">'Data'!$H$5</definedName>
    <definedName name="Ref_Basis">#REF!</definedName>
    <definedName name="start">'Data'!$A$44</definedName>
    <definedName name="tp_heading">'Data'!$H$4</definedName>
  </definedNames>
  <calcPr fullCalcOnLoad="1" fullPrecision="0"/>
</workbook>
</file>

<file path=xl/comments1.xml><?xml version="1.0" encoding="utf-8"?>
<comments xmlns="http://schemas.openxmlformats.org/spreadsheetml/2006/main">
  <authors>
    <author>Avista Corp Employee</author>
    <author>Craig Bertholf</author>
  </authors>
  <commentList>
    <comment ref="H24" authorId="0">
      <text>
        <r>
          <rPr>
            <b/>
            <sz val="8"/>
            <rFont val="Tahoma"/>
            <family val="0"/>
          </rPr>
          <t>4/21/03 Talked to Don and this account is not included in the calculation of Commission Fees</t>
        </r>
        <r>
          <rPr>
            <sz val="8"/>
            <rFont val="Tahoma"/>
            <family val="0"/>
          </rPr>
          <t xml:space="preserve">
</t>
        </r>
      </text>
    </comment>
    <comment ref="H70" authorId="0">
      <text>
        <r>
          <rPr>
            <b/>
            <sz val="8"/>
            <rFont val="Tahoma"/>
            <family val="2"/>
          </rPr>
          <t>Rathdrum lease payment charged to 550.  Paul Kimball runs an audit voucher thru to pay the interest.  Rick didn't know when principle payments would start (5/12/03)</t>
        </r>
      </text>
    </comment>
    <comment ref="I51" authorId="1">
      <text>
        <r>
          <rPr>
            <b/>
            <sz val="8"/>
            <rFont val="Tahoma"/>
            <family val="0"/>
          </rPr>
          <t>Craig Bertholf:</t>
        </r>
        <r>
          <rPr>
            <sz val="8"/>
            <rFont val="Tahoma"/>
            <family val="0"/>
          </rPr>
          <t xml:space="preserve">
3/8/06 The directly assigned piece is for hydro re-licensing</t>
        </r>
      </text>
    </comment>
    <comment ref="F51" authorId="1">
      <text>
        <r>
          <rPr>
            <b/>
            <sz val="8"/>
            <rFont val="Tahoma"/>
            <family val="0"/>
          </rPr>
          <t>Craig Bertholf:</t>
        </r>
        <r>
          <rPr>
            <sz val="8"/>
            <rFont val="Tahoma"/>
            <family val="0"/>
          </rPr>
          <t xml:space="preserve">
3/8/06 The directly assigned piece is for hydro re-licensing</t>
        </r>
      </text>
    </comment>
  </commentList>
</comments>
</file>

<file path=xl/comments11.xml><?xml version="1.0" encoding="utf-8"?>
<comments xmlns="http://schemas.openxmlformats.org/spreadsheetml/2006/main">
  <authors>
    <author>rzs589</author>
    <author>Craig Bertholf</author>
  </authors>
  <commentList>
    <comment ref="C36" authorId="0">
      <text>
        <r>
          <rPr>
            <sz val="8"/>
            <rFont val="Tahoma"/>
            <family val="0"/>
          </rPr>
          <t xml:space="preserve">Write-off recorded 9/04 as the results of the Idaho General Rate Case
</t>
        </r>
      </text>
    </comment>
    <comment ref="C93" authorId="0">
      <text>
        <r>
          <rPr>
            <b/>
            <sz val="8"/>
            <rFont val="Tahoma"/>
            <family val="0"/>
          </rPr>
          <t>4/18/06 Talked to Tara, she said that this should be directly assigned to Idaho instead of being allocated so made the change</t>
        </r>
        <r>
          <rPr>
            <sz val="8"/>
            <rFont val="Tahoma"/>
            <family val="0"/>
          </rPr>
          <t xml:space="preserve">
</t>
        </r>
      </text>
    </comment>
    <comment ref="H40" authorId="1">
      <text>
        <r>
          <rPr>
            <b/>
            <sz val="8"/>
            <rFont val="Tahoma"/>
            <family val="0"/>
          </rPr>
          <t>Craig Bertholf:</t>
        </r>
        <r>
          <rPr>
            <sz val="8"/>
            <rFont val="Tahoma"/>
            <family val="0"/>
          </rPr>
          <t xml:space="preserve">
Difference between this and Book Depreciation on Check page is Account 406</t>
        </r>
      </text>
    </comment>
  </commentList>
</comments>
</file>

<file path=xl/comments14.xml><?xml version="1.0" encoding="utf-8"?>
<comments xmlns="http://schemas.openxmlformats.org/spreadsheetml/2006/main">
  <authors>
    <author>A satisfied Microsoft Office user</author>
    <author>rzs589</author>
  </authors>
  <commentList>
    <comment ref="A22" authorId="0">
      <text>
        <r>
          <rPr>
            <sz val="9"/>
            <rFont val="Tahoma"/>
            <family val="0"/>
          </rPr>
          <t>Acct 0108.02  System amount is from input matrix.  WA and ID amounts are hard coded, and do not change.</t>
        </r>
      </text>
    </comment>
    <comment ref="B10" authorId="1">
      <text>
        <r>
          <rPr>
            <b/>
            <sz val="8"/>
            <rFont val="Tahoma"/>
            <family val="0"/>
          </rPr>
          <t>2/6/04 Account 182.31 is fully offset by 283.17</t>
        </r>
        <r>
          <rPr>
            <sz val="8"/>
            <rFont val="Tahoma"/>
            <family val="0"/>
          </rPr>
          <t xml:space="preserve">
</t>
        </r>
      </text>
    </comment>
    <comment ref="B15" authorId="1">
      <text>
        <r>
          <rPr>
            <sz val="8"/>
            <rFont val="Tahoma"/>
            <family val="0"/>
          </rPr>
          <t xml:space="preserve">Write-off recorded 9/04 as the results of the Idaho General Rate Case
</t>
        </r>
      </text>
    </comment>
    <comment ref="B23" authorId="1">
      <text>
        <r>
          <rPr>
            <sz val="8"/>
            <rFont val="Tahoma"/>
            <family val="0"/>
          </rPr>
          <t xml:space="preserve">Write-off recorded 9/04 as the results of the Idaho General Rate Case
</t>
        </r>
      </text>
    </comment>
    <comment ref="B24" authorId="1">
      <text>
        <r>
          <rPr>
            <sz val="8"/>
            <rFont val="Tahoma"/>
            <family val="0"/>
          </rPr>
          <t xml:space="preserve">Write-off recorded 9/04 as the results of the Idaho General Rate Case
</t>
        </r>
      </text>
    </comment>
  </commentList>
</comments>
</file>

<file path=xl/comments27.xml><?xml version="1.0" encoding="utf-8"?>
<comments xmlns="http://schemas.openxmlformats.org/spreadsheetml/2006/main">
  <authors>
    <author>rzs589</author>
  </authors>
  <commentList>
    <comment ref="F113" authorId="0">
      <text>
        <r>
          <rPr>
            <b/>
            <sz val="10"/>
            <rFont val="Tahoma"/>
            <family val="2"/>
          </rPr>
          <t xml:space="preserve">Detail below in hidden rows
</t>
        </r>
      </text>
    </comment>
  </commentList>
</comments>
</file>

<file path=xl/comments3.xml><?xml version="1.0" encoding="utf-8"?>
<comments xmlns="http://schemas.openxmlformats.org/spreadsheetml/2006/main">
  <authors>
    <author>Craig Bertholf</author>
  </authors>
  <commentList>
    <comment ref="D275" authorId="0">
      <text>
        <r>
          <rPr>
            <b/>
            <sz val="8"/>
            <rFont val="Tahoma"/>
            <family val="0"/>
          </rPr>
          <t>Craig Bertholf:</t>
        </r>
        <r>
          <rPr>
            <sz val="8"/>
            <rFont val="Tahoma"/>
            <family val="0"/>
          </rPr>
          <t xml:space="preserve">
9/19/06 Talked to Liz and Don, this is amortization of the Grid West RTO deposit.  Decided to combine it with account 560000 because that's where the money would have been charged if it would have been expensed at the time.  </t>
        </r>
      </text>
    </comment>
  </commentList>
</comments>
</file>

<file path=xl/comments4.xml><?xml version="1.0" encoding="utf-8"?>
<comments xmlns="http://schemas.openxmlformats.org/spreadsheetml/2006/main">
  <authors>
    <author>Craig Bertholf</author>
  </authors>
  <commentList>
    <comment ref="E135" authorId="0">
      <text>
        <r>
          <rPr>
            <b/>
            <sz val="8"/>
            <rFont val="Tahoma"/>
            <family val="0"/>
          </rPr>
          <t>Craig Bertholf:</t>
        </r>
        <r>
          <rPr>
            <sz val="8"/>
            <rFont val="Tahoma"/>
            <family val="0"/>
          </rPr>
          <t xml:space="preserve">
12/31/06 Changed Report E-OTX so this allocation factor no longer needed, however, Tara does need it for her Cost of Service model so continue providing the information.</t>
        </r>
      </text>
    </comment>
  </commentList>
</comments>
</file>

<file path=xl/sharedStrings.xml><?xml version="1.0" encoding="utf-8"?>
<sst xmlns="http://schemas.openxmlformats.org/spreadsheetml/2006/main" count="1884" uniqueCount="944">
  <si>
    <t xml:space="preserve"> *************** WASHINGTON *************</t>
  </si>
  <si>
    <t xml:space="preserve"> ***************** IDAHO ******************</t>
  </si>
  <si>
    <t>Ref/Basis</t>
  </si>
  <si>
    <t>Direct</t>
  </si>
  <si>
    <t>Allocated</t>
  </si>
  <si>
    <t>REVENUE</t>
  </si>
  <si>
    <t>SALES OF ELECTRICITY:</t>
  </si>
  <si>
    <t>Residential</t>
  </si>
  <si>
    <t>Commercial - Firm &amp; Int.</t>
  </si>
  <si>
    <t>Industrial</t>
  </si>
  <si>
    <t>Public Street &amp; Highway Lighting</t>
  </si>
  <si>
    <t>Unbilled Revenue</t>
  </si>
  <si>
    <t>Interest Rate Swaps</t>
  </si>
  <si>
    <t>Interdepartmental Revenue</t>
  </si>
  <si>
    <t>TOTAL SALES TO ULTIMATE CUSTOMERS</t>
  </si>
  <si>
    <t>Sales for Resale</t>
  </si>
  <si>
    <t>TOTAL SALES OF ELECTRICITY</t>
  </si>
  <si>
    <t>OTHER OPERATING REVENUE:</t>
  </si>
  <si>
    <t>Miscellaneous Service Revenue</t>
  </si>
  <si>
    <t>Sales of Water &amp; Water Power</t>
  </si>
  <si>
    <t>Rent from Electric Property</t>
  </si>
  <si>
    <t>Book Depreciation (403.XX, 404.XX &amp; 406.XX )</t>
  </si>
  <si>
    <t>Other Electric Revenues</t>
  </si>
  <si>
    <t>TOTAL OTHER OPERATING REVENUE</t>
  </si>
  <si>
    <t>TOTAL ELECTRIC REVENUE</t>
  </si>
  <si>
    <t>EXPENSE</t>
  </si>
  <si>
    <t>STEAM POWER GENERATION EXPENSE:</t>
  </si>
  <si>
    <t xml:space="preserve">  OPERATION</t>
  </si>
  <si>
    <t>Supervision &amp; Engineering</t>
  </si>
  <si>
    <t>Fuel</t>
  </si>
  <si>
    <t>Steam Expense</t>
  </si>
  <si>
    <t>Steam Purchased</t>
  </si>
  <si>
    <t>Electric Expense</t>
  </si>
  <si>
    <t>Miscellaneous Steam Power Generation Expense</t>
  </si>
  <si>
    <t>Rent</t>
  </si>
  <si>
    <t xml:space="preserve">  MAINTENANCE</t>
  </si>
  <si>
    <t>Structures</t>
  </si>
  <si>
    <t>Boiler Plant</t>
  </si>
  <si>
    <t>Electric Plant</t>
  </si>
  <si>
    <t>Miscellaneous Steam Plant</t>
  </si>
  <si>
    <t>X9</t>
  </si>
  <si>
    <t>447XXX</t>
  </si>
  <si>
    <t>456XXX</t>
  </si>
  <si>
    <t>TOTAL STEAM POWER GENERATION EXP</t>
  </si>
  <si>
    <t>HYDRAULIC POWER GENERATION EXP:</t>
  </si>
  <si>
    <t>Water for Power</t>
  </si>
  <si>
    <t>Hydraulic Expense</t>
  </si>
  <si>
    <t>Miscellaneous Hydraulic Power Generation Exp</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</si>
  <si>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</si>
  <si>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</si>
  <si>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</si>
  <si>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</si>
  <si>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</si>
  <si>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</si>
  <si>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</si>
  <si>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</si>
  <si>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</si>
  <si>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</si>
  <si>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Purchased Power</t>
  </si>
  <si>
    <t>System Control &amp; Load Dispatching</t>
  </si>
  <si>
    <t>Other Expense</t>
  </si>
  <si>
    <t>TOTAL OTHER POWER SUPPLY EXPENSE</t>
  </si>
  <si>
    <t>TOTAL POWER PRODUCTION O&amp;M EXP</t>
  </si>
  <si>
    <t>TRANSMISSION OPERATING EXPENSE:</t>
  </si>
  <si>
    <t>Load Dispatching</t>
  </si>
  <si>
    <t>Station Expense</t>
  </si>
  <si>
    <t>Overhead Line Expense</t>
  </si>
  <si>
    <t>CS2 Disallowed Idaho amortization offset</t>
  </si>
  <si>
    <t>Amortization - Idaho CS2 Disallowance Offset</t>
  </si>
  <si>
    <t>Underground Line Expense</t>
  </si>
  <si>
    <t>Transmission of Electricity by Others</t>
  </si>
  <si>
    <t>Miscellaneous Transmission Expense</t>
  </si>
  <si>
    <t>Station Equipment</t>
  </si>
  <si>
    <t>Overhead Lines</t>
  </si>
  <si>
    <t>Underground Lines</t>
  </si>
  <si>
    <t>X8</t>
  </si>
  <si>
    <t>389XXX</t>
  </si>
  <si>
    <t>Misc Intangible Plt-Mainframe Software (303100)</t>
  </si>
  <si>
    <t>Misc Intangible Plant-PC Software (303110)</t>
  </si>
  <si>
    <t>Misc Intangible Plt-Leased PC Software (303120)</t>
  </si>
  <si>
    <t>310XXX</t>
  </si>
  <si>
    <t>311XXX</t>
  </si>
  <si>
    <t>330XXX</t>
  </si>
  <si>
    <t>331XXX</t>
  </si>
  <si>
    <t>332XXX</t>
  </si>
  <si>
    <t>335XXX</t>
  </si>
  <si>
    <t>350XXX</t>
  </si>
  <si>
    <t>352XXX</t>
  </si>
  <si>
    <t>369XXX</t>
  </si>
  <si>
    <t>373XXX</t>
  </si>
  <si>
    <t>390XXX</t>
  </si>
  <si>
    <t>391XXX</t>
  </si>
  <si>
    <t>392XXX</t>
  </si>
  <si>
    <t>396XXX</t>
  </si>
  <si>
    <t>397XXX</t>
  </si>
  <si>
    <t>CIAC--Distribution Plant  (190610)</t>
  </si>
  <si>
    <t>Deferred Gain on Sale of General Office  (190850)</t>
  </si>
  <si>
    <t>Colstrip PCB  (283200)</t>
  </si>
  <si>
    <t>Kettle Falls Disallowed Plant  (101003)</t>
  </si>
  <si>
    <t>Boulder Park Disallowed Plant (101050)</t>
  </si>
  <si>
    <t>Boulder Park Disallowed Accumulated Depr (108050)</t>
  </si>
  <si>
    <t>Colstrip Common AFUDC  (186100)</t>
  </si>
  <si>
    <t>2007</t>
  </si>
  <si>
    <t>Production Tax Credit - Kettle Falls</t>
  </si>
  <si>
    <t xml:space="preserve">   Adjustments</t>
  </si>
  <si>
    <t xml:space="preserve">    Adjustments</t>
  </si>
  <si>
    <t>Nez Perce Settlement - Idaho (186800)</t>
  </si>
  <si>
    <t>Idaho DSM Book Amortization</t>
  </si>
  <si>
    <t>DSM Programs (186710)</t>
  </si>
  <si>
    <t>Weatherization Loans - Sandpoint (124350)</t>
  </si>
  <si>
    <t>Montana Hydro Settlement</t>
  </si>
  <si>
    <t>DSM Programs--3/30/05 Sandpoint DSM was included in this account, had not been previously, matches the Weatherization Investment Worksheet adjustment from the last general Idaho rate case</t>
  </si>
  <si>
    <t>FAS 109 Electric Plant (182310, 283170)</t>
  </si>
  <si>
    <t>X01</t>
  </si>
  <si>
    <t>X02</t>
  </si>
  <si>
    <t>X03</t>
  </si>
  <si>
    <t>X04</t>
  </si>
  <si>
    <t>X05</t>
  </si>
  <si>
    <t>X06</t>
  </si>
  <si>
    <t>X07</t>
  </si>
  <si>
    <t>X08</t>
  </si>
  <si>
    <t>X09</t>
  </si>
  <si>
    <t>X20</t>
  </si>
  <si>
    <t>X30</t>
  </si>
  <si>
    <t>X50</t>
  </si>
  <si>
    <t>X31</t>
  </si>
  <si>
    <t>X60</t>
  </si>
  <si>
    <t>X10</t>
  </si>
  <si>
    <t>X40</t>
  </si>
  <si>
    <t>X70</t>
  </si>
  <si>
    <t>Unbilled Add-Ons</t>
  </si>
  <si>
    <t>Enron Contract Buyout - Washington</t>
  </si>
  <si>
    <t>Service Miscellaneous</t>
  </si>
  <si>
    <t>X32</t>
  </si>
  <si>
    <t>Amortization Expense (404X3X)</t>
  </si>
  <si>
    <t>404X32</t>
  </si>
  <si>
    <t>404X60/70</t>
  </si>
  <si>
    <t>108X06</t>
  </si>
  <si>
    <t>108X07</t>
  </si>
  <si>
    <t>111X20/30</t>
  </si>
  <si>
    <t>111X60</t>
  </si>
  <si>
    <t>Accum Amort--Software (111X31, 111X32)</t>
  </si>
  <si>
    <t>Accum Amort--Leasehold Improvements (111X50/60)</t>
  </si>
  <si>
    <t>111X70</t>
  </si>
  <si>
    <t>Leased Power Operated Equipment</t>
  </si>
  <si>
    <t>Colstrip Disallowed AFUDC  (111100)</t>
  </si>
  <si>
    <t>ADFIT - Boulder Park Idaho Write Off (190040)</t>
  </si>
  <si>
    <t xml:space="preserve">Amortization of Leasehold Imp (404X50) </t>
  </si>
  <si>
    <t>ALLOCATION OF COMM DEPRECIATION EXPENSE</t>
  </si>
  <si>
    <t>to Electric</t>
  </si>
  <si>
    <t>403X60</t>
  </si>
  <si>
    <t>403X70</t>
  </si>
  <si>
    <t>TOTAL ACCOUNT 403</t>
  </si>
  <si>
    <t>G-ALL</t>
  </si>
  <si>
    <t>ALLOCATION OF COMM AMORTIZATION EXPENSE</t>
  </si>
  <si>
    <t>404X31</t>
  </si>
  <si>
    <t>404X33</t>
  </si>
  <si>
    <t>404X50</t>
  </si>
  <si>
    <t>404X60</t>
  </si>
  <si>
    <t>X33</t>
  </si>
  <si>
    <t>403X50</t>
  </si>
  <si>
    <t>Depreciation Expense (C-DEP)</t>
  </si>
  <si>
    <t>Current Month</t>
  </si>
  <si>
    <t>12 Months Ended</t>
  </si>
  <si>
    <t>YTD Total</t>
  </si>
  <si>
    <t>Utility 9 - Washington</t>
  </si>
  <si>
    <t>Utility 9 - Idaho</t>
  </si>
  <si>
    <t>Common Depreciation Expense (C-DEP)</t>
  </si>
  <si>
    <t>Idaho Depreciation Expense (C-DEP)</t>
  </si>
  <si>
    <t>Washington Depreciation Expense (C-DEP)</t>
  </si>
  <si>
    <t>Depreciation Expense (C-DEP) Directly Assigned</t>
  </si>
  <si>
    <t>Amort of Leased Transportation Vehicles (C-AMT)</t>
  </si>
  <si>
    <t>Total Deprec/Amortization</t>
  </si>
  <si>
    <t>Accum Amort - Software (111X31/32)</t>
  </si>
  <si>
    <t>Total Accum Deprec/Amortization</t>
  </si>
  <si>
    <t>Section 199 Manufacturing Deduction</t>
  </si>
  <si>
    <t>Electric portion of Bond Redemptions (283850)</t>
  </si>
  <si>
    <t>Special Adjustments</t>
  </si>
  <si>
    <t>Mainframe Software</t>
  </si>
  <si>
    <t>PC Software</t>
  </si>
  <si>
    <t>PC Software Lease</t>
  </si>
  <si>
    <t>Leasehold Improvements</t>
  </si>
  <si>
    <t>Leased Transportation Vehicles</t>
  </si>
  <si>
    <t>Excise Tax</t>
  </si>
  <si>
    <t>Turbine Gas Bookout</t>
  </si>
  <si>
    <t>Other Expenses - Exposure</t>
  </si>
  <si>
    <t>N.E. Tank Farm Diesel Spill</t>
  </si>
  <si>
    <t>ROR</t>
  </si>
  <si>
    <t>Difference</t>
  </si>
  <si>
    <t>Boulder Park Write Off</t>
  </si>
  <si>
    <t>403X40</t>
  </si>
  <si>
    <t>404X30</t>
  </si>
  <si>
    <t>404X20</t>
  </si>
  <si>
    <t>404X10</t>
  </si>
  <si>
    <t>Acct 317 ARO (not allowed in Rate Base)</t>
  </si>
  <si>
    <t>Acct 347 ARO (not allowed in Rate Base)</t>
  </si>
  <si>
    <t>Acct 374 ARO (not allowed in Rate Base)</t>
  </si>
  <si>
    <t>Acct 399 ARO (not allowed in Rate Base)</t>
  </si>
  <si>
    <t>Footnote 7</t>
  </si>
  <si>
    <t>Electric Portion</t>
  </si>
  <si>
    <t>CSS Temporary Service Fees</t>
  </si>
  <si>
    <t>Redemption Expense Amortization</t>
  </si>
  <si>
    <t>Amortization - Unbilled Revenue Add-Ins</t>
  </si>
  <si>
    <t>Washington Deferred Power Costs</t>
  </si>
  <si>
    <t>Other Regulatory Amortization</t>
  </si>
  <si>
    <t>Amort of Sch 65 Centralia Credit</t>
  </si>
  <si>
    <t>407450/499</t>
  </si>
  <si>
    <t>407410/498</t>
  </si>
  <si>
    <t>Wartsilla Generators Amortization</t>
  </si>
  <si>
    <t>Amt of Wartsila Generators</t>
  </si>
  <si>
    <t>Amortization of Wartsila Generators</t>
  </si>
  <si>
    <t>Disallowed Amortization Expense for K.F. Plant</t>
  </si>
  <si>
    <t>108X05</t>
  </si>
  <si>
    <t>Invest in Exchange Power  (124900, 124930)</t>
  </si>
  <si>
    <t>NOTE 1</t>
  </si>
  <si>
    <t>- Asset Recovery Obligation Accounts 317000, 347000, 374000 and 399100 are automatically eliminated, however, the Accumulated Depreciation has to be removed manually.</t>
  </si>
  <si>
    <t>Production Tax Credit</t>
  </si>
  <si>
    <t>Total Net Federal Income Tax</t>
  </si>
  <si>
    <t>111X06</t>
  </si>
  <si>
    <t>111X08</t>
  </si>
  <si>
    <t>107XXX</t>
  </si>
  <si>
    <t>Tax Credit</t>
  </si>
  <si>
    <t>Deferred F.I.T. - Plant In Service  (282900)</t>
  </si>
  <si>
    <t>(409000)</t>
  </si>
  <si>
    <t>(410100, 411100)</t>
  </si>
  <si>
    <t>(408xxx, 409130/140/160)</t>
  </si>
  <si>
    <t>Kettle Falls Disallowance</t>
  </si>
  <si>
    <t>CS2 Levelized Return</t>
  </si>
  <si>
    <t>Broker Fees - Power</t>
  </si>
  <si>
    <t>Elec\WWP Gas\WPNG 4-Factor</t>
  </si>
  <si>
    <t xml:space="preserve">Elec/WWP Gas 4-Factor </t>
  </si>
  <si>
    <t>9108X06</t>
  </si>
  <si>
    <t>9108X07</t>
  </si>
  <si>
    <t>8108X06</t>
  </si>
  <si>
    <t>8108X07</t>
  </si>
  <si>
    <t>Accum Amort - Leasehold Imp (7111x50/X60)</t>
  </si>
  <si>
    <t>Accum Amort - Leasehold Imp (9111x50/X60)</t>
  </si>
  <si>
    <t>Accum Amort - Software (7111X31/32)</t>
  </si>
  <si>
    <t>Accum Amort - Software (8111X31/32)</t>
  </si>
  <si>
    <t>Accum Amort - Software (9111X31/32)</t>
  </si>
  <si>
    <t>Leased Power Operated Equipment (111X70)</t>
  </si>
  <si>
    <t>Elec/Gas North/Oregon 4-Factor</t>
  </si>
  <si>
    <t>Gas North/Oregon 4-Factor</t>
  </si>
  <si>
    <t>Elec/Gas North 4-Factor</t>
  </si>
  <si>
    <t xml:space="preserve"> Gas North</t>
  </si>
  <si>
    <t>to Oregon Gas</t>
  </si>
  <si>
    <t>Oregon Gas</t>
  </si>
  <si>
    <t>************** OREGON GAS****************</t>
  </si>
  <si>
    <t>RTO Funding Amortization</t>
  </si>
  <si>
    <t xml:space="preserve">  State Income Tax--Montana &amp; Oregon</t>
  </si>
  <si>
    <t xml:space="preserve"> ******************* OREGON GAS **********************</t>
  </si>
  <si>
    <t xml:space="preserve"> ******************** GAS NORTH ************************</t>
  </si>
  <si>
    <t xml:space="preserve"> ******************** ELECTRIC **************************</t>
  </si>
  <si>
    <t>Asset Recovery Obligation (NOT PICKED UP)</t>
  </si>
  <si>
    <t xml:space="preserve"> ********************** GAS NORTH **************************</t>
  </si>
  <si>
    <t>Total Gas North</t>
  </si>
  <si>
    <t>Total Oregon Gas</t>
  </si>
  <si>
    <t>to Gas North</t>
  </si>
  <si>
    <t>Gas North</t>
  </si>
  <si>
    <t>2006</t>
  </si>
  <si>
    <t>Gain on Sale of General Office Bldg  (253850)</t>
  </si>
  <si>
    <t xml:space="preserve">     Utility 7 (Office Furniture Lease)</t>
  </si>
  <si>
    <t>TOTAL TRANSMISSION OPERATING EXP</t>
  </si>
  <si>
    <t>Depreciation Expense--Transmission Plant</t>
  </si>
  <si>
    <t>Amortization of Investment in Exchange Power</t>
  </si>
  <si>
    <t>Amort of Acq Adj--Colstrip Common AFUDC</t>
  </si>
  <si>
    <t>Amortization of CO2 Credits</t>
  </si>
  <si>
    <t>Taxes Other Than FIT--Prod &amp; Trans</t>
  </si>
  <si>
    <t>TOTAL PRODUCTION &amp; TRANS EXPENSE</t>
  </si>
  <si>
    <t>DISTRIBUTION EXPENSES:</t>
  </si>
  <si>
    <t>OPERATION:</t>
  </si>
  <si>
    <t>Street Light &amp; Signal System Operation Expense</t>
  </si>
  <si>
    <t>Meter Expense</t>
  </si>
  <si>
    <t>Customer Installations Expense</t>
  </si>
  <si>
    <t>Each January Reduce Balance by 1/8th (1/1/01 - 12/31/07)</t>
  </si>
  <si>
    <t>Annual Reduction (1/1/08 - 12/31/08)</t>
  </si>
  <si>
    <t xml:space="preserve">   Direct Labor Accts 500 - 894</t>
  </si>
  <si>
    <t xml:space="preserve">   Direct Labor Accts 500 - 598</t>
  </si>
  <si>
    <t>Miscellaneous Distribution Expense</t>
  </si>
  <si>
    <t>MAINTENANCE:</t>
  </si>
  <si>
    <t>Line Transformers</t>
  </si>
  <si>
    <t>Street Light &amp; Signal System Maintenance Exp</t>
  </si>
  <si>
    <t>Meters</t>
  </si>
  <si>
    <t>TOTAL DISTRIBUTION OPERATING EXP</t>
  </si>
  <si>
    <t>Depreciation Expense--Distribution Plant</t>
  </si>
  <si>
    <t>Taxes Other Than FIT--Distribution</t>
  </si>
  <si>
    <t>TOTAL DISTRIBUTION EXPENSES</t>
  </si>
  <si>
    <t>CUSTOMER ACCOUNTS EXPENSES:</t>
  </si>
  <si>
    <t>Supervision</t>
  </si>
  <si>
    <t>Meter Reading Expenses</t>
  </si>
  <si>
    <t>Customer Records &amp; Collection Expenses</t>
  </si>
  <si>
    <t>Uncollectible Accounts</t>
  </si>
  <si>
    <t>Misc Customer Accounts</t>
  </si>
  <si>
    <t>TOTAL CUSTOMER ACCOUNTS EXPENSES</t>
  </si>
  <si>
    <t>Less: Prod. Plt. Asset Recovery Oblig. (Note 1)</t>
  </si>
  <si>
    <t>CUSTOMER SERVICE &amp; INFO EXPENSES:</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</si>
  <si>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</si>
  <si>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</si>
  <si>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</si>
  <si>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</si>
  <si>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</si>
  <si>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</si>
  <si>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</si>
  <si>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</si>
  <si>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</si>
  <si>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</si>
  <si>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</si>
  <si>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</si>
  <si>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</si>
  <si>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</si>
  <si>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Injuries and Damages</t>
  </si>
  <si>
    <t>Employee Pensions and Benefits</t>
  </si>
  <si>
    <t>Net Allocated Schedule M's</t>
  </si>
  <si>
    <t>Franchise Requirements</t>
  </si>
  <si>
    <t>Regulatory Commission Expenses</t>
  </si>
  <si>
    <t>FAS106 Post Retirement Benefits</t>
  </si>
  <si>
    <t>Miscellaneous General Expenses</t>
  </si>
  <si>
    <t>Rents</t>
  </si>
  <si>
    <t>Maintenance of General Plant</t>
  </si>
  <si>
    <t>Washington Capital Structure Ratio</t>
  </si>
  <si>
    <t>Adjustment for Asset Recovery Obligation, Accumulated Depreciation Account 108X06</t>
  </si>
  <si>
    <t xml:space="preserve">     Utility 7 - Asset Recovery Obligation (Note 1)</t>
  </si>
  <si>
    <t>Note 1</t>
  </si>
  <si>
    <t>Removes Asset Recovery Obligation related to the Main Office Building, the asset cost is already removed.</t>
  </si>
  <si>
    <t>ED.CS.347000</t>
  </si>
  <si>
    <t>ED.AN.374000</t>
  </si>
  <si>
    <t>CD.AA.399100</t>
  </si>
  <si>
    <t xml:space="preserve">     Utility 0 Asset Recovery Obligation (Note 1)</t>
  </si>
  <si>
    <t>Account 108X06 is the accumulated depreciation account for Asset Recovery Obligation assets, the fixed asset cost is removed automatically but</t>
  </si>
  <si>
    <t xml:space="preserve"> the accumulated depreciation must be removed manually.</t>
  </si>
  <si>
    <t>Idaho Capital Structure Ratio</t>
  </si>
  <si>
    <t>Wa Trust Pref. Securities</t>
  </si>
  <si>
    <t>ID Trust Pref. Securities</t>
  </si>
  <si>
    <t>TOTAL ADMIN &amp; GEN OPERATING EXP</t>
  </si>
  <si>
    <t>Depreciation Expense--General Plant</t>
  </si>
  <si>
    <t>Amortization--Intangible Plant--Software</t>
  </si>
  <si>
    <t>TOTAL ADMIN &amp; GENERAL EXPENSES</t>
  </si>
  <si>
    <t>TOTAL EXPENSES BEFORE FIT</t>
  </si>
  <si>
    <t>NET OPERATING INCOME BEFORE FIT</t>
  </si>
  <si>
    <t>FEDERAL INCOME TAX--Normal Accrual</t>
  </si>
  <si>
    <t>ELECTRIC NET OPERATING INCOME</t>
  </si>
  <si>
    <t>ALLOCATION RATIOS:</t>
  </si>
  <si>
    <t>ALLOCATION OF CUSTOMER ACCOUNTING</t>
  </si>
  <si>
    <t>A/R Sold - Program Fees</t>
  </si>
  <si>
    <t>A/R Sold - Maturity Yield Fee</t>
  </si>
  <si>
    <t>TOTAL ACCOUNT 0903</t>
  </si>
  <si>
    <t>ALLOCATION OF CUSTOMER ASSISTANCE</t>
  </si>
  <si>
    <t xml:space="preserve">  EXPENSE--ACCOUNT 0908</t>
  </si>
  <si>
    <t>Customer Assistance Expense</t>
  </si>
  <si>
    <t>DSM Tariff Rider Expense Offset</t>
  </si>
  <si>
    <t>DSM Amortization</t>
  </si>
  <si>
    <t>TOTAL ACCOUNT 0908</t>
  </si>
  <si>
    <t>Customer Records and Collections</t>
  </si>
  <si>
    <t>E-903</t>
  </si>
  <si>
    <t>903XXX</t>
  </si>
  <si>
    <t>FEDERAL INCOME TAXES--ELECTRIC</t>
  </si>
  <si>
    <t>Calculation of Taxable Operating Income:</t>
  </si>
  <si>
    <t>Operating Revenue</t>
  </si>
  <si>
    <t>Operating &amp; Maintenance Expense</t>
  </si>
  <si>
    <t>Book Depreciation &amp; Amortization</t>
  </si>
  <si>
    <t>Taxes Other than FIT</t>
  </si>
  <si>
    <t xml:space="preserve">  Net Operating Income Before FIT</t>
  </si>
  <si>
    <t>Add: Schedule M Additions</t>
  </si>
  <si>
    <t>Less: Schedule M Deductions</t>
  </si>
  <si>
    <t xml:space="preserve">  Taxable Net Operating Income</t>
  </si>
  <si>
    <t>Deferred FIT</t>
  </si>
  <si>
    <t>ELECTRIC SCHEDULE M ITEMS</t>
  </si>
  <si>
    <t>Schedule M Additions:</t>
  </si>
  <si>
    <t>Amort - Invest in Exch Pwr (405.92,.93,.95,.98)</t>
  </si>
  <si>
    <t>TOTAL SCHEDULE M ADDITIONS</t>
  </si>
  <si>
    <t>Schedule M Deductions:</t>
  </si>
  <si>
    <t>TOTAL SCHEDULE M DEDUCTIONS</t>
  </si>
  <si>
    <t>DEFERRED INCOME TAX EXP--ELECTRIC</t>
  </si>
  <si>
    <t>Acct No</t>
  </si>
  <si>
    <t>Deferred Federal Income Tax Expense - Allocated</t>
  </si>
  <si>
    <t>Deferred Federal Income Tax Expense - Washington</t>
  </si>
  <si>
    <t>Deferred Federal Income Tax Expense - Idaho</t>
  </si>
  <si>
    <t>Sub-Total</t>
  </si>
  <si>
    <t>TAXES OTHER THAN FEDERAL INCOME TAX</t>
  </si>
  <si>
    <t>PRODUCTION &amp; TRANSMISSION</t>
  </si>
  <si>
    <t xml:space="preserve">  State Kwh Generation Tax</t>
  </si>
  <si>
    <t xml:space="preserve">  R&amp;P Property Tax--Production</t>
  </si>
  <si>
    <t xml:space="preserve">  R&amp;P Property Tax--Transmission</t>
  </si>
  <si>
    <t xml:space="preserve">  Miscellaneous State or Local Tax--Montana</t>
  </si>
  <si>
    <t>TOTAL PRODUCTION &amp; TRANSMISSION</t>
  </si>
  <si>
    <t>DISTRIBUTION</t>
  </si>
  <si>
    <t xml:space="preserve">  State Excise Tax</t>
  </si>
  <si>
    <t xml:space="preserve">  Municipal Occupation &amp; License Tax</t>
  </si>
  <si>
    <t xml:space="preserve">  R&amp;P Property Tax--Distribution</t>
  </si>
  <si>
    <t xml:space="preserve">  Miscellaneous State or Local Tax--WA &amp; ID</t>
  </si>
  <si>
    <t xml:space="preserve">  State Income Tax--Idaho</t>
  </si>
  <si>
    <t>TOTAL DISTRIBUTION</t>
  </si>
  <si>
    <t>TOTAL TAXES OTHER THAN FIT</t>
  </si>
  <si>
    <t xml:space="preserve">  </t>
  </si>
  <si>
    <t>Distribution</t>
  </si>
  <si>
    <t>ELECTRIC UTILITY PLANT</t>
  </si>
  <si>
    <t>Muncipal Occupation License Tax</t>
  </si>
  <si>
    <t>PLANT IN SERVICE</t>
  </si>
  <si>
    <t>INTANGIBLE PLANT:</t>
  </si>
  <si>
    <t>Organization</t>
  </si>
  <si>
    <t>Franchises &amp; Consents</t>
  </si>
  <si>
    <t>Misc Intangible Plant</t>
  </si>
  <si>
    <t xml:space="preserve">  TOTAL INTANGIBLE PLANT</t>
  </si>
  <si>
    <t>STEAM PRODUCTION PLANT:</t>
  </si>
  <si>
    <t>Land &amp; Land Rights</t>
  </si>
  <si>
    <t>Structures &amp; Improvements</t>
  </si>
  <si>
    <t>Turbogenerator Units</t>
  </si>
  <si>
    <t>Accessory Electric Equipment</t>
  </si>
  <si>
    <t>Miscellaneous Power Plant Equipment</t>
  </si>
  <si>
    <t>TOTAL STEAM PRODUCTION PLANT</t>
  </si>
  <si>
    <t>HYDRAULIC PRODUCTION PLANT:</t>
  </si>
  <si>
    <t>Waterwheels, Turbines, &amp; Generators</t>
  </si>
  <si>
    <t>Roads, Railroads, &amp; Bridges</t>
  </si>
  <si>
    <t>TOTAL HYDRAULIC PRODUCTION PLANT</t>
  </si>
  <si>
    <t>OTHER PRODUCTION PLANT:</t>
  </si>
  <si>
    <t>Fuel Holders, Producers, &amp; Accessories</t>
  </si>
  <si>
    <t>Prime Movers</t>
  </si>
  <si>
    <t>Generators</t>
  </si>
  <si>
    <t>TOTAL OTHER PRODUCTION PLANT</t>
  </si>
  <si>
    <t>TOTAL PRODUCTION PLANT</t>
  </si>
  <si>
    <t>TRANSMISSION PLANT:</t>
  </si>
  <si>
    <t>Colstrip Rents</t>
  </si>
  <si>
    <t>Other Operating Revenue</t>
  </si>
  <si>
    <t>Other Revenue - Pole Rent</t>
  </si>
  <si>
    <t>Other Revenue - Pole Rent Permits</t>
  </si>
  <si>
    <t>Use of Facilities - WSU</t>
  </si>
  <si>
    <t>Use of Facilities/Other Fee</t>
  </si>
  <si>
    <t>Transmission Property Tax</t>
  </si>
  <si>
    <t>ALLOCATION OF PURCHASED POWER COSTS</t>
  </si>
  <si>
    <t>TOTAL ACCOUNT 0555</t>
  </si>
  <si>
    <t>Intercompany Purchase</t>
  </si>
  <si>
    <t>ALLOCATION OF OTHER POWER SUPPLY EXP</t>
  </si>
  <si>
    <t>Other Expenses</t>
  </si>
  <si>
    <t>Nez Perce</t>
  </si>
  <si>
    <t>Idaho PCA Amortization</t>
  </si>
  <si>
    <t>TOTAL ACCOUNT 0557</t>
  </si>
  <si>
    <t>Misc State/County/Local Taxes</t>
  </si>
  <si>
    <t>State KWH Generation Tax</t>
  </si>
  <si>
    <t xml:space="preserve">State Excise Tax  </t>
  </si>
  <si>
    <t>**************************************************************************************************************</t>
  </si>
  <si>
    <t>Amort of Noxon Licensing Costs</t>
  </si>
  <si>
    <t>Amortization of Hydro Licensing Costs</t>
  </si>
  <si>
    <t>Accum Amort - Noxon Licensing Costs</t>
  </si>
  <si>
    <t>Towers &amp; Fixtures</t>
  </si>
  <si>
    <t>Poles &amp; Fixtures</t>
  </si>
  <si>
    <t>Overhead Conductors &amp; Devices</t>
  </si>
  <si>
    <t>Underground Conduit</t>
  </si>
  <si>
    <t>Intangible Plant</t>
  </si>
  <si>
    <t>Underground Conductors &amp; Devices</t>
  </si>
  <si>
    <t>Roads &amp; Trails</t>
  </si>
  <si>
    <t>TOTAL TRANSMISSION PLANT</t>
  </si>
  <si>
    <t>DISTRIBUTION PLANT:</t>
  </si>
  <si>
    <t>Poles, Towers, &amp; Fixtures</t>
  </si>
  <si>
    <t>Services</t>
  </si>
  <si>
    <t xml:space="preserve">     Utility 7 (Communication Equip Lease)</t>
  </si>
  <si>
    <t>Street Light &amp; Signal Systems</t>
  </si>
  <si>
    <t>TOTAL DISTRIBUTION PLANT</t>
  </si>
  <si>
    <t>Amortization of Limited-Term Plant</t>
  </si>
  <si>
    <t>GENERAL PLANT: (From Report C-GPL)</t>
  </si>
  <si>
    <t>Office Furniture &amp; Equipment</t>
  </si>
  <si>
    <t>Transportation Equipment</t>
  </si>
  <si>
    <t>Stores Equipment</t>
  </si>
  <si>
    <t>Limited Income Tax Refund Program</t>
  </si>
  <si>
    <t>Tools, Shop &amp; Garage Equipment</t>
  </si>
  <si>
    <t>Laboratory Equipment</t>
  </si>
  <si>
    <t>Power Operated Equipment</t>
  </si>
  <si>
    <t>Communications Equipment</t>
  </si>
  <si>
    <t>Miscellaneous Equipment</t>
  </si>
  <si>
    <t>TOTAL GENERAL PLANT</t>
  </si>
  <si>
    <t>TOTAL PLANT IN SERVICE</t>
  </si>
  <si>
    <t>CONSTRUCTION WORK IN PROGRESS</t>
  </si>
  <si>
    <t>GROSS ELECTRIC PLANT</t>
  </si>
  <si>
    <t>ACCUMULATED DEPRECIATION</t>
  </si>
  <si>
    <t>Steam Production Plant</t>
  </si>
  <si>
    <t>Hydro Production Plant</t>
  </si>
  <si>
    <t>Other Production Plant</t>
  </si>
  <si>
    <t>Transmission Plant</t>
  </si>
  <si>
    <t>Distribution Plant</t>
  </si>
  <si>
    <t>General Plant - Non-Transportation</t>
  </si>
  <si>
    <t>General Plant - Transportation</t>
  </si>
  <si>
    <t xml:space="preserve">  TOTAL ACCUMULATED DEPRECIATION</t>
  </si>
  <si>
    <t>ACCUMULATED AMORTIZATION</t>
  </si>
  <si>
    <t>Intangible Plant--Production &amp; Transmission</t>
  </si>
  <si>
    <t>Leasehold Improvements (From Report C-AAM)</t>
  </si>
  <si>
    <t>Intangible Plant-Computer Software</t>
  </si>
  <si>
    <t>NET ELECTRIC UTILITY PLANT</t>
  </si>
  <si>
    <t>ADJUSTMENTS TO NET ELECTRIC UTIL PLT</t>
  </si>
  <si>
    <t>Description  (Accounts)</t>
  </si>
  <si>
    <t>NET ELECTRIC PLANT IN SERVICE</t>
  </si>
  <si>
    <t>ADJUSTMENTS:</t>
  </si>
  <si>
    <t>ACCUMULATED DEFERRED INCOME TAX:</t>
  </si>
  <si>
    <t>Deferred FIT - Common Plant (From Report C-DTX)</t>
  </si>
  <si>
    <t>TOTAL ACCUM DEFERRED INCOME TAX</t>
  </si>
  <si>
    <t xml:space="preserve"> this account.</t>
  </si>
  <si>
    <t>OTHER ADJUSTMENTS:</t>
  </si>
  <si>
    <t xml:space="preserve">For Twelve Months Ended </t>
  </si>
  <si>
    <t xml:space="preserve">For Month Ended </t>
  </si>
  <si>
    <t>Amort of Limited Term Plant</t>
  </si>
  <si>
    <t>TOTAL OTHER ADJUSTMENTS</t>
  </si>
  <si>
    <t>NET RATE BASE</t>
  </si>
  <si>
    <t>COMMON GENERAL PLANT</t>
  </si>
  <si>
    <t xml:space="preserve"> ********************** ELECTRIC *************************** </t>
  </si>
  <si>
    <t>Direct - Wa</t>
  </si>
  <si>
    <t>Direct - Idaho</t>
  </si>
  <si>
    <t>Direct - Oregon</t>
  </si>
  <si>
    <t>Direct - Calif</t>
  </si>
  <si>
    <t xml:space="preserve">     Utility 0</t>
  </si>
  <si>
    <t xml:space="preserve">     Utility 1</t>
  </si>
  <si>
    <t xml:space="preserve">     Utility 2</t>
  </si>
  <si>
    <t xml:space="preserve">     Utility 7</t>
  </si>
  <si>
    <t xml:space="preserve">     Utility 8</t>
  </si>
  <si>
    <t xml:space="preserve">     Utility 9 - Wa</t>
  </si>
  <si>
    <t xml:space="preserve">     Utility 9 - Idaho</t>
  </si>
  <si>
    <t xml:space="preserve">     Utility 9 - Allocated</t>
  </si>
  <si>
    <t xml:space="preserve">  TOTAL ACCOUNT</t>
  </si>
  <si>
    <t>Tools, Shop, &amp; Garage Equipment</t>
  </si>
  <si>
    <t>Communication Equipment</t>
  </si>
  <si>
    <t xml:space="preserve">  COMMON GENERAL PLANT</t>
  </si>
  <si>
    <t xml:space="preserve">Total General </t>
  </si>
  <si>
    <t>Total Electric</t>
  </si>
  <si>
    <t>COMMON ACCUMULATED DEPRECIATION</t>
  </si>
  <si>
    <t xml:space="preserve">  AND DEPRECIATION EXPENSE</t>
  </si>
  <si>
    <t>Plant in Service</t>
  </si>
  <si>
    <t>Less Land and Land Rights</t>
  </si>
  <si>
    <t>Interest accrued on PGE Ratebase Credit - Washington</t>
  </si>
  <si>
    <t>Depreciable Distribution Plant</t>
  </si>
  <si>
    <t xml:space="preserve">  ALLOCATION BASED ON DEPRECIABLE</t>
  </si>
  <si>
    <t xml:space="preserve">   PLANT:</t>
  </si>
  <si>
    <t>Accumulated Depreciation</t>
  </si>
  <si>
    <t xml:space="preserve">  JURISDICTIONAL ALLOCATION:</t>
  </si>
  <si>
    <t>GENERAL PLANT - NON TRANSPORTATION</t>
  </si>
  <si>
    <t>General Plant In Service</t>
  </si>
  <si>
    <t>Less: General Land and Land Rights</t>
  </si>
  <si>
    <t>Less:  General Transportation Plant</t>
  </si>
  <si>
    <t>Depreciable Non Trasnport General Plant</t>
  </si>
  <si>
    <t>ALLOCATION BASED ON DEPRECIABLE PLANT</t>
  </si>
  <si>
    <t>Accumulated Depreciation--Electric General Plant</t>
  </si>
  <si>
    <t>JURISDICTIONAL ALLOCATION:</t>
  </si>
  <si>
    <t>GENERAL PLANT--TRANSPORTATION</t>
  </si>
  <si>
    <t>Transportation General Plant</t>
  </si>
  <si>
    <t>Accum Depr--Elect Genl Plant (Electric Portion)</t>
  </si>
  <si>
    <t>COMMON INTANGIBLE PLANT--SOFTWARE</t>
  </si>
  <si>
    <t>Misc Intangible Plant--Mainframe Software</t>
  </si>
  <si>
    <t xml:space="preserve">     Utility 9</t>
  </si>
  <si>
    <t>Misc Intangible Plant--PC Software</t>
  </si>
  <si>
    <t>Misc Intangible Plant-- Leased PC Software</t>
  </si>
  <si>
    <t xml:space="preserve">   Number of Customers at 12/31/07</t>
  </si>
  <si>
    <t xml:space="preserve">  COMMON PLANT</t>
  </si>
  <si>
    <t>Allocation</t>
  </si>
  <si>
    <t>To Electric</t>
  </si>
  <si>
    <t xml:space="preserve">     Utility 2 - Oregon</t>
  </si>
  <si>
    <t xml:space="preserve">     Utility 2 - California</t>
  </si>
  <si>
    <t>COMMON ACCUMULATED AMORTIZATION</t>
  </si>
  <si>
    <t xml:space="preserve">  &amp; AMORTIZATION EXPENSE--SOFTWARE</t>
  </si>
  <si>
    <t>Misc Intangible Plant - Mainframe Software</t>
  </si>
  <si>
    <t>Misc Intangible Plant - PC Software</t>
  </si>
  <si>
    <t>Misc Intangible Plant - Leased PC Software</t>
  </si>
  <si>
    <t>Total Intangible Plant - Software</t>
  </si>
  <si>
    <t>Accumulated Amortization (111.38 &amp; .48)</t>
  </si>
  <si>
    <t>ACCUMULATED DEFERRED FIT NON</t>
  </si>
  <si>
    <t>E-555</t>
  </si>
  <si>
    <t>E-557</t>
  </si>
  <si>
    <t xml:space="preserve">  UTILITY - SPECIFIC GENERAL PLANT</t>
  </si>
  <si>
    <t>Deferred FIT - Common Plant (For Report APL)</t>
  </si>
  <si>
    <t>ELECTRIC RATE OF RETURN</t>
  </si>
  <si>
    <t>Electric Net Operating Income</t>
  </si>
  <si>
    <t xml:space="preserve">  Colstrip 3 AFUDC Reallocation</t>
  </si>
  <si>
    <t>Adjusted Net Operating Income</t>
  </si>
  <si>
    <t>Total Depreciation Expense</t>
  </si>
  <si>
    <t>RATE OF RETURN</t>
  </si>
  <si>
    <t xml:space="preserve"> ***************** IDAHO ***************</t>
  </si>
  <si>
    <t>Combined</t>
  </si>
  <si>
    <t>Key</t>
  </si>
  <si>
    <t>Amort of BPA Residential Credit</t>
  </si>
  <si>
    <t>Long and Short Term Purchases</t>
  </si>
  <si>
    <t>555XXX</t>
  </si>
  <si>
    <t>557XXX</t>
  </si>
  <si>
    <t>908XXX</t>
  </si>
  <si>
    <t>926XXX</t>
  </si>
  <si>
    <t>925XXX</t>
  </si>
  <si>
    <t>Amortization of BPA Residential Exchange Credit</t>
  </si>
  <si>
    <t>TOTAL DEP/AMT/TAXES OTHER THEN FIT</t>
  </si>
  <si>
    <t xml:space="preserve">  TOTAL ACCUMULATED AMORTIZATION</t>
  </si>
  <si>
    <t>499XXX</t>
  </si>
  <si>
    <t>Unrecovered ERM/PCA Costs</t>
  </si>
  <si>
    <t>Leased Transportation Equipment</t>
  </si>
  <si>
    <t>Accumulated Depreciation, E-ADP, E-PLT, C-ADP  &amp; E-APL</t>
  </si>
  <si>
    <t>Ending Balance</t>
  </si>
  <si>
    <t>AMA Balance</t>
  </si>
  <si>
    <t>**************** IDAHO ****************</t>
  </si>
  <si>
    <t xml:space="preserve"> ************** WASHINGTON ***********</t>
  </si>
  <si>
    <t xml:space="preserve"> **************** SYSTEM ***************</t>
  </si>
  <si>
    <t>Total Deferred Federal Income Tax Expense</t>
  </si>
  <si>
    <t>Current Federal Income Tax</t>
  </si>
  <si>
    <t>Deferred Federal Income Tax</t>
  </si>
  <si>
    <t>DEFERRED FEDERAL INCOME TAX</t>
  </si>
  <si>
    <t xml:space="preserve"> **************** IDAHO ****************</t>
  </si>
  <si>
    <t>Accumulated Depreciation - General Plant, Transportation</t>
  </si>
  <si>
    <t>Accumulated Depreciation - General Plant</t>
  </si>
  <si>
    <t>Remove amortization surcharges/refunds from Unbilled Revenue</t>
  </si>
  <si>
    <t>Schedule 91 Amortization included in Unbilled</t>
  </si>
  <si>
    <t xml:space="preserve">  Expense  (Recorded in the GL and picked up automatically, no longer needed)</t>
  </si>
  <si>
    <t>Amortization of Centralia Gain</t>
  </si>
  <si>
    <t>DSM Tariff Rider</t>
  </si>
  <si>
    <t>BPA C&amp;RD Receipts</t>
  </si>
  <si>
    <t>BPA Residential Exchange</t>
  </si>
  <si>
    <t>Wood Power Buyout (Idaho Only)</t>
  </si>
  <si>
    <t>Oregon</t>
  </si>
  <si>
    <t>Non-Monetary Power Costs</t>
  </si>
  <si>
    <t xml:space="preserve">  ALLOCATION BASED ON DEPRECIABLE PLANT</t>
  </si>
  <si>
    <t>Deprec. Exp - Thermal</t>
  </si>
  <si>
    <t>Deprec. Exp - Hydro</t>
  </si>
  <si>
    <t>Deprec - Exp - Other Production</t>
  </si>
  <si>
    <t>Deprec - Exp - Transmission</t>
  </si>
  <si>
    <t>Deprec - Exp - Distribution</t>
  </si>
  <si>
    <t>Deprec - Exp - General Other</t>
  </si>
  <si>
    <t>Deprec - Exp - General Trans</t>
  </si>
  <si>
    <t>Electric Net Rate Base</t>
  </si>
  <si>
    <t xml:space="preserve">E-PLT </t>
  </si>
  <si>
    <t>H8</t>
  </si>
  <si>
    <t>H9</t>
  </si>
  <si>
    <t>H10</t>
  </si>
  <si>
    <t>H24</t>
  </si>
  <si>
    <t>H34</t>
  </si>
  <si>
    <t>H44</t>
  </si>
  <si>
    <t>H57</t>
  </si>
  <si>
    <t>H71</t>
  </si>
  <si>
    <t>I7</t>
  </si>
  <si>
    <t>I19</t>
  </si>
  <si>
    <t>I31</t>
  </si>
  <si>
    <t>I43</t>
  </si>
  <si>
    <t>I55</t>
  </si>
  <si>
    <t>I67</t>
  </si>
  <si>
    <t>I79</t>
  </si>
  <si>
    <t>I91</t>
  </si>
  <si>
    <t>I103</t>
  </si>
  <si>
    <t>I115</t>
  </si>
  <si>
    <t>I18</t>
  </si>
  <si>
    <t>I28</t>
  </si>
  <si>
    <t>I38</t>
  </si>
  <si>
    <t>Interest on PGE Rate Base Reduction</t>
  </si>
  <si>
    <t>1/1/01</t>
  </si>
  <si>
    <t>Net Amount</t>
  </si>
  <si>
    <t>Taxes Ot Than Inc, Dist (as of 1/1/0)</t>
  </si>
  <si>
    <t>January</t>
  </si>
  <si>
    <t>February</t>
  </si>
  <si>
    <t>March</t>
  </si>
  <si>
    <t>108X01</t>
  </si>
  <si>
    <t>108X02</t>
  </si>
  <si>
    <t>108X03</t>
  </si>
  <si>
    <t>108X04</t>
  </si>
  <si>
    <t>Data Line</t>
  </si>
  <si>
    <t>7108X06</t>
  </si>
  <si>
    <t>7108X07</t>
  </si>
  <si>
    <t>General Plant, Transportation</t>
  </si>
  <si>
    <t>General Plant</t>
  </si>
  <si>
    <t>Kettle Falls Disallowed Accum Depr</t>
  </si>
  <si>
    <t>Boulder Park Disallowed Accum Depr</t>
  </si>
  <si>
    <t>April</t>
  </si>
  <si>
    <t>May</t>
  </si>
  <si>
    <t>June</t>
  </si>
  <si>
    <t>July</t>
  </si>
  <si>
    <t>August</t>
  </si>
  <si>
    <t>September</t>
  </si>
  <si>
    <t>October</t>
  </si>
  <si>
    <t>November</t>
  </si>
  <si>
    <t>December</t>
  </si>
  <si>
    <t>Accum Amort - Colstrip Disallowed AFUDC</t>
  </si>
  <si>
    <t>10/26/04 Idaho portion of the Centralia sale being passed back to customers via a monthly entry so no rate base adjustment needed.  Washington benefit already passed back to customers.</t>
  </si>
  <si>
    <t>Amort - CS2 Levelized Return</t>
  </si>
  <si>
    <t>Amortization of CS2 Levelized Return</t>
  </si>
  <si>
    <t>ADFIT - Boulder Park Idaho W/O</t>
  </si>
  <si>
    <t>Amortization of Boulder Park Write Off - Idaho</t>
  </si>
  <si>
    <t>Idaho PCA Write-Off</t>
  </si>
  <si>
    <t>PURPA</t>
  </si>
  <si>
    <t>Idaho - WPI Amortization/Potlatch Purchases</t>
  </si>
  <si>
    <t>Exchanges - Non Monetary</t>
  </si>
  <si>
    <t>Fuel - Economic Dispatch</t>
  </si>
  <si>
    <t>Idaho PCA Deferred</t>
  </si>
  <si>
    <t>Acct 370 has $256 charged to Loc 098</t>
  </si>
  <si>
    <t>Airplane Lease Payments</t>
  </si>
  <si>
    <t>FAS87 Current Pension Accrual</t>
  </si>
  <si>
    <t>FAS106 Current Retiree Medical Accrual</t>
  </si>
  <si>
    <t>Hardware/Software/Furniture Lease Payments</t>
  </si>
  <si>
    <t>Sale Leaseback of General Office Building</t>
  </si>
  <si>
    <t>Amort of Small Gen Cap Costs</t>
  </si>
  <si>
    <t>Amortization of Small Gen. Capital Costs</t>
  </si>
  <si>
    <t>Engineering Overheads Previously Capitalized</t>
  </si>
  <si>
    <t xml:space="preserve">  EXPENSES--ACCOUNT 0555</t>
  </si>
  <si>
    <t xml:space="preserve">   Direct O &amp; M Accts 500 - 894</t>
  </si>
  <si>
    <t xml:space="preserve">  EXPENSES--ACCOUNT 0903</t>
  </si>
  <si>
    <t>Taxes Ot Than Inc, Distribution (as of 1/1/0)</t>
  </si>
  <si>
    <t>Amt of Citizen Utilities Org Costs</t>
  </si>
  <si>
    <t>Amortization of Citizens Utilities Organization Costs</t>
  </si>
  <si>
    <t>Amt of Leased Transportation Vehicles</t>
  </si>
  <si>
    <t>Amortization of Leased Transportation Vehicles</t>
  </si>
  <si>
    <t>Acc Amort - Leased Trans. Vehicles</t>
  </si>
  <si>
    <t>Bookout Purchases</t>
  </si>
  <si>
    <t>Income Before Taxes</t>
  </si>
  <si>
    <t>Salvage</t>
  </si>
  <si>
    <t>Idaho PCA</t>
  </si>
  <si>
    <t>Rathdrum Turbine Lease</t>
  </si>
  <si>
    <t>Contributions In Aid of Construction</t>
  </si>
  <si>
    <t>Miscellaneous Schedule M Additions</t>
  </si>
  <si>
    <t>Nez Perce Settlement</t>
  </si>
  <si>
    <t>Tax Depreciation</t>
  </si>
  <si>
    <t>AFUDC</t>
  </si>
  <si>
    <t>Gain on Sale of Office Bldg</t>
  </si>
  <si>
    <t>Rathdrum Turbine Lease, Tax</t>
  </si>
  <si>
    <t>MODEL VARIABLES:</t>
  </si>
  <si>
    <t>Kettle Falls</t>
  </si>
  <si>
    <t>Colstrip 4</t>
  </si>
  <si>
    <t>Colstrip 3</t>
  </si>
  <si>
    <t>Coyote</t>
  </si>
  <si>
    <t>Springs</t>
  </si>
  <si>
    <t>Plant</t>
  </si>
  <si>
    <t>Common</t>
  </si>
  <si>
    <t xml:space="preserve">All </t>
  </si>
  <si>
    <t>Results of Operations Model</t>
  </si>
  <si>
    <t>Number of Months in Test Period:</t>
  </si>
  <si>
    <t>Electric Service</t>
  </si>
  <si>
    <t>Rate Base Calc Method (E or A):</t>
  </si>
  <si>
    <t>Report Heading--Test Period:</t>
  </si>
  <si>
    <t>Report Heading--Rate Base Calc:</t>
  </si>
  <si>
    <t>ELECTRIC REPORT INDEX</t>
  </si>
  <si>
    <t>Report ID:</t>
  </si>
  <si>
    <t>Average of Monthly Averages Basis</t>
  </si>
  <si>
    <t>NAME</t>
  </si>
  <si>
    <t>DESCRIPTION</t>
  </si>
  <si>
    <t>LOCATION</t>
  </si>
  <si>
    <t>Ending Balance Basis</t>
  </si>
  <si>
    <t>Model Variables</t>
  </si>
  <si>
    <t>Input Matrix</t>
  </si>
  <si>
    <t>E-CHK</t>
  </si>
  <si>
    <t>Model Balancing Report</t>
  </si>
  <si>
    <t>E-ALL</t>
  </si>
  <si>
    <t>Allocation Ratios Report</t>
  </si>
  <si>
    <t>E-OPS</t>
  </si>
  <si>
    <t>Operating Detail Report</t>
  </si>
  <si>
    <t>E-908</t>
  </si>
  <si>
    <t>Allocation of Account 908</t>
  </si>
  <si>
    <t>E-928</t>
  </si>
  <si>
    <t>Allocation of Account 928</t>
  </si>
  <si>
    <t>E-FIT</t>
  </si>
  <si>
    <t>Federal Income Tax Expense</t>
  </si>
  <si>
    <t>E-SCM</t>
  </si>
  <si>
    <t>Schedule M Items</t>
  </si>
  <si>
    <t>E-DTE</t>
  </si>
  <si>
    <t>Deferred Federal Income Tax Expense</t>
  </si>
  <si>
    <t>E-OTX</t>
  </si>
  <si>
    <t>Taxes Other Than FIT</t>
  </si>
  <si>
    <t>E-PLT</t>
  </si>
  <si>
    <t>030</t>
  </si>
  <si>
    <t>KF Disallowed Acc Deprec</t>
  </si>
  <si>
    <t>Boulder Park Disallowed Acc Deprec</t>
  </si>
  <si>
    <t>050</t>
  </si>
  <si>
    <t>Debt</t>
  </si>
  <si>
    <t>Trust Preferred Securities</t>
  </si>
  <si>
    <t>Manual Entry for FIT Calculation</t>
  </si>
  <si>
    <t>Add back: State Income Tax - Mt/Ore</t>
  </si>
  <si>
    <t>Add back: State Income Tax - Id</t>
  </si>
  <si>
    <t>Cap. Structure</t>
  </si>
  <si>
    <t>Cost</t>
  </si>
  <si>
    <t>Net Rate Base</t>
  </si>
  <si>
    <t>Interest Deduction for FIT Calculation</t>
  </si>
  <si>
    <t>Total Weighted Cost</t>
  </si>
  <si>
    <t>E-INT</t>
  </si>
  <si>
    <t xml:space="preserve">  Tax Rate</t>
  </si>
  <si>
    <t>Total Federal Income Tax</t>
  </si>
  <si>
    <t>Kettle Falls Disallowed Accumulated Depr  (108030)</t>
  </si>
  <si>
    <t>Hydro Acc Dep</t>
  </si>
  <si>
    <t>Plant Detail Report</t>
  </si>
  <si>
    <t>E-APL</t>
  </si>
  <si>
    <t>Adjustments to Net Plant</t>
  </si>
  <si>
    <t>C-GPL</t>
  </si>
  <si>
    <t>Electric General Plant</t>
  </si>
  <si>
    <t>C-ADP</t>
  </si>
  <si>
    <t>Accum Depr--Elect General Plant</t>
  </si>
  <si>
    <t>E-ADP</t>
  </si>
  <si>
    <t>Electric Accum Depr &amp; Depr Expense</t>
  </si>
  <si>
    <t>C-IPL</t>
  </si>
  <si>
    <t>Elect Intangible Plt--Software</t>
  </si>
  <si>
    <t>C-AAM</t>
  </si>
  <si>
    <t>Accum Amort--Intangible Plt--Software</t>
  </si>
  <si>
    <t>E-CAM</t>
  </si>
  <si>
    <t>Power Supply Expense - Miscellaneous</t>
  </si>
  <si>
    <t>Elec Accum Amort &amp; Amort Exp--Softwr</t>
  </si>
  <si>
    <t>E-ROR</t>
  </si>
  <si>
    <t>Electric Rate of Return Report</t>
  </si>
  <si>
    <t>Electric Data Matrix</t>
  </si>
  <si>
    <t>Criteria Area:</t>
  </si>
  <si>
    <t>Extract Area:</t>
  </si>
  <si>
    <t>RecType</t>
  </si>
  <si>
    <t>Utility</t>
  </si>
  <si>
    <t>Main</t>
  </si>
  <si>
    <t>Sub</t>
  </si>
  <si>
    <t>WO</t>
  </si>
  <si>
    <t>Loc</t>
  </si>
  <si>
    <t>Tamt</t>
  </si>
  <si>
    <t>Aamt</t>
  </si>
  <si>
    <t>DWamt</t>
  </si>
  <si>
    <t>DIamt</t>
  </si>
  <si>
    <t>DIRECT</t>
  </si>
  <si>
    <t>Cabinet Gorge</t>
  </si>
  <si>
    <t>ED.C3.317000</t>
  </si>
  <si>
    <t>ED.C4.317000</t>
  </si>
  <si>
    <t>ED.KF.317000</t>
  </si>
  <si>
    <t>Record</t>
  </si>
  <si>
    <t>Work</t>
  </si>
  <si>
    <t>TOTAL</t>
  </si>
  <si>
    <t>ALLOCATED</t>
  </si>
  <si>
    <t>Depreciation Expense is recorded to Account 182376.</t>
  </si>
  <si>
    <t>WA</t>
  </si>
  <si>
    <t>ID</t>
  </si>
  <si>
    <t>Type</t>
  </si>
  <si>
    <t>Account</t>
  </si>
  <si>
    <t>Acct</t>
  </si>
  <si>
    <t>Order</t>
  </si>
  <si>
    <t>Location</t>
  </si>
  <si>
    <t>AMOUNT</t>
  </si>
  <si>
    <t>Depreciation Expense:</t>
  </si>
  <si>
    <t>Amortization Expense:</t>
  </si>
  <si>
    <t>Taxes Other Than Income Tax:</t>
  </si>
  <si>
    <t>Income Tax:</t>
  </si>
  <si>
    <t>Deferred Federal Income Tax Expense:</t>
  </si>
  <si>
    <t>Schedule M Items:</t>
  </si>
  <si>
    <t>Revenue:</t>
  </si>
  <si>
    <t>O&amp;M Expense:</t>
  </si>
  <si>
    <t>Accumulated Depreciation:</t>
  </si>
  <si>
    <t>X1</t>
  </si>
  <si>
    <t>X2</t>
  </si>
  <si>
    <t>X3</t>
  </si>
  <si>
    <t>X4</t>
  </si>
  <si>
    <t>X5</t>
  </si>
  <si>
    <t>X7</t>
  </si>
  <si>
    <t>Accumulated Amortization:</t>
  </si>
  <si>
    <t>Common Intangible Plant:</t>
  </si>
  <si>
    <t>Common Plant:</t>
  </si>
  <si>
    <t>Electric Plant:</t>
  </si>
  <si>
    <t>Adjustments to Net Plant:</t>
  </si>
  <si>
    <t>Other (Used for DSM Sch M Amortization)</t>
  </si>
  <si>
    <t>end</t>
  </si>
  <si>
    <t>ELECTRIC MODEL BALANCING REPORT</t>
  </si>
  <si>
    <t>Reference</t>
  </si>
  <si>
    <t>Description</t>
  </si>
  <si>
    <t>System Total</t>
  </si>
  <si>
    <t>Check To</t>
  </si>
  <si>
    <t>INCOME STATEMENT AMOUNTS:</t>
  </si>
  <si>
    <t>Revenue</t>
  </si>
  <si>
    <t>O&amp;M Expense</t>
  </si>
  <si>
    <t>Depreciation Expense</t>
  </si>
  <si>
    <t>Amortization Expense</t>
  </si>
  <si>
    <t>Taxes Other Than Federal Income Taxes</t>
  </si>
  <si>
    <t>No. of Allocation Errors</t>
  </si>
  <si>
    <t>Check Report E-ALL</t>
  </si>
  <si>
    <t>F &amp; O</t>
  </si>
  <si>
    <t>Schedule M Additions</t>
  </si>
  <si>
    <t>Tax Rate-Sys</t>
  </si>
  <si>
    <t>Schedule M Deductions</t>
  </si>
  <si>
    <t>Tax Rate-Wa</t>
  </si>
  <si>
    <t>Tax Rate-Ida</t>
  </si>
  <si>
    <t>Washington</t>
  </si>
  <si>
    <t>Idaho</t>
  </si>
  <si>
    <t>Manual Entry for Number of Customers</t>
  </si>
  <si>
    <t>PLANT (CK ENDING BAL REPORTS ONLY): E-PLT, C-GPL &amp; C-IPL</t>
  </si>
  <si>
    <t>Directly Assigned</t>
  </si>
  <si>
    <t>Utility 7</t>
  </si>
  <si>
    <t>Utility 8</t>
  </si>
  <si>
    <t>S/B ZERO</t>
  </si>
  <si>
    <t>Utility 9</t>
  </si>
  <si>
    <t>Plant in Service  (Before E/G Allocation)</t>
  </si>
  <si>
    <t>Accum Depreciation  (Before E/G Allocation)</t>
  </si>
  <si>
    <t>CIT Telephone Lease</t>
  </si>
  <si>
    <t>E-PLT &amp; C-AAM</t>
  </si>
  <si>
    <t>Accum Amortization  (Before E/G Allocation)</t>
  </si>
  <si>
    <t>ELECTRIC ALLOCATION PERCENTAGES</t>
  </si>
  <si>
    <t>Basis</t>
  </si>
  <si>
    <t>Ref</t>
  </si>
  <si>
    <t>System</t>
  </si>
  <si>
    <t>Input</t>
  </si>
  <si>
    <t>Production/Transmission  Ratio</t>
  </si>
  <si>
    <t>Number of Customers</t>
  </si>
  <si>
    <t xml:space="preserve">  Percent</t>
  </si>
  <si>
    <t>Direct Distribution Operating Expense</t>
  </si>
  <si>
    <t>Jurisdictional 4-Factor Ratio</t>
  </si>
  <si>
    <t xml:space="preserve">   Direct O &amp; M Accts 500 - 598</t>
  </si>
  <si>
    <t>AVISTA UTILITIES</t>
  </si>
  <si>
    <t xml:space="preserve">  EXPENSE--ACCOUNT 0557</t>
  </si>
  <si>
    <t>Washington ERM Deferred</t>
  </si>
  <si>
    <t>Washington ERM Amortization</t>
  </si>
  <si>
    <t xml:space="preserve">   Direct O &amp; M Accts 901 - 935</t>
  </si>
  <si>
    <t>Total</t>
  </si>
  <si>
    <t>Percentage</t>
  </si>
  <si>
    <t xml:space="preserve">   Direct Labor Accts 901 - 935</t>
  </si>
  <si>
    <t xml:space="preserve">   Number of Customers</t>
  </si>
  <si>
    <t xml:space="preserve">   Net Direct Plant</t>
  </si>
  <si>
    <t>Total Percentages</t>
  </si>
  <si>
    <t>Electric</t>
  </si>
  <si>
    <t xml:space="preserve">   Accts 901 - 905 Utility 9 Only</t>
  </si>
  <si>
    <t>XXXXXX</t>
  </si>
  <si>
    <t>WWP Gas/WPNG Gas 4-Factor</t>
  </si>
  <si>
    <t xml:space="preserve">   Less: Direct O &amp; M Accts 901 - 905</t>
  </si>
  <si>
    <t>Net Electric Distribution Plant</t>
  </si>
  <si>
    <t>Book Deprec (0403.XX, 0404.11 &amp; 0406.XX)</t>
  </si>
  <si>
    <t>Net Electric Plant</t>
  </si>
  <si>
    <t>Net Electric General Plant</t>
  </si>
  <si>
    <t>Not Allocated</t>
  </si>
  <si>
    <t>Situs Plant by Functional Group:</t>
  </si>
  <si>
    <t>(Used to functionalize R&amp;P Property Tax on</t>
  </si>
  <si>
    <t xml:space="preserve"> Report E-OTX)</t>
  </si>
  <si>
    <t>Montana</t>
  </si>
  <si>
    <t>Balance Date</t>
  </si>
  <si>
    <t>Production</t>
  </si>
  <si>
    <t>Transmission</t>
  </si>
  <si>
    <t>General</t>
  </si>
  <si>
    <t xml:space="preserve">  TOTAL</t>
  </si>
  <si>
    <t>SPECIAL MANUAL ADJUSTMENTS:</t>
  </si>
  <si>
    <t>Adjustments to NOI  (Report E-ROR):</t>
  </si>
  <si>
    <t>Kettle Falls Disallowed Plant Depreciation</t>
  </si>
  <si>
    <t>Colstrip 3 AFUDC Reallocation</t>
  </si>
  <si>
    <t>ELECTRIC OPERATING STATEMENT</t>
  </si>
  <si>
    <t xml:space="preserve"> ***************** SYSTEM *****************</t>
  </si>
  <si>
    <t>Deprec Exp-Prod Plant (403x10, 403x20, 403x30)</t>
  </si>
  <si>
    <t>A</t>
  </si>
  <si>
    <t>Average  (CD AA)</t>
  </si>
  <si>
    <t>Average  (GD AA)</t>
  </si>
  <si>
    <t>Average  (CD AN/ID/WA)</t>
  </si>
  <si>
    <t>Colstrip Settlement - ID</t>
  </si>
  <si>
    <t>Colstrip Settlement - WA</t>
  </si>
  <si>
    <t>Clark Fork Preventive Maint. Exp (PME's)</t>
  </si>
  <si>
    <t>Other Power Supply Expense - Financial</t>
  </si>
  <si>
    <t>From last ID GRC (AVU-E-04-1)</t>
  </si>
  <si>
    <t>From last WA GRC (UE-070804)</t>
  </si>
  <si>
    <t xml:space="preserve">Total Net FIT/Deferred FIT </t>
  </si>
  <si>
    <t>Chicago Climate Exchange</t>
  </si>
  <si>
    <t>Amortization of CCX Credits</t>
  </si>
  <si>
    <t>Amt of CCX Credits</t>
  </si>
  <si>
    <t>AFUDC - not picked up for Results</t>
  </si>
  <si>
    <t>- Plant (12/07)</t>
  </si>
  <si>
    <t>- Accum Deprec (12/07)</t>
  </si>
  <si>
    <t>12/31/07</t>
  </si>
  <si>
    <t>Colstrip 3 AFUDC Reallocation - 12/07</t>
  </si>
  <si>
    <t>Corp. Acctg. Sch M Deductions</t>
  </si>
  <si>
    <t>September 30, 2008</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</si>
</sst>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
    <numFmt numFmtId="166" formatCode="0.000%"/>
    <numFmt numFmtId="167" formatCode="0000.00"/>
    <numFmt numFmtId="168" formatCode="000"/>
    <numFmt numFmtId="169" formatCode="00"/>
    <numFmt numFmtId="170" formatCode="0000"/>
    <numFmt numFmtId="171" formatCode="&quot;$&quot;#,##0"/>
    <numFmt numFmtId="172" formatCode="General_)"/>
    <numFmt numFmtId="173" formatCode="0.00_)"/>
    <numFmt numFmtId="174" formatCode="m/d/yy"/>
    <numFmt numFmtId="175" formatCode="m/d/yy"/>
    <numFmt numFmtId="176" formatCode="0.0%"/>
    <numFmt numFmtId="177" formatCode="#,##0.0"/>
    <numFmt numFmtId="178" formatCode="0000.0"/>
    <numFmt numFmtId="179" formatCode="0.0"/>
    <numFmt numFmtId="180" formatCode="0000.000"/>
    <numFmt numFmtId="181" formatCode="0000.0000"/>
    <numFmt numFmtId="182" formatCode="&quot;$&quot;#,##0.0_);[Red]\(&quot;$&quot;#,##0.0\)"/>
    <numFmt numFmtId="183" formatCode="_(* #,##0_);_(* \(#,##0\);_(* &quot;-&quot;??_);_(@_)"/>
    <numFmt numFmtId="184" formatCode="_(* #,##0.00000_);_(* \(#,##0.00000\);_(* &quot;-&quot;??_);_(@_)"/>
    <numFmt numFmtId="185" formatCode="#,##0.0_);\(#,##0.0\)"/>
    <numFmt numFmtId="186" formatCode="0_);\(0\)"/>
    <numFmt numFmtId="187" formatCode="#,##0.0000"/>
    <numFmt numFmtId="188" formatCode="0.0000%"/>
    <numFmt numFmtId="189" formatCode="#,##0.000_);\(#,##0.000\)"/>
    <numFmt numFmtId="190" formatCode="#,##0.0000_);\(#,##0.0000\)"/>
  </numFmts>
  <fonts count="24">
    <font>
      <sz val="10"/>
      <name val="Tms Rmn"/>
      <family val="0"/>
    </font>
    <font>
      <b/>
      <sz val="9"/>
      <name val="Courier"/>
      <family val="0"/>
    </font>
    <font>
      <i/>
      <sz val="9"/>
      <name val="Courier"/>
      <family val="0"/>
    </font>
    <font>
      <b/>
      <i/>
      <sz val="9"/>
      <name val="Courier"/>
      <family val="0"/>
    </font>
    <font>
      <sz val="10"/>
      <name val="Geneva"/>
      <family val="0"/>
    </font>
    <font>
      <sz val="18"/>
      <name val="Tms Rmn"/>
      <family val="0"/>
    </font>
    <font>
      <sz val="9"/>
      <name val="Tahoma"/>
      <family val="0"/>
    </font>
    <font>
      <sz val="11"/>
      <name val="Tms Rmn"/>
      <family val="0"/>
    </font>
    <font>
      <b/>
      <sz val="11"/>
      <name val="Tms Rmn"/>
      <family val="0"/>
    </font>
    <font>
      <b/>
      <sz val="10"/>
      <color indexed="10"/>
      <name val="Tms Rmn"/>
      <family val="0"/>
    </font>
    <font>
      <sz val="10"/>
      <color indexed="10"/>
      <name val="Tms Rmn"/>
      <family val="0"/>
    </font>
    <font>
      <sz val="11"/>
      <color indexed="12"/>
      <name val="Tms Rmn"/>
      <family val="0"/>
    </font>
    <font>
      <sz val="14"/>
      <color indexed="10"/>
      <name val="Tms Rmn"/>
      <family val="0"/>
    </font>
    <font>
      <sz val="8"/>
      <name val="Tahoma"/>
      <family val="0"/>
    </font>
    <font>
      <sz val="10"/>
      <color indexed="12"/>
      <name val="Tms Rmn"/>
      <family val="0"/>
    </font>
    <font>
      <b/>
      <sz val="10"/>
      <color indexed="53"/>
      <name val="Tms Rmn"/>
      <family val="0"/>
    </font>
    <font>
      <b/>
      <sz val="8"/>
      <name val="Tahoma"/>
      <family val="0"/>
    </font>
    <font>
      <b/>
      <sz val="10"/>
      <name val="Tms Rmn"/>
      <family val="0"/>
    </font>
    <font>
      <b/>
      <sz val="10"/>
      <color indexed="12"/>
      <name val="Tms Rmn"/>
      <family val="0"/>
    </font>
    <font>
      <b/>
      <sz val="10"/>
      <name val="Tahoma"/>
      <family val="2"/>
    </font>
    <font>
      <sz val="8"/>
      <name val="Tms Rmn"/>
      <family val="0"/>
    </font>
    <font>
      <u val="single"/>
      <sz val="10"/>
      <color indexed="12"/>
      <name val="Tms Rmn"/>
      <family val="0"/>
    </font>
    <font>
      <u val="single"/>
      <sz val="10"/>
      <color indexed="36"/>
      <name val="Tms Rmn"/>
      <family val="0"/>
    </font>
    <font>
      <b/>
      <sz val="8"/>
      <name val="Tms Rmn"/>
      <family val="2"/>
    </font>
  </fonts>
  <fills count="2">
    <fill>
      <patternFill/>
    </fill>
    <fill>
      <patternFill patternType="gray125"/>
    </fill>
  </fills>
  <borders count="19">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thin"/>
      <top style="thin"/>
      <bottom style="double"/>
    </border>
    <border>
      <left style="thin"/>
      <right>
        <color indexed="63"/>
      </right>
      <top style="thin"/>
      <bottom style="thin"/>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4" fillId="0" borderId="0" applyFont="0" applyFill="0" applyBorder="0" applyAlignment="0" applyProtection="0"/>
  </cellStyleXfs>
  <cellXfs count="365">
    <xf numFmtId="0" fontId="0" fillId="0" borderId="0" xfId="0" applyAlignment="1">
      <alignment/>
    </xf>
    <xf numFmtId="3" fontId="7" fillId="0" borderId="0" xfId="0" applyNumberFormat="1" applyFont="1" applyAlignment="1">
      <alignment horizontal="center"/>
    </xf>
    <xf numFmtId="167" fontId="7" fillId="0" borderId="0" xfId="0" applyNumberFormat="1" applyFont="1" applyAlignment="1">
      <alignment/>
    </xf>
    <xf numFmtId="3" fontId="7" fillId="0" borderId="0" xfId="0" applyNumberFormat="1" applyFont="1" applyAlignment="1">
      <alignment/>
    </xf>
    <xf numFmtId="0" fontId="7" fillId="0" borderId="0" xfId="0" applyFont="1" applyAlignment="1">
      <alignment/>
    </xf>
    <xf numFmtId="3" fontId="7" fillId="0" borderId="1" xfId="0" applyNumberFormat="1" applyFont="1" applyBorder="1" applyAlignment="1">
      <alignment/>
    </xf>
    <xf numFmtId="3" fontId="7" fillId="0" borderId="2" xfId="0" applyNumberFormat="1" applyFont="1" applyBorder="1" applyAlignment="1">
      <alignment/>
    </xf>
    <xf numFmtId="167" fontId="7" fillId="0" borderId="3" xfId="0" applyNumberFormat="1" applyFont="1" applyBorder="1" applyAlignment="1">
      <alignment/>
    </xf>
    <xf numFmtId="0" fontId="7" fillId="0" borderId="3" xfId="0" applyFont="1" applyBorder="1" applyAlignment="1">
      <alignment/>
    </xf>
    <xf numFmtId="0" fontId="7" fillId="0" borderId="4" xfId="0" applyFont="1" applyBorder="1" applyAlignment="1">
      <alignment/>
    </xf>
    <xf numFmtId="0" fontId="7" fillId="0" borderId="5" xfId="0" applyFont="1" applyBorder="1" applyAlignment="1">
      <alignment horizontal="center"/>
    </xf>
    <xf numFmtId="3" fontId="7" fillId="0" borderId="6" xfId="0" applyNumberFormat="1" applyFont="1" applyBorder="1" applyAlignment="1">
      <alignment/>
    </xf>
    <xf numFmtId="0" fontId="7" fillId="0" borderId="1" xfId="0" applyFont="1" applyBorder="1" applyAlignment="1">
      <alignment/>
    </xf>
    <xf numFmtId="167" fontId="7" fillId="0" borderId="7" xfId="0" applyNumberFormat="1" applyFont="1" applyBorder="1" applyAlignment="1">
      <alignment horizontal="center"/>
    </xf>
    <xf numFmtId="0" fontId="7" fillId="0" borderId="6" xfId="0" applyFont="1" applyBorder="1" applyAlignment="1">
      <alignment/>
    </xf>
    <xf numFmtId="0" fontId="7" fillId="0" borderId="7" xfId="0" applyFont="1" applyBorder="1" applyAlignment="1">
      <alignment horizontal="center"/>
    </xf>
    <xf numFmtId="0" fontId="7" fillId="0" borderId="8" xfId="0" applyFont="1" applyBorder="1" applyAlignment="1">
      <alignment/>
    </xf>
    <xf numFmtId="167" fontId="7" fillId="0" borderId="9" xfId="0" applyNumberFormat="1" applyFont="1" applyBorder="1" applyAlignment="1">
      <alignment/>
    </xf>
    <xf numFmtId="0" fontId="7" fillId="0" borderId="9" xfId="0" applyFont="1" applyBorder="1" applyAlignment="1">
      <alignment/>
    </xf>
    <xf numFmtId="0" fontId="7" fillId="0" borderId="10" xfId="0" applyFont="1" applyBorder="1" applyAlignment="1">
      <alignment/>
    </xf>
    <xf numFmtId="0" fontId="7" fillId="0" borderId="11" xfId="0" applyFont="1" applyBorder="1" applyAlignment="1">
      <alignment horizontal="center"/>
    </xf>
    <xf numFmtId="3" fontId="7" fillId="0" borderId="9" xfId="0" applyNumberFormat="1" applyFont="1" applyBorder="1" applyAlignment="1">
      <alignment horizontal="center"/>
    </xf>
    <xf numFmtId="167" fontId="7" fillId="0" borderId="9" xfId="0" applyNumberFormat="1" applyFont="1" applyBorder="1" applyAlignment="1">
      <alignment horizontal="center"/>
    </xf>
    <xf numFmtId="3" fontId="7" fillId="0" borderId="0" xfId="0" applyNumberFormat="1" applyFont="1" applyBorder="1" applyAlignment="1">
      <alignment horizontal="center"/>
    </xf>
    <xf numFmtId="170" fontId="7" fillId="0" borderId="0" xfId="0" applyNumberFormat="1" applyFont="1" applyAlignment="1">
      <alignment horizontal="center"/>
    </xf>
    <xf numFmtId="167" fontId="7" fillId="0" borderId="0" xfId="0" applyNumberFormat="1" applyFont="1" applyAlignment="1">
      <alignment horizontal="center"/>
    </xf>
    <xf numFmtId="3" fontId="7" fillId="0" borderId="0" xfId="0" applyNumberFormat="1" applyFont="1" applyBorder="1" applyAlignment="1">
      <alignment/>
    </xf>
    <xf numFmtId="3" fontId="7" fillId="0" borderId="12" xfId="0" applyNumberFormat="1" applyFont="1" applyBorder="1" applyAlignment="1">
      <alignment/>
    </xf>
    <xf numFmtId="3" fontId="7" fillId="0" borderId="13" xfId="0" applyNumberFormat="1" applyFont="1" applyBorder="1" applyAlignment="1">
      <alignment/>
    </xf>
    <xf numFmtId="1" fontId="7" fillId="0" borderId="0" xfId="0" applyNumberFormat="1" applyFont="1" applyAlignment="1">
      <alignment horizontal="center"/>
    </xf>
    <xf numFmtId="166" fontId="7" fillId="0" borderId="0" xfId="0" applyNumberFormat="1" applyFont="1" applyAlignment="1">
      <alignment/>
    </xf>
    <xf numFmtId="166" fontId="7" fillId="0" borderId="0" xfId="0" applyNumberFormat="1" applyFont="1" applyBorder="1" applyAlignment="1">
      <alignment/>
    </xf>
    <xf numFmtId="0" fontId="7" fillId="0" borderId="0" xfId="0" applyFont="1" applyAlignment="1">
      <alignment horizontal="center"/>
    </xf>
    <xf numFmtId="166" fontId="7" fillId="0" borderId="14" xfId="0" applyNumberFormat="1" applyFont="1" applyBorder="1" applyAlignment="1">
      <alignment/>
    </xf>
    <xf numFmtId="3" fontId="7" fillId="0" borderId="14" xfId="0" applyNumberFormat="1" applyFont="1" applyBorder="1" applyAlignment="1">
      <alignment/>
    </xf>
    <xf numFmtId="3" fontId="7" fillId="0" borderId="3" xfId="0" applyNumberFormat="1" applyFont="1" applyBorder="1" applyAlignment="1">
      <alignment/>
    </xf>
    <xf numFmtId="167" fontId="7" fillId="0" borderId="0" xfId="0" applyNumberFormat="1" applyFont="1" applyAlignment="1">
      <alignment horizontal="left"/>
    </xf>
    <xf numFmtId="3" fontId="7" fillId="0" borderId="0" xfId="0" applyNumberFormat="1" applyFont="1" applyAlignment="1">
      <alignment horizontal="left"/>
    </xf>
    <xf numFmtId="1" fontId="7" fillId="0" borderId="0" xfId="0" applyNumberFormat="1" applyFont="1" applyAlignment="1">
      <alignment horizontal="left"/>
    </xf>
    <xf numFmtId="2" fontId="7" fillId="0" borderId="0" xfId="0" applyNumberFormat="1" applyFont="1" applyAlignment="1">
      <alignment/>
    </xf>
    <xf numFmtId="38" fontId="7" fillId="0" borderId="0" xfId="16" applyFont="1" applyBorder="1" applyAlignment="1">
      <alignment/>
    </xf>
    <xf numFmtId="0" fontId="0" fillId="0" borderId="0" xfId="0" applyAlignment="1">
      <alignment horizontal="center"/>
    </xf>
    <xf numFmtId="3" fontId="0" fillId="0" borderId="0" xfId="0" applyNumberFormat="1" applyAlignment="1">
      <alignment/>
    </xf>
    <xf numFmtId="0" fontId="0" fillId="0" borderId="0" xfId="0" applyAlignment="1" quotePrefix="1">
      <alignment/>
    </xf>
    <xf numFmtId="0" fontId="0" fillId="0" borderId="0" xfId="0" applyAlignment="1" quotePrefix="1">
      <alignment horizontal="center"/>
    </xf>
    <xf numFmtId="0" fontId="9" fillId="0" borderId="0" xfId="0" applyFont="1" applyAlignment="1">
      <alignment/>
    </xf>
    <xf numFmtId="0" fontId="0" fillId="0" borderId="0" xfId="0" applyAlignment="1">
      <alignment horizontal="right"/>
    </xf>
    <xf numFmtId="39" fontId="0" fillId="0" borderId="0" xfId="0" applyNumberFormat="1" applyAlignment="1">
      <alignment horizontal="right"/>
    </xf>
    <xf numFmtId="3" fontId="0" fillId="0" borderId="2" xfId="0" applyNumberFormat="1" applyBorder="1" applyAlignment="1">
      <alignment/>
    </xf>
    <xf numFmtId="0" fontId="0" fillId="0" borderId="4" xfId="0" applyBorder="1" applyAlignment="1">
      <alignment/>
    </xf>
    <xf numFmtId="0" fontId="0" fillId="0" borderId="0" xfId="0" applyBorder="1" applyAlignment="1">
      <alignment horizontal="center"/>
    </xf>
    <xf numFmtId="0" fontId="0" fillId="0" borderId="1" xfId="0" applyBorder="1" applyAlignment="1">
      <alignment/>
    </xf>
    <xf numFmtId="0" fontId="0" fillId="0" borderId="10" xfId="0" applyBorder="1" applyAlignment="1">
      <alignment/>
    </xf>
    <xf numFmtId="0" fontId="0" fillId="0" borderId="0" xfId="0" applyBorder="1" applyAlignment="1">
      <alignment/>
    </xf>
    <xf numFmtId="0" fontId="0" fillId="0" borderId="9" xfId="0" applyBorder="1" applyAlignment="1">
      <alignment horizontal="center"/>
    </xf>
    <xf numFmtId="3" fontId="0" fillId="0" borderId="0" xfId="0" applyNumberFormat="1" applyBorder="1" applyAlignment="1">
      <alignment/>
    </xf>
    <xf numFmtId="0" fontId="17" fillId="0" borderId="0" xfId="0" applyFont="1" applyAlignment="1">
      <alignment/>
    </xf>
    <xf numFmtId="6" fontId="0" fillId="0" borderId="0" xfId="17" applyNumberFormat="1" applyBorder="1" applyAlignment="1">
      <alignment/>
    </xf>
    <xf numFmtId="39" fontId="14" fillId="0" borderId="0" xfId="0" applyNumberFormat="1" applyFont="1" applyAlignment="1">
      <alignment horizontal="right"/>
    </xf>
    <xf numFmtId="10" fontId="0" fillId="0" borderId="0" xfId="21" applyNumberFormat="1" applyAlignment="1">
      <alignment/>
    </xf>
    <xf numFmtId="166" fontId="0" fillId="0" borderId="0" xfId="21" applyNumberFormat="1" applyAlignment="1">
      <alignment/>
    </xf>
    <xf numFmtId="166" fontId="0" fillId="0" borderId="3" xfId="0" applyNumberFormat="1" applyBorder="1" applyAlignment="1">
      <alignment/>
    </xf>
    <xf numFmtId="3" fontId="0" fillId="0" borderId="6" xfId="0" applyNumberFormat="1" applyBorder="1" applyAlignment="1">
      <alignment/>
    </xf>
    <xf numFmtId="3" fontId="0" fillId="0" borderId="8" xfId="0" applyNumberFormat="1" applyBorder="1" applyAlignment="1">
      <alignment/>
    </xf>
    <xf numFmtId="0" fontId="0" fillId="0" borderId="11" xfId="0" applyBorder="1" applyAlignment="1">
      <alignment/>
    </xf>
    <xf numFmtId="0" fontId="0" fillId="0" borderId="3" xfId="0" applyBorder="1" applyAlignment="1">
      <alignment horizontal="center"/>
    </xf>
    <xf numFmtId="3" fontId="0" fillId="0" borderId="12" xfId="0" applyNumberFormat="1" applyBorder="1" applyAlignment="1">
      <alignment/>
    </xf>
    <xf numFmtId="10" fontId="7" fillId="0" borderId="0" xfId="0" applyNumberFormat="1" applyFont="1" applyAlignment="1">
      <alignment/>
    </xf>
    <xf numFmtId="37" fontId="7" fillId="0" borderId="0" xfId="0" applyNumberFormat="1" applyFont="1" applyAlignment="1">
      <alignment/>
    </xf>
    <xf numFmtId="39" fontId="14" fillId="0" borderId="15" xfId="0" applyNumberFormat="1" applyFont="1" applyBorder="1" applyAlignment="1">
      <alignment horizontal="right"/>
    </xf>
    <xf numFmtId="39" fontId="0" fillId="0" borderId="0" xfId="0" applyNumberFormat="1" applyFont="1" applyAlignment="1">
      <alignment horizontal="right"/>
    </xf>
    <xf numFmtId="0" fontId="9" fillId="0" borderId="0" xfId="0" applyFont="1" applyAlignment="1">
      <alignment horizontal="left"/>
    </xf>
    <xf numFmtId="3" fontId="14" fillId="0" borderId="0" xfId="0" applyNumberFormat="1" applyFont="1" applyFill="1" applyAlignment="1">
      <alignment/>
    </xf>
    <xf numFmtId="3" fontId="0" fillId="0" borderId="0" xfId="0" applyNumberFormat="1" applyFont="1" applyFill="1" applyAlignment="1">
      <alignment/>
    </xf>
    <xf numFmtId="37" fontId="11" fillId="0" borderId="0" xfId="0" applyNumberFormat="1" applyFont="1" applyFill="1" applyAlignment="1" applyProtection="1">
      <alignment/>
      <protection/>
    </xf>
    <xf numFmtId="166" fontId="11" fillId="0" borderId="14" xfId="0" applyNumberFormat="1" applyFont="1" applyFill="1" applyBorder="1" applyAlignment="1" applyProtection="1">
      <alignment/>
      <protection/>
    </xf>
    <xf numFmtId="166" fontId="7" fillId="0" borderId="14" xfId="0" applyNumberFormat="1" applyFont="1" applyFill="1" applyBorder="1" applyAlignment="1" applyProtection="1">
      <alignment/>
      <protection/>
    </xf>
    <xf numFmtId="3" fontId="7" fillId="0" borderId="0" xfId="0" applyNumberFormat="1" applyFont="1" applyFill="1" applyAlignment="1">
      <alignment/>
    </xf>
    <xf numFmtId="3" fontId="7" fillId="0" borderId="1" xfId="0" applyNumberFormat="1" applyFont="1" applyFill="1" applyBorder="1" applyAlignment="1">
      <alignment/>
    </xf>
    <xf numFmtId="3" fontId="0" fillId="0" borderId="0" xfId="0" applyNumberFormat="1" applyFont="1" applyFill="1" applyAlignment="1">
      <alignment horizontal="center"/>
    </xf>
    <xf numFmtId="1" fontId="0" fillId="0" borderId="0" xfId="0" applyNumberFormat="1" applyFont="1" applyFill="1" applyAlignment="1">
      <alignment horizontal="center"/>
    </xf>
    <xf numFmtId="9" fontId="0" fillId="0" borderId="0" xfId="0" applyNumberFormat="1" applyFont="1" applyFill="1" applyAlignment="1">
      <alignment/>
    </xf>
    <xf numFmtId="3" fontId="7" fillId="0" borderId="0" xfId="0" applyNumberFormat="1" applyFont="1" applyFill="1" applyAlignment="1">
      <alignment horizontal="center"/>
    </xf>
    <xf numFmtId="167" fontId="7" fillId="0" borderId="0" xfId="0" applyNumberFormat="1" applyFont="1" applyFill="1" applyAlignment="1">
      <alignment/>
    </xf>
    <xf numFmtId="0" fontId="7" fillId="0" borderId="0" xfId="0" applyFont="1" applyFill="1" applyAlignment="1">
      <alignment/>
    </xf>
    <xf numFmtId="3" fontId="7" fillId="0" borderId="2" xfId="0" applyNumberFormat="1" applyFont="1" applyFill="1" applyBorder="1" applyAlignment="1">
      <alignment/>
    </xf>
    <xf numFmtId="167" fontId="7" fillId="0" borderId="3" xfId="0" applyNumberFormat="1" applyFont="1" applyFill="1" applyBorder="1" applyAlignment="1">
      <alignment/>
    </xf>
    <xf numFmtId="0" fontId="7" fillId="0" borderId="3" xfId="0" applyFont="1" applyFill="1" applyBorder="1" applyAlignment="1">
      <alignment/>
    </xf>
    <xf numFmtId="0" fontId="7" fillId="0" borderId="4" xfId="0" applyFont="1" applyFill="1" applyBorder="1" applyAlignment="1">
      <alignment/>
    </xf>
    <xf numFmtId="0" fontId="7" fillId="0" borderId="5" xfId="0" applyFont="1" applyFill="1" applyBorder="1" applyAlignment="1">
      <alignment horizontal="center"/>
    </xf>
    <xf numFmtId="3" fontId="8" fillId="0" borderId="0" xfId="0" applyNumberFormat="1" applyFont="1" applyFill="1" applyAlignment="1">
      <alignment/>
    </xf>
    <xf numFmtId="0" fontId="7" fillId="0" borderId="6" xfId="0" applyFont="1" applyFill="1" applyBorder="1" applyAlignment="1">
      <alignment/>
    </xf>
    <xf numFmtId="0" fontId="7" fillId="0" borderId="1" xfId="0" applyFont="1" applyFill="1" applyBorder="1" applyAlignment="1">
      <alignment/>
    </xf>
    <xf numFmtId="167" fontId="7" fillId="0" borderId="7" xfId="0" applyNumberFormat="1" applyFont="1" applyFill="1" applyBorder="1" applyAlignment="1">
      <alignment horizontal="center"/>
    </xf>
    <xf numFmtId="0" fontId="7" fillId="0" borderId="8" xfId="0" applyFont="1" applyFill="1" applyBorder="1" applyAlignment="1">
      <alignment/>
    </xf>
    <xf numFmtId="167" fontId="7" fillId="0" borderId="9" xfId="0" applyNumberFormat="1" applyFont="1" applyFill="1" applyBorder="1" applyAlignment="1">
      <alignment/>
    </xf>
    <xf numFmtId="0" fontId="7" fillId="0" borderId="9" xfId="0" applyFont="1" applyFill="1" applyBorder="1" applyAlignment="1">
      <alignment/>
    </xf>
    <xf numFmtId="0" fontId="7" fillId="0" borderId="10" xfId="0" applyFont="1" applyFill="1" applyBorder="1" applyAlignment="1">
      <alignment/>
    </xf>
    <xf numFmtId="0" fontId="7" fillId="0" borderId="11" xfId="0" applyFont="1" applyFill="1" applyBorder="1" applyAlignment="1">
      <alignment horizontal="center"/>
    </xf>
    <xf numFmtId="3" fontId="7" fillId="0" borderId="9" xfId="0" applyNumberFormat="1" applyFont="1" applyFill="1" applyBorder="1" applyAlignment="1">
      <alignment horizontal="center"/>
    </xf>
    <xf numFmtId="167" fontId="7" fillId="0" borderId="9" xfId="0" applyNumberFormat="1" applyFont="1" applyFill="1" applyBorder="1" applyAlignment="1">
      <alignment horizontal="center"/>
    </xf>
    <xf numFmtId="3" fontId="7" fillId="0" borderId="0" xfId="0" applyNumberFormat="1" applyFont="1" applyFill="1" applyBorder="1" applyAlignment="1">
      <alignment horizontal="center"/>
    </xf>
    <xf numFmtId="167" fontId="7" fillId="0" borderId="0" xfId="0" applyNumberFormat="1" applyFont="1" applyFill="1" applyBorder="1" applyAlignment="1">
      <alignment horizontal="center"/>
    </xf>
    <xf numFmtId="0" fontId="7" fillId="0" borderId="0" xfId="0" applyFont="1" applyFill="1" applyBorder="1" applyAlignment="1">
      <alignment/>
    </xf>
    <xf numFmtId="3" fontId="7" fillId="0" borderId="4" xfId="0" applyNumberFormat="1" applyFont="1" applyFill="1" applyBorder="1" applyAlignment="1">
      <alignment horizontal="center"/>
    </xf>
    <xf numFmtId="170" fontId="7" fillId="0" borderId="0" xfId="0" applyNumberFormat="1" applyFont="1" applyFill="1" applyAlignment="1">
      <alignment horizontal="center"/>
    </xf>
    <xf numFmtId="167" fontId="7" fillId="0" borderId="0" xfId="0" applyNumberFormat="1" applyFont="1" applyFill="1" applyAlignment="1">
      <alignment horizontal="center"/>
    </xf>
    <xf numFmtId="3" fontId="7" fillId="0" borderId="12" xfId="0" applyNumberFormat="1" applyFont="1" applyFill="1" applyBorder="1" applyAlignment="1">
      <alignment/>
    </xf>
    <xf numFmtId="3" fontId="7" fillId="0" borderId="13" xfId="0" applyNumberFormat="1" applyFont="1" applyFill="1" applyBorder="1" applyAlignment="1">
      <alignment/>
    </xf>
    <xf numFmtId="3" fontId="7" fillId="0" borderId="0" xfId="0" applyNumberFormat="1" applyFont="1" applyFill="1" applyBorder="1" applyAlignment="1">
      <alignment/>
    </xf>
    <xf numFmtId="3" fontId="7" fillId="0" borderId="6" xfId="0" applyNumberFormat="1" applyFont="1" applyFill="1" applyBorder="1" applyAlignment="1">
      <alignment/>
    </xf>
    <xf numFmtId="3" fontId="7" fillId="0" borderId="9" xfId="0" applyNumberFormat="1" applyFont="1" applyFill="1" applyBorder="1" applyAlignment="1">
      <alignment/>
    </xf>
    <xf numFmtId="3" fontId="7" fillId="0" borderId="10" xfId="0" applyNumberFormat="1" applyFont="1" applyFill="1" applyBorder="1" applyAlignment="1">
      <alignment/>
    </xf>
    <xf numFmtId="3" fontId="7" fillId="0" borderId="3" xfId="0" applyNumberFormat="1" applyFont="1" applyFill="1" applyBorder="1" applyAlignment="1">
      <alignment/>
    </xf>
    <xf numFmtId="3" fontId="7" fillId="0" borderId="4" xfId="0" applyNumberFormat="1" applyFont="1" applyFill="1" applyBorder="1" applyAlignment="1">
      <alignment/>
    </xf>
    <xf numFmtId="167" fontId="7" fillId="0" borderId="0" xfId="0" applyNumberFormat="1" applyFont="1" applyFill="1" applyAlignment="1">
      <alignment horizontal="left"/>
    </xf>
    <xf numFmtId="1" fontId="7" fillId="0" borderId="0" xfId="0" applyNumberFormat="1" applyFont="1" applyFill="1" applyAlignment="1">
      <alignment horizontal="center"/>
    </xf>
    <xf numFmtId="166" fontId="7" fillId="0" borderId="0" xfId="0" applyNumberFormat="1" applyFont="1" applyFill="1" applyAlignment="1">
      <alignment/>
    </xf>
    <xf numFmtId="166" fontId="7" fillId="0" borderId="0" xfId="0" applyNumberFormat="1" applyFont="1" applyFill="1" applyBorder="1" applyAlignment="1">
      <alignment/>
    </xf>
    <xf numFmtId="0" fontId="0" fillId="0" borderId="0" xfId="0" applyFont="1" applyFill="1" applyAlignment="1">
      <alignment/>
    </xf>
    <xf numFmtId="1" fontId="0" fillId="0" borderId="0" xfId="0" applyNumberFormat="1" applyFont="1" applyFill="1" applyAlignment="1">
      <alignment/>
    </xf>
    <xf numFmtId="3" fontId="9" fillId="0" borderId="0" xfId="0" applyNumberFormat="1" applyFont="1" applyFill="1" applyAlignment="1">
      <alignment/>
    </xf>
    <xf numFmtId="0" fontId="9" fillId="0" borderId="0" xfId="0" applyFont="1" applyFill="1" applyAlignment="1">
      <alignment/>
    </xf>
    <xf numFmtId="0" fontId="0" fillId="0" borderId="0" xfId="0" applyFill="1" applyAlignment="1">
      <alignment/>
    </xf>
    <xf numFmtId="3" fontId="0" fillId="0" borderId="2" xfId="0" applyNumberFormat="1" applyFont="1" applyFill="1" applyBorder="1" applyAlignment="1">
      <alignment/>
    </xf>
    <xf numFmtId="167" fontId="0" fillId="0" borderId="3" xfId="0" applyNumberFormat="1" applyFont="1" applyFill="1" applyBorder="1" applyAlignment="1">
      <alignment/>
    </xf>
    <xf numFmtId="0" fontId="0" fillId="0" borderId="3" xfId="0" applyFont="1" applyFill="1" applyBorder="1" applyAlignment="1">
      <alignment/>
    </xf>
    <xf numFmtId="0" fontId="0" fillId="0" borderId="4" xfId="0" applyFont="1" applyFill="1" applyBorder="1" applyAlignment="1">
      <alignment/>
    </xf>
    <xf numFmtId="0" fontId="0" fillId="0" borderId="5" xfId="0" applyFont="1" applyFill="1" applyBorder="1" applyAlignment="1">
      <alignment horizontal="center"/>
    </xf>
    <xf numFmtId="0" fontId="0" fillId="0" borderId="6" xfId="0" applyFont="1" applyFill="1" applyBorder="1" applyAlignment="1">
      <alignment/>
    </xf>
    <xf numFmtId="0" fontId="0" fillId="0" borderId="1" xfId="0" applyFont="1" applyFill="1" applyBorder="1" applyAlignment="1">
      <alignment/>
    </xf>
    <xf numFmtId="167" fontId="0" fillId="0" borderId="7" xfId="0" applyNumberFormat="1" applyFont="1" applyFill="1" applyBorder="1" applyAlignment="1">
      <alignment horizontal="center"/>
    </xf>
    <xf numFmtId="0" fontId="0" fillId="0" borderId="8" xfId="0" applyFont="1" applyFill="1" applyBorder="1" applyAlignment="1">
      <alignment/>
    </xf>
    <xf numFmtId="167" fontId="0" fillId="0" borderId="9" xfId="0" applyNumberFormat="1" applyFont="1" applyFill="1" applyBorder="1" applyAlignment="1">
      <alignment/>
    </xf>
    <xf numFmtId="0" fontId="0" fillId="0" borderId="9"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horizontal="center"/>
    </xf>
    <xf numFmtId="3" fontId="5" fillId="0" borderId="0" xfId="0" applyNumberFormat="1" applyFont="1" applyFill="1" applyAlignment="1">
      <alignment/>
    </xf>
    <xf numFmtId="3" fontId="0" fillId="0" borderId="0" xfId="0" applyNumberFormat="1" applyFont="1" applyFill="1" applyAlignment="1">
      <alignment horizontal="right"/>
    </xf>
    <xf numFmtId="3" fontId="0" fillId="0" borderId="3" xfId="0" applyNumberFormat="1" applyFont="1" applyFill="1" applyBorder="1" applyAlignment="1">
      <alignment/>
    </xf>
    <xf numFmtId="3" fontId="0" fillId="0" borderId="4" xfId="0" applyNumberFormat="1" applyFont="1" applyFill="1" applyBorder="1" applyAlignment="1">
      <alignment/>
    </xf>
    <xf numFmtId="169" fontId="0" fillId="0" borderId="0" xfId="0" applyNumberFormat="1" applyFont="1" applyFill="1" applyAlignment="1">
      <alignment horizontal="center"/>
    </xf>
    <xf numFmtId="3" fontId="0" fillId="0" borderId="1" xfId="0" applyNumberFormat="1" applyFont="1" applyFill="1" applyBorder="1" applyAlignment="1">
      <alignment horizontal="center"/>
    </xf>
    <xf numFmtId="168" fontId="0" fillId="0" borderId="0" xfId="0" applyNumberFormat="1" applyFont="1" applyFill="1" applyAlignment="1">
      <alignment horizontal="center"/>
    </xf>
    <xf numFmtId="169" fontId="0" fillId="0" borderId="9" xfId="0" applyNumberFormat="1" applyFont="1" applyFill="1" applyBorder="1" applyAlignment="1">
      <alignment horizontal="center"/>
    </xf>
    <xf numFmtId="3" fontId="0" fillId="0" borderId="9" xfId="0" applyNumberFormat="1" applyFont="1" applyFill="1" applyBorder="1" applyAlignment="1">
      <alignment horizontal="center"/>
    </xf>
    <xf numFmtId="169" fontId="0" fillId="0" borderId="0" xfId="0" applyNumberFormat="1" applyFont="1" applyFill="1" applyBorder="1" applyAlignment="1">
      <alignment horizontal="center"/>
    </xf>
    <xf numFmtId="168" fontId="7" fillId="0" borderId="0" xfId="0" applyNumberFormat="1" applyFont="1" applyFill="1" applyBorder="1" applyAlignment="1">
      <alignment horizontal="center"/>
    </xf>
    <xf numFmtId="0" fontId="0" fillId="0" borderId="0" xfId="0" applyFill="1" applyAlignment="1">
      <alignment horizontal="center"/>
    </xf>
    <xf numFmtId="3" fontId="0" fillId="0" borderId="0" xfId="0" applyNumberFormat="1" applyFont="1" applyFill="1" applyAlignment="1" quotePrefix="1">
      <alignment/>
    </xf>
    <xf numFmtId="37" fontId="0" fillId="0" borderId="0" xfId="0" applyNumberFormat="1" applyFont="1" applyFill="1" applyAlignment="1">
      <alignment/>
    </xf>
    <xf numFmtId="0" fontId="17" fillId="0" borderId="0" xfId="0" applyFont="1" applyFill="1" applyAlignment="1">
      <alignment/>
    </xf>
    <xf numFmtId="0" fontId="0" fillId="0" borderId="0" xfId="0" applyFont="1" applyFill="1" applyAlignment="1">
      <alignment/>
    </xf>
    <xf numFmtId="37" fontId="0" fillId="0" borderId="0" xfId="0" applyNumberFormat="1" applyFont="1" applyFill="1" applyAlignment="1">
      <alignment/>
    </xf>
    <xf numFmtId="0" fontId="0" fillId="0" borderId="0" xfId="0" applyFont="1" applyFill="1" applyAlignment="1">
      <alignment horizontal="center"/>
    </xf>
    <xf numFmtId="37" fontId="0" fillId="0" borderId="0" xfId="0" applyNumberFormat="1" applyFont="1" applyFill="1" applyAlignment="1">
      <alignment horizontal="center"/>
    </xf>
    <xf numFmtId="0" fontId="0" fillId="0" borderId="0" xfId="0" applyFont="1" applyFill="1" applyAlignment="1" quotePrefix="1">
      <alignment horizontal="center"/>
    </xf>
    <xf numFmtId="37" fontId="0" fillId="0" borderId="14" xfId="0" applyNumberFormat="1" applyFont="1" applyFill="1" applyBorder="1" applyAlignment="1">
      <alignment/>
    </xf>
    <xf numFmtId="37" fontId="0" fillId="0" borderId="15" xfId="0" applyNumberFormat="1" applyFont="1" applyFill="1" applyBorder="1" applyAlignment="1">
      <alignment/>
    </xf>
    <xf numFmtId="0" fontId="17" fillId="0" borderId="0" xfId="0" applyFont="1" applyFill="1" applyAlignment="1">
      <alignment horizontal="left"/>
    </xf>
    <xf numFmtId="3" fontId="18" fillId="0" borderId="0" xfId="0" applyNumberFormat="1" applyFont="1" applyFill="1" applyAlignment="1">
      <alignment/>
    </xf>
    <xf numFmtId="3" fontId="15" fillId="0" borderId="0" xfId="0" applyNumberFormat="1" applyFont="1" applyFill="1" applyAlignment="1">
      <alignment/>
    </xf>
    <xf numFmtId="3" fontId="0" fillId="0" borderId="9" xfId="0" applyNumberFormat="1" applyFont="1" applyFill="1" applyBorder="1" applyAlignment="1">
      <alignment horizontal="left"/>
    </xf>
    <xf numFmtId="167" fontId="0" fillId="0" borderId="9" xfId="0" applyNumberFormat="1" applyFont="1" applyFill="1" applyBorder="1" applyAlignment="1">
      <alignment horizontal="center"/>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0" fontId="0" fillId="0" borderId="0" xfId="0" applyFont="1" applyFill="1" applyBorder="1" applyAlignment="1">
      <alignment/>
    </xf>
    <xf numFmtId="3" fontId="17" fillId="0" borderId="0" xfId="0" applyNumberFormat="1" applyFont="1" applyFill="1" applyAlignment="1">
      <alignment/>
    </xf>
    <xf numFmtId="3" fontId="0" fillId="0" borderId="15" xfId="0" applyNumberFormat="1" applyFont="1" applyFill="1" applyBorder="1" applyAlignment="1">
      <alignment/>
    </xf>
    <xf numFmtId="3" fontId="0" fillId="0" borderId="14" xfId="0" applyNumberFormat="1" applyFont="1" applyFill="1" applyBorder="1" applyAlignment="1">
      <alignment/>
    </xf>
    <xf numFmtId="3" fontId="0" fillId="0" borderId="0" xfId="0" applyNumberFormat="1" applyFill="1" applyAlignment="1">
      <alignment/>
    </xf>
    <xf numFmtId="3" fontId="0" fillId="0" borderId="14" xfId="0" applyNumberFormat="1" applyFill="1" applyBorder="1" applyAlignment="1">
      <alignment/>
    </xf>
    <xf numFmtId="3" fontId="0" fillId="0" borderId="0" xfId="0" applyNumberFormat="1" applyFont="1" applyFill="1" applyBorder="1" applyAlignment="1">
      <alignment/>
    </xf>
    <xf numFmtId="3" fontId="0" fillId="0" borderId="0" xfId="0" applyNumberFormat="1" applyFont="1" applyFill="1" applyAlignment="1">
      <alignment vertical="top"/>
    </xf>
    <xf numFmtId="3" fontId="14" fillId="0" borderId="0" xfId="0" applyNumberFormat="1" applyFont="1" applyFill="1" applyAlignment="1">
      <alignment vertical="top"/>
    </xf>
    <xf numFmtId="3" fontId="12" fillId="0" borderId="0" xfId="0" applyNumberFormat="1" applyFont="1" applyFill="1" applyAlignment="1">
      <alignment/>
    </xf>
    <xf numFmtId="1" fontId="0" fillId="0" borderId="0" xfId="0" applyNumberFormat="1" applyFont="1" applyFill="1" applyAlignment="1">
      <alignment vertical="top"/>
    </xf>
    <xf numFmtId="186" fontId="0" fillId="0" borderId="0" xfId="0" applyNumberFormat="1" applyFont="1" applyFill="1" applyAlignment="1">
      <alignment horizontal="center" vertical="top"/>
    </xf>
    <xf numFmtId="3" fontId="0" fillId="0" borderId="14" xfId="0" applyNumberFormat="1" applyFont="1" applyFill="1" applyBorder="1" applyAlignment="1">
      <alignment vertical="top"/>
    </xf>
    <xf numFmtId="3" fontId="0" fillId="0" borderId="0" xfId="0" applyNumberFormat="1" applyFont="1" applyFill="1" applyAlignment="1">
      <alignment/>
    </xf>
    <xf numFmtId="10" fontId="0" fillId="0" borderId="0" xfId="0" applyNumberFormat="1" applyFont="1" applyFill="1" applyAlignment="1">
      <alignment/>
    </xf>
    <xf numFmtId="3" fontId="0" fillId="0" borderId="9" xfId="0" applyNumberFormat="1" applyFont="1" applyFill="1" applyBorder="1" applyAlignment="1">
      <alignment/>
    </xf>
    <xf numFmtId="166" fontId="0" fillId="0" borderId="0" xfId="0" applyNumberFormat="1" applyFont="1" applyFill="1" applyBorder="1" applyAlignment="1">
      <alignment/>
    </xf>
    <xf numFmtId="14" fontId="0" fillId="0" borderId="0" xfId="0" applyNumberFormat="1" applyFont="1" applyFill="1" applyAlignment="1">
      <alignment/>
    </xf>
    <xf numFmtId="169" fontId="0" fillId="0" borderId="0" xfId="0" applyNumberFormat="1" applyFont="1" applyFill="1" applyAlignment="1">
      <alignment horizontal="left"/>
    </xf>
    <xf numFmtId="10" fontId="0" fillId="0" borderId="0" xfId="21" applyNumberFormat="1" applyFont="1" applyFill="1" applyAlignment="1">
      <alignment/>
    </xf>
    <xf numFmtId="3" fontId="10" fillId="0" borderId="0" xfId="0" applyNumberFormat="1" applyFont="1" applyFill="1" applyAlignment="1">
      <alignment/>
    </xf>
    <xf numFmtId="166" fontId="0" fillId="0" borderId="0" xfId="21" applyNumberFormat="1" applyFont="1" applyFill="1" applyAlignment="1">
      <alignment/>
    </xf>
    <xf numFmtId="3" fontId="14" fillId="0" borderId="0" xfId="0" applyNumberFormat="1" applyFont="1" applyFill="1" applyAlignment="1">
      <alignment/>
    </xf>
    <xf numFmtId="1" fontId="0" fillId="0" borderId="2" xfId="0" applyNumberFormat="1" applyFont="1" applyFill="1" applyBorder="1" applyAlignment="1">
      <alignment/>
    </xf>
    <xf numFmtId="169" fontId="0" fillId="0" borderId="3" xfId="0" applyNumberFormat="1" applyFont="1" applyFill="1" applyBorder="1" applyAlignment="1">
      <alignment horizontal="center"/>
    </xf>
    <xf numFmtId="3" fontId="0" fillId="0" borderId="3" xfId="0" applyNumberFormat="1" applyFont="1" applyFill="1" applyBorder="1" applyAlignment="1" quotePrefix="1">
      <alignment/>
    </xf>
    <xf numFmtId="1" fontId="0" fillId="0" borderId="6" xfId="0" applyNumberFormat="1" applyFont="1" applyFill="1" applyBorder="1" applyAlignment="1">
      <alignment/>
    </xf>
    <xf numFmtId="3" fontId="0" fillId="0" borderId="1" xfId="0" applyNumberFormat="1" applyFont="1" applyFill="1" applyBorder="1" applyAlignment="1">
      <alignment/>
    </xf>
    <xf numFmtId="3" fontId="0" fillId="0" borderId="16" xfId="0" applyNumberFormat="1" applyFont="1" applyFill="1" applyBorder="1" applyAlignment="1">
      <alignment/>
    </xf>
    <xf numFmtId="1" fontId="0" fillId="0" borderId="8" xfId="0" applyNumberFormat="1" applyFont="1" applyFill="1" applyBorder="1" applyAlignment="1">
      <alignment/>
    </xf>
    <xf numFmtId="3" fontId="0" fillId="0" borderId="9" xfId="0" applyNumberFormat="1" applyFont="1" applyFill="1" applyBorder="1" applyAlignment="1">
      <alignment/>
    </xf>
    <xf numFmtId="3" fontId="0" fillId="0" borderId="10" xfId="0" applyNumberFormat="1" applyFont="1" applyFill="1" applyBorder="1" applyAlignment="1">
      <alignment/>
    </xf>
    <xf numFmtId="3" fontId="0" fillId="0" borderId="0" xfId="0" applyNumberFormat="1" applyFont="1" applyFill="1" applyAlignment="1">
      <alignment horizontal="left"/>
    </xf>
    <xf numFmtId="4" fontId="0" fillId="0" borderId="0" xfId="0" applyNumberFormat="1" applyFont="1" applyFill="1" applyAlignment="1">
      <alignment horizontal="right"/>
    </xf>
    <xf numFmtId="4" fontId="0" fillId="0" borderId="0" xfId="0" applyNumberFormat="1" applyFont="1" applyFill="1" applyAlignment="1">
      <alignment/>
    </xf>
    <xf numFmtId="4" fontId="0" fillId="0" borderId="0" xfId="0" applyNumberFormat="1" applyFill="1" applyAlignment="1">
      <alignment/>
    </xf>
    <xf numFmtId="40" fontId="0" fillId="0" borderId="0" xfId="15" applyFont="1" applyFill="1" applyAlignment="1">
      <alignment horizontal="right"/>
    </xf>
    <xf numFmtId="40" fontId="0" fillId="0" borderId="0" xfId="15" applyFill="1" applyAlignment="1">
      <alignment horizontal="right"/>
    </xf>
    <xf numFmtId="40" fontId="0" fillId="0" borderId="0" xfId="15" applyFont="1" applyFill="1" applyAlignment="1">
      <alignment horizontal="right"/>
    </xf>
    <xf numFmtId="1" fontId="7" fillId="0" borderId="0" xfId="0" applyNumberFormat="1" applyFont="1" applyFill="1" applyAlignment="1">
      <alignment/>
    </xf>
    <xf numFmtId="169" fontId="7" fillId="0" borderId="0" xfId="0" applyNumberFormat="1" applyFont="1" applyFill="1" applyAlignment="1">
      <alignment horizontal="center"/>
    </xf>
    <xf numFmtId="168" fontId="7" fillId="0" borderId="0" xfId="0" applyNumberFormat="1" applyFont="1" applyFill="1" applyAlignment="1">
      <alignment horizontal="center"/>
    </xf>
    <xf numFmtId="14" fontId="11" fillId="0" borderId="0" xfId="0" applyNumberFormat="1" applyFont="1" applyFill="1" applyAlignment="1">
      <alignment horizontal="center"/>
    </xf>
    <xf numFmtId="166" fontId="7" fillId="0" borderId="15" xfId="0" applyNumberFormat="1" applyFont="1" applyFill="1" applyBorder="1" applyAlignment="1">
      <alignment/>
    </xf>
    <xf numFmtId="166" fontId="11" fillId="0" borderId="15" xfId="0" applyNumberFormat="1" applyFont="1" applyFill="1" applyBorder="1" applyAlignment="1">
      <alignment/>
    </xf>
    <xf numFmtId="10" fontId="7" fillId="0" borderId="0" xfId="21" applyNumberFormat="1" applyFont="1" applyFill="1" applyAlignment="1">
      <alignment/>
    </xf>
    <xf numFmtId="14" fontId="7" fillId="0" borderId="0" xfId="0" applyNumberFormat="1" applyFont="1" applyFill="1" applyAlignment="1">
      <alignment horizontal="center"/>
    </xf>
    <xf numFmtId="0" fontId="7" fillId="0" borderId="0" xfId="0" applyFont="1" applyFill="1" applyAlignment="1">
      <alignment horizontal="center"/>
    </xf>
    <xf numFmtId="166" fontId="7" fillId="0" borderId="14" xfId="0" applyNumberFormat="1" applyFont="1" applyFill="1" applyBorder="1" applyAlignment="1">
      <alignment/>
    </xf>
    <xf numFmtId="37" fontId="7" fillId="0" borderId="0" xfId="0" applyNumberFormat="1" applyFont="1" applyFill="1" applyAlignment="1" applyProtection="1">
      <alignment horizontal="center"/>
      <protection/>
    </xf>
    <xf numFmtId="37" fontId="7" fillId="0" borderId="0" xfId="0" applyNumberFormat="1" applyFont="1" applyFill="1" applyAlignment="1" applyProtection="1">
      <alignment horizontal="left"/>
      <protection/>
    </xf>
    <xf numFmtId="172" fontId="7" fillId="0" borderId="0" xfId="0" applyNumberFormat="1" applyFont="1" applyFill="1" applyAlignment="1" applyProtection="1">
      <alignment/>
      <protection/>
    </xf>
    <xf numFmtId="14" fontId="11" fillId="0" borderId="0" xfId="0" applyNumberFormat="1" applyFont="1" applyFill="1" applyAlignment="1" applyProtection="1">
      <alignment horizontal="center"/>
      <protection/>
    </xf>
    <xf numFmtId="37" fontId="7" fillId="0" borderId="0" xfId="0" applyNumberFormat="1" applyFont="1" applyFill="1" applyAlignment="1" applyProtection="1">
      <alignment/>
      <protection/>
    </xf>
    <xf numFmtId="173" fontId="7" fillId="0" borderId="0" xfId="0" applyNumberFormat="1" applyFont="1" applyFill="1" applyAlignment="1" applyProtection="1">
      <alignment/>
      <protection/>
    </xf>
    <xf numFmtId="172" fontId="7" fillId="0" borderId="0" xfId="0" applyNumberFormat="1" applyFont="1" applyFill="1" applyAlignment="1" applyProtection="1">
      <alignment horizontal="center"/>
      <protection/>
    </xf>
    <xf numFmtId="37" fontId="7" fillId="0" borderId="3" xfId="0" applyNumberFormat="1" applyFont="1" applyFill="1" applyBorder="1" applyAlignment="1" applyProtection="1">
      <alignment/>
      <protection/>
    </xf>
    <xf numFmtId="166" fontId="7" fillId="0" borderId="3" xfId="0" applyNumberFormat="1" applyFont="1" applyFill="1" applyBorder="1" applyAlignment="1" applyProtection="1">
      <alignment/>
      <protection/>
    </xf>
    <xf numFmtId="166" fontId="7" fillId="0" borderId="0" xfId="0" applyNumberFormat="1" applyFont="1" applyFill="1" applyAlignment="1" applyProtection="1">
      <alignment/>
      <protection/>
    </xf>
    <xf numFmtId="166" fontId="7" fillId="0" borderId="3" xfId="0" applyNumberFormat="1" applyFont="1" applyFill="1" applyBorder="1" applyAlignment="1">
      <alignment/>
    </xf>
    <xf numFmtId="166" fontId="11" fillId="0" borderId="14" xfId="0" applyNumberFormat="1" applyFont="1" applyFill="1" applyBorder="1" applyAlignment="1">
      <alignment/>
    </xf>
    <xf numFmtId="37" fontId="7" fillId="0" borderId="9" xfId="0" applyNumberFormat="1" applyFont="1" applyFill="1" applyBorder="1" applyAlignment="1" applyProtection="1">
      <alignment horizontal="center"/>
      <protection/>
    </xf>
    <xf numFmtId="166" fontId="7" fillId="0" borderId="9" xfId="0" applyNumberFormat="1" applyFont="1" applyFill="1" applyBorder="1" applyAlignment="1" applyProtection="1">
      <alignment horizontal="center"/>
      <protection/>
    </xf>
    <xf numFmtId="166" fontId="11" fillId="0" borderId="3" xfId="0" applyNumberFormat="1" applyFont="1" applyFill="1" applyBorder="1" applyAlignment="1" applyProtection="1">
      <alignment/>
      <protection/>
    </xf>
    <xf numFmtId="37" fontId="11" fillId="0" borderId="0" xfId="0" applyNumberFormat="1" applyFont="1" applyFill="1" applyAlignment="1" applyProtection="1">
      <alignment horizontal="left"/>
      <protection/>
    </xf>
    <xf numFmtId="14" fontId="7" fillId="0" borderId="0" xfId="0" applyNumberFormat="1" applyFont="1" applyFill="1" applyAlignment="1" applyProtection="1">
      <alignment horizontal="center"/>
      <protection/>
    </xf>
    <xf numFmtId="37" fontId="7" fillId="0" borderId="0" xfId="0" applyNumberFormat="1" applyFont="1" applyFill="1" applyAlignment="1" applyProtection="1">
      <alignment horizontal="right"/>
      <protection/>
    </xf>
    <xf numFmtId="3" fontId="11" fillId="0" borderId="0" xfId="0" applyNumberFormat="1" applyFont="1" applyFill="1" applyAlignment="1">
      <alignment/>
    </xf>
    <xf numFmtId="3" fontId="7" fillId="0" borderId="14" xfId="0" applyNumberFormat="1" applyFont="1" applyFill="1" applyBorder="1" applyAlignment="1">
      <alignment/>
    </xf>
    <xf numFmtId="14" fontId="11" fillId="0" borderId="0" xfId="0" applyNumberFormat="1" applyFont="1" applyFill="1" applyAlignment="1" quotePrefix="1">
      <alignment horizontal="center"/>
    </xf>
    <xf numFmtId="0" fontId="11" fillId="0" borderId="0" xfId="0" applyFont="1" applyFill="1" applyAlignment="1" quotePrefix="1">
      <alignment/>
    </xf>
    <xf numFmtId="3" fontId="11" fillId="0" borderId="0" xfId="0" applyNumberFormat="1" applyFont="1" applyFill="1" applyAlignment="1" quotePrefix="1">
      <alignment/>
    </xf>
    <xf numFmtId="0" fontId="7" fillId="0" borderId="7" xfId="0" applyFont="1" applyFill="1" applyBorder="1" applyAlignment="1">
      <alignment horizontal="center"/>
    </xf>
    <xf numFmtId="3" fontId="7" fillId="0" borderId="1" xfId="0" applyNumberFormat="1" applyFont="1" applyFill="1" applyBorder="1" applyAlignment="1">
      <alignment horizontal="center"/>
    </xf>
    <xf numFmtId="4" fontId="7" fillId="0" borderId="0" xfId="0" applyNumberFormat="1" applyFont="1" applyFill="1" applyAlignment="1">
      <alignment horizontal="center"/>
    </xf>
    <xf numFmtId="4" fontId="7" fillId="0" borderId="0" xfId="0" applyNumberFormat="1" applyFont="1" applyFill="1" applyAlignment="1">
      <alignment/>
    </xf>
    <xf numFmtId="3" fontId="7" fillId="0" borderId="16" xfId="0" applyNumberFormat="1" applyFont="1" applyFill="1" applyBorder="1" applyAlignment="1">
      <alignment/>
    </xf>
    <xf numFmtId="2" fontId="7" fillId="0" borderId="0" xfId="0" applyNumberFormat="1" applyFont="1" applyFill="1" applyAlignment="1">
      <alignment/>
    </xf>
    <xf numFmtId="166" fontId="7" fillId="0" borderId="0" xfId="0" applyNumberFormat="1" applyFont="1" applyFill="1" applyAlignment="1">
      <alignment horizontal="right"/>
    </xf>
    <xf numFmtId="170" fontId="7" fillId="0" borderId="0" xfId="0" applyNumberFormat="1" applyFont="1" applyFill="1" applyBorder="1" applyAlignment="1">
      <alignment horizontal="center"/>
    </xf>
    <xf numFmtId="3" fontId="7" fillId="0" borderId="0" xfId="0" applyNumberFormat="1" applyFont="1" applyFill="1" applyBorder="1" applyAlignment="1">
      <alignment horizontal="left"/>
    </xf>
    <xf numFmtId="3" fontId="7" fillId="0" borderId="0" xfId="0" applyNumberFormat="1" applyFont="1" applyFill="1" applyBorder="1" applyAlignment="1">
      <alignment horizontal="right"/>
    </xf>
    <xf numFmtId="3" fontId="7" fillId="0" borderId="0" xfId="0" applyNumberFormat="1" applyFont="1" applyFill="1" applyAlignment="1">
      <alignment horizontal="right"/>
    </xf>
    <xf numFmtId="3" fontId="7" fillId="0" borderId="3" xfId="0" applyNumberFormat="1" applyFont="1" applyFill="1" applyBorder="1" applyAlignment="1">
      <alignment horizontal="right"/>
    </xf>
    <xf numFmtId="3" fontId="7" fillId="0" borderId="14" xfId="0" applyNumberFormat="1" applyFont="1" applyFill="1" applyBorder="1" applyAlignment="1">
      <alignment horizontal="right"/>
    </xf>
    <xf numFmtId="170" fontId="7" fillId="0" borderId="0" xfId="0" applyNumberFormat="1" applyFont="1" applyFill="1" applyAlignment="1" quotePrefix="1">
      <alignment horizontal="center"/>
    </xf>
    <xf numFmtId="170" fontId="7" fillId="0" borderId="0" xfId="0" applyNumberFormat="1" applyFont="1" applyFill="1" applyAlignment="1">
      <alignment/>
    </xf>
    <xf numFmtId="3" fontId="7" fillId="0" borderId="17" xfId="0" applyNumberFormat="1" applyFont="1" applyFill="1" applyBorder="1" applyAlignment="1">
      <alignment/>
    </xf>
    <xf numFmtId="0" fontId="7" fillId="0" borderId="0" xfId="0" applyFont="1" applyFill="1" applyAlignment="1" quotePrefix="1">
      <alignment/>
    </xf>
    <xf numFmtId="3" fontId="0" fillId="0" borderId="0" xfId="0" applyNumberFormat="1" applyFill="1" applyAlignment="1">
      <alignment horizontal="center"/>
    </xf>
    <xf numFmtId="167" fontId="0" fillId="0" borderId="0" xfId="0" applyNumberFormat="1" applyFill="1" applyAlignment="1">
      <alignment/>
    </xf>
    <xf numFmtId="3" fontId="0" fillId="0" borderId="2" xfId="0" applyNumberFormat="1" applyFill="1" applyBorder="1" applyAlignment="1">
      <alignment/>
    </xf>
    <xf numFmtId="167" fontId="0" fillId="0" borderId="3" xfId="0" applyNumberFormat="1" applyFill="1" applyBorder="1" applyAlignment="1">
      <alignment/>
    </xf>
    <xf numFmtId="0" fontId="0" fillId="0" borderId="3" xfId="0" applyFill="1" applyBorder="1" applyAlignment="1">
      <alignment/>
    </xf>
    <xf numFmtId="0" fontId="0" fillId="0" borderId="4" xfId="0" applyFill="1" applyBorder="1" applyAlignment="1">
      <alignment/>
    </xf>
    <xf numFmtId="0" fontId="0" fillId="0" borderId="5" xfId="0" applyFill="1" applyBorder="1" applyAlignment="1">
      <alignment horizontal="center"/>
    </xf>
    <xf numFmtId="0" fontId="0" fillId="0" borderId="0" xfId="0" applyFill="1" applyBorder="1" applyAlignment="1">
      <alignment horizontal="center"/>
    </xf>
    <xf numFmtId="0" fontId="0" fillId="0" borderId="6" xfId="0" applyFill="1" applyBorder="1" applyAlignment="1">
      <alignment/>
    </xf>
    <xf numFmtId="0" fontId="0" fillId="0" borderId="1" xfId="0" applyFill="1" applyBorder="1" applyAlignment="1">
      <alignment/>
    </xf>
    <xf numFmtId="167" fontId="0" fillId="0" borderId="7" xfId="0" applyNumberFormat="1" applyFill="1" applyBorder="1" applyAlignment="1">
      <alignment horizontal="center"/>
    </xf>
    <xf numFmtId="167" fontId="0" fillId="0" borderId="0" xfId="0" applyNumberFormat="1" applyFill="1" applyBorder="1" applyAlignment="1">
      <alignment horizontal="center"/>
    </xf>
    <xf numFmtId="0" fontId="0" fillId="0" borderId="8" xfId="0" applyFill="1" applyBorder="1" applyAlignment="1">
      <alignment/>
    </xf>
    <xf numFmtId="167" fontId="0" fillId="0" borderId="9" xfId="0" applyNumberFormat="1"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11" xfId="0" applyFill="1" applyBorder="1" applyAlignment="1">
      <alignment horizontal="center"/>
    </xf>
    <xf numFmtId="0" fontId="0" fillId="0" borderId="0" xfId="0" applyFill="1" applyBorder="1" applyAlignment="1">
      <alignment/>
    </xf>
    <xf numFmtId="167" fontId="0" fillId="0" borderId="0" xfId="0" applyNumberFormat="1" applyFill="1" applyBorder="1" applyAlignment="1">
      <alignment/>
    </xf>
    <xf numFmtId="3" fontId="0" fillId="0" borderId="9" xfId="0" applyNumberFormat="1" applyFill="1" applyBorder="1" applyAlignment="1">
      <alignment horizontal="center"/>
    </xf>
    <xf numFmtId="167" fontId="0" fillId="0" borderId="9" xfId="0" applyNumberFormat="1" applyFill="1" applyBorder="1" applyAlignment="1">
      <alignment horizontal="center"/>
    </xf>
    <xf numFmtId="0" fontId="0" fillId="0" borderId="9" xfId="0" applyFill="1" applyBorder="1" applyAlignment="1">
      <alignment horizontal="center"/>
    </xf>
    <xf numFmtId="170" fontId="0" fillId="0" borderId="0" xfId="0" applyNumberFormat="1" applyFill="1" applyAlignment="1">
      <alignment horizontal="center"/>
    </xf>
    <xf numFmtId="3" fontId="0" fillId="0" borderId="0" xfId="0" applyNumberFormat="1" applyFill="1" applyBorder="1" applyAlignment="1">
      <alignment/>
    </xf>
    <xf numFmtId="1" fontId="0" fillId="0" borderId="0" xfId="0" applyNumberFormat="1" applyFill="1" applyAlignment="1">
      <alignment horizontal="center"/>
    </xf>
    <xf numFmtId="1" fontId="0" fillId="0" borderId="0" xfId="0" applyNumberFormat="1" applyFont="1" applyFill="1" applyAlignment="1">
      <alignment horizontal="left"/>
    </xf>
    <xf numFmtId="166" fontId="0" fillId="0" borderId="0" xfId="0" applyNumberFormat="1" applyFill="1" applyAlignment="1">
      <alignment/>
    </xf>
    <xf numFmtId="0" fontId="7" fillId="0" borderId="9" xfId="0" applyFont="1" applyFill="1" applyBorder="1" applyAlignment="1">
      <alignment horizontal="center"/>
    </xf>
    <xf numFmtId="9" fontId="7" fillId="0" borderId="0" xfId="0" applyNumberFormat="1" applyFont="1" applyFill="1" applyAlignment="1">
      <alignment/>
    </xf>
    <xf numFmtId="166" fontId="7" fillId="0" borderId="12" xfId="0" applyNumberFormat="1" applyFont="1" applyFill="1" applyBorder="1" applyAlignment="1">
      <alignment/>
    </xf>
    <xf numFmtId="178" fontId="7" fillId="0" borderId="0" xfId="0" applyNumberFormat="1" applyFont="1" applyFill="1" applyAlignment="1">
      <alignment horizontal="center"/>
    </xf>
    <xf numFmtId="3" fontId="7" fillId="0" borderId="0" xfId="0" applyNumberFormat="1" applyFont="1" applyFill="1" applyAlignment="1">
      <alignment horizontal="left"/>
    </xf>
    <xf numFmtId="1" fontId="7" fillId="0" borderId="0" xfId="0" applyNumberFormat="1" applyFont="1" applyFill="1" applyAlignment="1">
      <alignment horizontal="left"/>
    </xf>
    <xf numFmtId="3" fontId="0" fillId="0" borderId="0" xfId="0" applyNumberFormat="1" applyFont="1" applyFill="1" applyAlignment="1">
      <alignment/>
    </xf>
    <xf numFmtId="0" fontId="0" fillId="0" borderId="0" xfId="0" applyFont="1" applyFill="1" applyAlignment="1">
      <alignment/>
    </xf>
    <xf numFmtId="3" fontId="0" fillId="0" borderId="0" xfId="0" applyNumberFormat="1" applyFont="1" applyFill="1" applyAlignment="1">
      <alignment horizontal="center"/>
    </xf>
    <xf numFmtId="0" fontId="7" fillId="0" borderId="1" xfId="0" applyFont="1" applyFill="1" applyBorder="1" applyAlignment="1">
      <alignment horizontal="center"/>
    </xf>
    <xf numFmtId="3" fontId="7" fillId="0" borderId="8" xfId="0" applyNumberFormat="1" applyFont="1" applyFill="1" applyBorder="1" applyAlignment="1">
      <alignment horizontal="center"/>
    </xf>
    <xf numFmtId="166" fontId="7" fillId="0" borderId="1" xfId="0" applyNumberFormat="1" applyFont="1" applyFill="1" applyBorder="1" applyAlignment="1">
      <alignment/>
    </xf>
    <xf numFmtId="0" fontId="7" fillId="0" borderId="0" xfId="0" applyFont="1" applyFill="1" applyAlignment="1">
      <alignment horizontal="left"/>
    </xf>
    <xf numFmtId="0" fontId="0" fillId="0" borderId="1" xfId="0" applyFont="1" applyFill="1" applyBorder="1" applyAlignment="1">
      <alignment horizontal="center"/>
    </xf>
    <xf numFmtId="3" fontId="0" fillId="0" borderId="12" xfId="0" applyNumberFormat="1" applyFont="1" applyFill="1" applyBorder="1" applyAlignment="1">
      <alignment/>
    </xf>
    <xf numFmtId="166" fontId="0" fillId="0" borderId="12" xfId="0" applyNumberFormat="1" applyFont="1" applyFill="1" applyBorder="1" applyAlignment="1">
      <alignment/>
    </xf>
    <xf numFmtId="3" fontId="0" fillId="0" borderId="13" xfId="0" applyNumberFormat="1" applyFont="1" applyFill="1" applyBorder="1" applyAlignment="1">
      <alignment/>
    </xf>
    <xf numFmtId="1" fontId="7" fillId="0" borderId="0" xfId="0" applyNumberFormat="1" applyFont="1" applyFill="1" applyBorder="1" applyAlignment="1">
      <alignment horizontal="center"/>
    </xf>
    <xf numFmtId="21" fontId="0" fillId="0" borderId="0" xfId="0" applyNumberFormat="1" applyFont="1" applyFill="1" applyAlignment="1">
      <alignment/>
    </xf>
    <xf numFmtId="3" fontId="0" fillId="0" borderId="0" xfId="0" applyNumberFormat="1" applyFont="1" applyFill="1" applyAlignment="1">
      <alignment/>
    </xf>
    <xf numFmtId="1" fontId="0" fillId="0" borderId="0" xfId="0" applyNumberFormat="1" applyFont="1" applyFill="1" applyAlignment="1">
      <alignment/>
    </xf>
    <xf numFmtId="168" fontId="0" fillId="0" borderId="0" xfId="0" applyNumberFormat="1" applyFont="1" applyFill="1" applyAlignment="1">
      <alignment/>
    </xf>
    <xf numFmtId="3" fontId="0" fillId="0" borderId="18" xfId="0" applyNumberFormat="1" applyFont="1" applyFill="1" applyBorder="1" applyAlignment="1">
      <alignment/>
    </xf>
    <xf numFmtId="3" fontId="0" fillId="0" borderId="18" xfId="0" applyNumberFormat="1" applyFont="1" applyFill="1" applyBorder="1" applyAlignment="1">
      <alignment horizontal="right"/>
    </xf>
    <xf numFmtId="2" fontId="0" fillId="0" borderId="0" xfId="0" applyNumberFormat="1" applyFont="1" applyFill="1" applyAlignment="1">
      <alignment/>
    </xf>
    <xf numFmtId="2" fontId="0" fillId="0" borderId="17" xfId="0" applyNumberFormat="1"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168" fontId="0" fillId="0" borderId="12" xfId="0" applyNumberFormat="1" applyFont="1" applyFill="1" applyBorder="1" applyAlignment="1">
      <alignment/>
    </xf>
    <xf numFmtId="1" fontId="0" fillId="0" borderId="13" xfId="0" applyNumberFormat="1" applyFont="1" applyFill="1" applyBorder="1" applyAlignment="1">
      <alignment/>
    </xf>
    <xf numFmtId="169" fontId="0" fillId="0" borderId="0" xfId="0" applyNumberFormat="1" applyFont="1" applyFill="1" applyAlignment="1">
      <alignment/>
    </xf>
    <xf numFmtId="3" fontId="0" fillId="0" borderId="0" xfId="0" applyNumberFormat="1" applyFont="1" applyFill="1" applyAlignment="1" quotePrefix="1">
      <alignment/>
    </xf>
    <xf numFmtId="3" fontId="0" fillId="0" borderId="2" xfId="0" applyNumberFormat="1" applyFont="1" applyFill="1" applyBorder="1" applyAlignment="1">
      <alignment/>
    </xf>
    <xf numFmtId="167" fontId="0" fillId="0" borderId="3" xfId="0" applyNumberFormat="1" applyFont="1" applyFill="1" applyBorder="1" applyAlignment="1">
      <alignment/>
    </xf>
    <xf numFmtId="0" fontId="0" fillId="0" borderId="3" xfId="0" applyFont="1" applyFill="1" applyBorder="1" applyAlignment="1">
      <alignment/>
    </xf>
    <xf numFmtId="0" fontId="0" fillId="0" borderId="4" xfId="0" applyFont="1" applyFill="1" applyBorder="1" applyAlignment="1">
      <alignment/>
    </xf>
    <xf numFmtId="0" fontId="0" fillId="0" borderId="5" xfId="0" applyFont="1" applyFill="1" applyBorder="1" applyAlignment="1">
      <alignment horizontal="center"/>
    </xf>
    <xf numFmtId="0" fontId="0" fillId="0" borderId="6" xfId="0" applyFont="1" applyFill="1" applyBorder="1" applyAlignment="1">
      <alignment/>
    </xf>
    <xf numFmtId="0" fontId="0" fillId="0" borderId="1" xfId="0" applyFont="1" applyFill="1" applyBorder="1" applyAlignment="1">
      <alignment/>
    </xf>
    <xf numFmtId="167" fontId="0" fillId="0" borderId="7" xfId="0" applyNumberFormat="1" applyFont="1" applyFill="1" applyBorder="1" applyAlignment="1">
      <alignment horizontal="center"/>
    </xf>
    <xf numFmtId="0" fontId="0" fillId="0" borderId="8" xfId="0" applyFont="1" applyFill="1" applyBorder="1" applyAlignment="1">
      <alignment/>
    </xf>
    <xf numFmtId="167" fontId="0" fillId="0" borderId="9" xfId="0" applyNumberFormat="1" applyFont="1" applyFill="1" applyBorder="1" applyAlignment="1">
      <alignment/>
    </xf>
    <xf numFmtId="0" fontId="0" fillId="0" borderId="9"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horizontal="center"/>
    </xf>
    <xf numFmtId="0" fontId="0" fillId="0" borderId="9" xfId="0" applyFont="1" applyFill="1" applyBorder="1" applyAlignment="1">
      <alignment horizontal="center"/>
    </xf>
    <xf numFmtId="1" fontId="0" fillId="0" borderId="9" xfId="0" applyNumberFormat="1" applyFont="1" applyFill="1" applyBorder="1" applyAlignment="1">
      <alignment/>
    </xf>
    <xf numFmtId="169" fontId="0" fillId="0" borderId="9" xfId="0" applyNumberFormat="1" applyFont="1" applyFill="1" applyBorder="1" applyAlignment="1">
      <alignment/>
    </xf>
    <xf numFmtId="168" fontId="0" fillId="0" borderId="9" xfId="0" applyNumberFormat="1" applyFont="1" applyFill="1" applyBorder="1" applyAlignment="1">
      <alignment/>
    </xf>
    <xf numFmtId="3" fontId="0" fillId="0" borderId="0" xfId="0" applyNumberFormat="1" applyFont="1" applyFill="1" applyAlignment="1">
      <alignment horizontal="right"/>
    </xf>
    <xf numFmtId="2" fontId="0" fillId="0" borderId="2" xfId="0" applyNumberFormat="1" applyFont="1" applyFill="1" applyBorder="1" applyAlignment="1">
      <alignment/>
    </xf>
    <xf numFmtId="1" fontId="0" fillId="0" borderId="3" xfId="0" applyNumberFormat="1" applyFont="1" applyFill="1" applyBorder="1" applyAlignment="1">
      <alignment/>
    </xf>
    <xf numFmtId="169" fontId="0" fillId="0" borderId="3" xfId="0" applyNumberFormat="1" applyFont="1" applyFill="1" applyBorder="1" applyAlignment="1">
      <alignment/>
    </xf>
    <xf numFmtId="168" fontId="0" fillId="0" borderId="4" xfId="0" applyNumberFormat="1" applyFont="1" applyFill="1" applyBorder="1" applyAlignment="1">
      <alignment/>
    </xf>
    <xf numFmtId="168" fontId="0" fillId="0" borderId="3" xfId="0" applyNumberFormat="1" applyFont="1" applyFill="1" applyBorder="1" applyAlignment="1">
      <alignment/>
    </xf>
    <xf numFmtId="3" fontId="0" fillId="0" borderId="3" xfId="0" applyNumberFormat="1" applyFont="1" applyFill="1" applyBorder="1" applyAlignment="1">
      <alignment/>
    </xf>
    <xf numFmtId="3" fontId="0" fillId="0" borderId="4" xfId="0" applyNumberFormat="1" applyFont="1" applyFill="1" applyBorder="1" applyAlignment="1">
      <alignment/>
    </xf>
    <xf numFmtId="2" fontId="0" fillId="0" borderId="6" xfId="0" applyNumberFormat="1" applyFont="1" applyFill="1" applyBorder="1" applyAlignment="1">
      <alignment horizontal="center"/>
    </xf>
    <xf numFmtId="1" fontId="0" fillId="0" borderId="0" xfId="0" applyNumberFormat="1" applyFont="1" applyFill="1" applyAlignment="1">
      <alignment horizontal="center"/>
    </xf>
    <xf numFmtId="169" fontId="0" fillId="0" borderId="0" xfId="0" applyNumberFormat="1" applyFont="1" applyFill="1" applyAlignment="1">
      <alignment horizontal="center"/>
    </xf>
    <xf numFmtId="168" fontId="0" fillId="0" borderId="1" xfId="0" applyNumberFormat="1" applyFont="1" applyFill="1" applyBorder="1" applyAlignment="1">
      <alignment horizontal="center"/>
    </xf>
    <xf numFmtId="168" fontId="0" fillId="0" borderId="0" xfId="0" applyNumberFormat="1" applyFont="1" applyFill="1" applyBorder="1" applyAlignment="1">
      <alignment horizontal="center"/>
    </xf>
    <xf numFmtId="3" fontId="0" fillId="0" borderId="6" xfId="0" applyNumberFormat="1" applyFont="1" applyFill="1" applyBorder="1" applyAlignment="1">
      <alignment horizontal="center"/>
    </xf>
    <xf numFmtId="3" fontId="0" fillId="0" borderId="0" xfId="0" applyNumberFormat="1" applyFont="1" applyFill="1" applyAlignment="1">
      <alignment horizontal="center"/>
    </xf>
    <xf numFmtId="3" fontId="0" fillId="0" borderId="1" xfId="0" applyNumberFormat="1" applyFont="1" applyFill="1" applyBorder="1" applyAlignment="1">
      <alignment horizontal="center"/>
    </xf>
    <xf numFmtId="168" fontId="0" fillId="0" borderId="10" xfId="0" applyNumberFormat="1" applyFont="1" applyFill="1" applyBorder="1" applyAlignment="1">
      <alignment/>
    </xf>
    <xf numFmtId="168" fontId="0" fillId="0" borderId="0" xfId="0" applyNumberFormat="1" applyFont="1" applyFill="1" applyBorder="1" applyAlignment="1">
      <alignment/>
    </xf>
    <xf numFmtId="0" fontId="0" fillId="0" borderId="0" xfId="0" applyFont="1" applyFill="1" applyBorder="1" applyAlignment="1">
      <alignment horizontal="center"/>
    </xf>
    <xf numFmtId="168" fontId="0" fillId="0" borderId="0" xfId="0" applyNumberFormat="1" applyFont="1" applyFill="1" applyAlignment="1">
      <alignment horizontal="center"/>
    </xf>
    <xf numFmtId="1" fontId="0" fillId="0" borderId="9" xfId="0" applyNumberFormat="1" applyFont="1" applyFill="1" applyBorder="1" applyAlignment="1">
      <alignment horizontal="center"/>
    </xf>
    <xf numFmtId="169" fontId="0" fillId="0" borderId="9" xfId="0" applyNumberFormat="1" applyFont="1" applyFill="1" applyBorder="1" applyAlignment="1">
      <alignment horizontal="center"/>
    </xf>
    <xf numFmtId="168" fontId="0" fillId="0" borderId="9" xfId="0" applyNumberFormat="1" applyFont="1" applyFill="1" applyBorder="1" applyAlignment="1">
      <alignment horizontal="center"/>
    </xf>
    <xf numFmtId="3" fontId="0" fillId="0" borderId="9" xfId="0" applyNumberFormat="1" applyFont="1" applyFill="1" applyBorder="1" applyAlignment="1">
      <alignment horizontal="center"/>
    </xf>
    <xf numFmtId="1" fontId="0" fillId="0" borderId="0" xfId="0" applyNumberFormat="1" applyFont="1" applyFill="1" applyBorder="1" applyAlignment="1">
      <alignment horizontal="center"/>
    </xf>
    <xf numFmtId="169" fontId="0" fillId="0" borderId="0" xfId="0" applyNumberFormat="1" applyFont="1" applyFill="1" applyBorder="1" applyAlignment="1">
      <alignment horizontal="center"/>
    </xf>
    <xf numFmtId="1" fontId="0" fillId="0" borderId="0" xfId="0" applyNumberFormat="1" applyFont="1" applyFill="1" applyBorder="1" applyAlignment="1">
      <alignment/>
    </xf>
    <xf numFmtId="2" fontId="0" fillId="0" borderId="0" xfId="0" applyNumberFormat="1" applyFont="1" applyFill="1" applyBorder="1" applyAlignment="1">
      <alignment/>
    </xf>
    <xf numFmtId="169" fontId="0" fillId="0" borderId="0" xfId="0" applyNumberFormat="1" applyFont="1" applyFill="1" applyBorder="1" applyAlignment="1">
      <alignment/>
    </xf>
    <xf numFmtId="1" fontId="0" fillId="0" borderId="0" xfId="0" applyNumberFormat="1" applyFont="1" applyFill="1" applyBorder="1" applyAlignment="1">
      <alignment horizontal="left"/>
    </xf>
    <xf numFmtId="168" fontId="0" fillId="0" borderId="0" xfId="0" applyNumberFormat="1" applyFont="1" applyFill="1" applyBorder="1" applyAlignment="1" quotePrefix="1">
      <alignment horizontal="center"/>
    </xf>
    <xf numFmtId="169" fontId="0" fillId="0" borderId="0" xfId="0" applyNumberFormat="1" applyFont="1" applyFill="1" applyBorder="1" applyAlignment="1" quotePrefix="1">
      <alignment horizontal="center"/>
    </xf>
    <xf numFmtId="3" fontId="7" fillId="0" borderId="0" xfId="0" applyNumberFormat="1" applyFont="1" applyFill="1" applyAlignment="1">
      <alignment horizontal="center"/>
    </xf>
    <xf numFmtId="3" fontId="7" fillId="0" borderId="6"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140</xdr:row>
      <xdr:rowOff>0</xdr:rowOff>
    </xdr:from>
    <xdr:to>
      <xdr:col>6</xdr:col>
      <xdr:colOff>657225</xdr:colOff>
      <xdr:row>142</xdr:row>
      <xdr:rowOff>76200</xdr:rowOff>
    </xdr:to>
    <xdr:sp>
      <xdr:nvSpPr>
        <xdr:cNvPr id="1" name="Line 44"/>
        <xdr:cNvSpPr>
          <a:spLocks/>
        </xdr:cNvSpPr>
      </xdr:nvSpPr>
      <xdr:spPr>
        <a:xfrm flipV="1">
          <a:off x="6162675" y="91630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ms Rmn"/>
              <a:ea typeface="Tms Rmn"/>
              <a:cs typeface="Tms Rmn"/>
            </a:rPr>
            <a:t/>
          </a:r>
        </a:p>
      </xdr:txBody>
    </xdr:sp>
    <xdr:clientData/>
  </xdr:twoCellAnchor>
  <xdr:twoCellAnchor>
    <xdr:from>
      <xdr:col>6</xdr:col>
      <xdr:colOff>85725</xdr:colOff>
      <xdr:row>136</xdr:row>
      <xdr:rowOff>66675</xdr:rowOff>
    </xdr:from>
    <xdr:to>
      <xdr:col>6</xdr:col>
      <xdr:colOff>657225</xdr:colOff>
      <xdr:row>140</xdr:row>
      <xdr:rowOff>0</xdr:rowOff>
    </xdr:to>
    <xdr:sp>
      <xdr:nvSpPr>
        <xdr:cNvPr id="2" name="Line 45"/>
        <xdr:cNvSpPr>
          <a:spLocks/>
        </xdr:cNvSpPr>
      </xdr:nvSpPr>
      <xdr:spPr>
        <a:xfrm flipH="1" flipV="1">
          <a:off x="6238875" y="916305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ms Rmn"/>
              <a:ea typeface="Tms Rmn"/>
              <a:cs typeface="Tms Rm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6.vml" /><Relationship Id="rId3" Type="http://schemas.openxmlformats.org/officeDocument/2006/relationships/drawing" Target="../drawings/drawing1.xml" /><Relationship Id="rId4"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indexed="10"/>
  </sheetPr>
  <dimension ref="A1:R210"/>
  <sheetViews>
    <sheetView tabSelected="1" workbookViewId="0" topLeftCell="A1">
      <pane xSplit="5" ySplit="6" topLeftCell="F7" activePane="bottomRight" state="frozen"/>
      <selection pane="topLeft" activeCell="A1" sqref="A1"/>
      <selection pane="topRight" activeCell="F1" sqref="F1"/>
      <selection pane="bottomLeft" activeCell="A7" sqref="A7"/>
      <selection pane="bottomRight" activeCell="D39" sqref="D39"/>
    </sheetView>
  </sheetViews>
  <sheetFormatPr defaultColWidth="9.00390625" defaultRowHeight="14.25" customHeight="1"/>
  <cols>
    <col min="1" max="1" width="8.875" style="84" customWidth="1"/>
    <col min="2" max="2" width="10.875" style="84" customWidth="1"/>
    <col min="3" max="4" width="16.875" style="84" customWidth="1"/>
    <col min="5" max="5" width="14.875" style="84" customWidth="1"/>
    <col min="6" max="14" width="15.875" style="84" customWidth="1"/>
    <col min="15" max="15" width="1.875" style="84" customWidth="1"/>
    <col min="16" max="16384" width="9.375" style="84" customWidth="1"/>
  </cols>
  <sheetData>
    <row r="1" spans="1:18" ht="14.25" customHeight="1">
      <c r="A1" s="82"/>
      <c r="B1" s="83"/>
      <c r="C1" s="77"/>
      <c r="F1" s="77"/>
      <c r="G1" s="77"/>
      <c r="H1" s="77"/>
      <c r="I1" s="77"/>
      <c r="J1" s="77"/>
      <c r="K1" s="77"/>
      <c r="L1" s="77"/>
      <c r="M1" s="77"/>
      <c r="N1" s="77"/>
      <c r="O1" s="77"/>
      <c r="P1" s="77"/>
      <c r="Q1" s="77"/>
      <c r="R1" s="77"/>
    </row>
    <row r="2" spans="1:18" ht="14.25" customHeight="1">
      <c r="A2" s="85" t="s">
        <v>920</v>
      </c>
      <c r="B2" s="86"/>
      <c r="C2" s="87"/>
      <c r="D2" s="88"/>
      <c r="E2" s="89" t="s">
        <v>725</v>
      </c>
      <c r="F2" s="77"/>
      <c r="G2" s="90"/>
      <c r="H2" s="77"/>
      <c r="I2" s="77"/>
      <c r="J2" s="77"/>
      <c r="K2" s="77"/>
      <c r="L2" s="77"/>
      <c r="M2" s="77"/>
      <c r="N2" s="77"/>
      <c r="O2" s="77"/>
      <c r="P2" s="77"/>
      <c r="Q2" s="77"/>
      <c r="R2" s="77"/>
    </row>
    <row r="3" spans="1:18" ht="14.25" customHeight="1">
      <c r="A3" s="91" t="str">
        <f>tp_heading</f>
        <v>For Twelve Months Ended September 30, 2008</v>
      </c>
      <c r="D3" s="92"/>
      <c r="E3" s="93" t="str">
        <f>"E-OPS-"&amp;months&amp;rbcalc</f>
        <v>E-OPS-12A</v>
      </c>
      <c r="F3" s="77"/>
      <c r="G3" s="77"/>
      <c r="H3" s="77"/>
      <c r="I3" s="77"/>
      <c r="J3" s="77"/>
      <c r="K3" s="77"/>
      <c r="L3" s="77"/>
      <c r="M3" s="77"/>
      <c r="N3" s="77"/>
      <c r="O3" s="77"/>
      <c r="P3" s="77"/>
      <c r="Q3" s="77"/>
      <c r="R3" s="77"/>
    </row>
    <row r="4" spans="1:18" ht="14.25" customHeight="1">
      <c r="A4" s="94" t="str">
        <f>rbcalc_heading</f>
        <v>Average of Monthly Averages Basis</v>
      </c>
      <c r="B4" s="95"/>
      <c r="C4" s="96"/>
      <c r="D4" s="97"/>
      <c r="E4" s="98"/>
      <c r="F4" s="77" t="s">
        <v>921</v>
      </c>
      <c r="G4" s="77"/>
      <c r="H4" s="77"/>
      <c r="I4" s="77" t="s">
        <v>0</v>
      </c>
      <c r="J4" s="77"/>
      <c r="K4" s="77"/>
      <c r="L4" s="77" t="s">
        <v>1</v>
      </c>
      <c r="M4" s="77"/>
      <c r="N4" s="77"/>
      <c r="R4" s="77"/>
    </row>
    <row r="5" spans="1:18" ht="14.25" customHeight="1">
      <c r="A5" s="99" t="s">
        <v>2</v>
      </c>
      <c r="B5" s="100" t="s">
        <v>815</v>
      </c>
      <c r="C5" s="99" t="s">
        <v>844</v>
      </c>
      <c r="D5" s="96"/>
      <c r="E5" s="96"/>
      <c r="F5" s="99" t="s">
        <v>3</v>
      </c>
      <c r="G5" s="99" t="s">
        <v>4</v>
      </c>
      <c r="H5" s="99" t="s">
        <v>891</v>
      </c>
      <c r="I5" s="99" t="s">
        <v>3</v>
      </c>
      <c r="J5" s="99" t="s">
        <v>4</v>
      </c>
      <c r="K5" s="99" t="s">
        <v>891</v>
      </c>
      <c r="L5" s="99" t="s">
        <v>3</v>
      </c>
      <c r="M5" s="99" t="s">
        <v>4</v>
      </c>
      <c r="N5" s="99" t="s">
        <v>891</v>
      </c>
      <c r="R5" s="77"/>
    </row>
    <row r="6" spans="1:18" ht="14.25" customHeight="1">
      <c r="A6" s="101"/>
      <c r="B6" s="102"/>
      <c r="C6" s="101"/>
      <c r="D6" s="103"/>
      <c r="E6" s="103"/>
      <c r="F6" s="101"/>
      <c r="G6" s="101"/>
      <c r="H6" s="104"/>
      <c r="I6" s="101"/>
      <c r="J6" s="101"/>
      <c r="K6" s="104"/>
      <c r="L6" s="101"/>
      <c r="M6" s="101"/>
      <c r="N6" s="101"/>
      <c r="R6" s="77"/>
    </row>
    <row r="7" spans="1:18" ht="14.25" customHeight="1">
      <c r="A7" s="82"/>
      <c r="B7" s="83"/>
      <c r="C7" s="84" t="s">
        <v>5</v>
      </c>
      <c r="F7" s="77"/>
      <c r="G7" s="77"/>
      <c r="H7" s="78"/>
      <c r="I7" s="77"/>
      <c r="J7" s="77"/>
      <c r="K7" s="78"/>
      <c r="L7" s="77"/>
      <c r="M7" s="77"/>
      <c r="N7" s="77"/>
      <c r="O7" s="77"/>
      <c r="P7" s="77"/>
      <c r="Q7" s="77"/>
      <c r="R7" s="77"/>
    </row>
    <row r="8" spans="1:18" ht="14.25" customHeight="1">
      <c r="A8" s="82"/>
      <c r="B8" s="83"/>
      <c r="C8" s="77" t="s">
        <v>6</v>
      </c>
      <c r="F8" s="77"/>
      <c r="G8" s="77"/>
      <c r="H8" s="78"/>
      <c r="I8" s="77"/>
      <c r="J8" s="77"/>
      <c r="K8" s="78"/>
      <c r="L8" s="77"/>
      <c r="M8" s="77"/>
      <c r="N8" s="77"/>
      <c r="O8" s="77"/>
      <c r="P8" s="77"/>
      <c r="Q8" s="77"/>
      <c r="R8" s="77"/>
    </row>
    <row r="9" spans="1:18" ht="14.25" customHeight="1">
      <c r="A9" s="82">
        <v>99</v>
      </c>
      <c r="B9" s="105">
        <v>440000</v>
      </c>
      <c r="C9" s="77" t="s">
        <v>7</v>
      </c>
      <c r="F9" s="77">
        <f aca="true" t="shared" si="0" ref="F9:F14">I9+L9+O9</f>
        <v>272327520</v>
      </c>
      <c r="G9" s="77">
        <f>-Data!I201</f>
        <v>0</v>
      </c>
      <c r="H9" s="78">
        <f aca="true" t="shared" si="1" ref="H9:H14">F9+G9</f>
        <v>272327520</v>
      </c>
      <c r="I9" s="77">
        <f>-Data!J201</f>
        <v>186986591</v>
      </c>
      <c r="J9" s="77">
        <v>0</v>
      </c>
      <c r="K9" s="78">
        <f aca="true" t="shared" si="2" ref="K9:K14">I9+J9</f>
        <v>186986591</v>
      </c>
      <c r="L9" s="77">
        <f>-Data!K201</f>
        <v>85340929</v>
      </c>
      <c r="M9" s="77">
        <v>0</v>
      </c>
      <c r="N9" s="77">
        <f aca="true" t="shared" si="3" ref="N9:N14">L9+M9</f>
        <v>85340929</v>
      </c>
      <c r="O9" s="77"/>
      <c r="P9" s="77"/>
      <c r="Q9" s="77"/>
      <c r="R9" s="77"/>
    </row>
    <row r="10" spans="1:18" ht="14.25" customHeight="1">
      <c r="A10" s="82">
        <v>99</v>
      </c>
      <c r="B10" s="105">
        <v>442200</v>
      </c>
      <c r="C10" s="77" t="s">
        <v>8</v>
      </c>
      <c r="F10" s="77">
        <f t="shared" si="0"/>
        <v>238780110</v>
      </c>
      <c r="G10" s="77">
        <f>-Data!I202</f>
        <v>0</v>
      </c>
      <c r="H10" s="78">
        <f t="shared" si="1"/>
        <v>238780110</v>
      </c>
      <c r="I10" s="77">
        <f>-Data!J202</f>
        <v>170107963</v>
      </c>
      <c r="J10" s="77">
        <v>0</v>
      </c>
      <c r="K10" s="78">
        <f t="shared" si="2"/>
        <v>170107963</v>
      </c>
      <c r="L10" s="77">
        <f>-Data!K202</f>
        <v>68672147</v>
      </c>
      <c r="M10" s="77">
        <v>0</v>
      </c>
      <c r="N10" s="77">
        <f t="shared" si="3"/>
        <v>68672147</v>
      </c>
      <c r="O10" s="77"/>
      <c r="P10" s="77"/>
      <c r="Q10" s="77"/>
      <c r="R10" s="77"/>
    </row>
    <row r="11" spans="1:18" ht="14.25" customHeight="1">
      <c r="A11" s="82">
        <v>1</v>
      </c>
      <c r="B11" s="105">
        <v>442300</v>
      </c>
      <c r="C11" s="77" t="s">
        <v>9</v>
      </c>
      <c r="F11" s="77">
        <f t="shared" si="0"/>
        <v>99389699</v>
      </c>
      <c r="G11" s="77">
        <f>-Data!I203</f>
        <v>0</v>
      </c>
      <c r="H11" s="78">
        <f t="shared" si="1"/>
        <v>99389699</v>
      </c>
      <c r="I11" s="77">
        <f>-Data!J203</f>
        <v>44465378</v>
      </c>
      <c r="J11" s="77">
        <f>G11*VLOOKUP(A11,Allocators,7)</f>
        <v>0</v>
      </c>
      <c r="K11" s="78">
        <f t="shared" si="2"/>
        <v>44465378</v>
      </c>
      <c r="L11" s="77">
        <f>-Data!K203</f>
        <v>54924321</v>
      </c>
      <c r="M11" s="77">
        <f>G11*VLOOKUP(A11,Allocators,8)</f>
        <v>0</v>
      </c>
      <c r="N11" s="77">
        <f t="shared" si="3"/>
        <v>54924321</v>
      </c>
      <c r="O11" s="77"/>
      <c r="P11" s="77"/>
      <c r="Q11" s="77"/>
      <c r="R11" s="77"/>
    </row>
    <row r="12" spans="1:18" ht="14.25" customHeight="1">
      <c r="A12" s="82">
        <v>99</v>
      </c>
      <c r="B12" s="105">
        <v>444000</v>
      </c>
      <c r="C12" s="77" t="s">
        <v>10</v>
      </c>
      <c r="F12" s="77">
        <f t="shared" si="0"/>
        <v>5805643</v>
      </c>
      <c r="G12" s="77">
        <f>-Data!I204</f>
        <v>0</v>
      </c>
      <c r="H12" s="78">
        <f t="shared" si="1"/>
        <v>5805643</v>
      </c>
      <c r="I12" s="77">
        <f>-Data!J204</f>
        <v>4032361</v>
      </c>
      <c r="J12" s="77">
        <v>0</v>
      </c>
      <c r="K12" s="78">
        <f t="shared" si="2"/>
        <v>4032361</v>
      </c>
      <c r="L12" s="77">
        <f>-Data!K204</f>
        <v>1773282</v>
      </c>
      <c r="M12" s="77">
        <v>0</v>
      </c>
      <c r="N12" s="77">
        <f t="shared" si="3"/>
        <v>1773282</v>
      </c>
      <c r="O12" s="77"/>
      <c r="P12" s="77"/>
      <c r="Q12" s="77"/>
      <c r="R12" s="77"/>
    </row>
    <row r="13" spans="1:18" ht="14.25" customHeight="1">
      <c r="A13" s="82">
        <v>99</v>
      </c>
      <c r="B13" s="106" t="s">
        <v>583</v>
      </c>
      <c r="C13" s="77" t="s">
        <v>11</v>
      </c>
      <c r="F13" s="77">
        <f t="shared" si="0"/>
        <v>2513996</v>
      </c>
      <c r="G13" s="77">
        <f>-Data!I205</f>
        <v>0</v>
      </c>
      <c r="H13" s="78">
        <f t="shared" si="1"/>
        <v>2513996</v>
      </c>
      <c r="I13" s="77">
        <f>-Data!J205</f>
        <v>2256609</v>
      </c>
      <c r="J13" s="77">
        <v>0</v>
      </c>
      <c r="K13" s="78">
        <f t="shared" si="2"/>
        <v>2256609</v>
      </c>
      <c r="L13" s="77">
        <f>-Data!K205</f>
        <v>257387</v>
      </c>
      <c r="M13" s="77">
        <v>0</v>
      </c>
      <c r="N13" s="77">
        <f t="shared" si="3"/>
        <v>257387</v>
      </c>
      <c r="O13" s="77"/>
      <c r="P13" s="77"/>
      <c r="Q13" s="77"/>
      <c r="R13" s="77"/>
    </row>
    <row r="14" spans="1:18" ht="14.25" customHeight="1">
      <c r="A14" s="82">
        <v>99</v>
      </c>
      <c r="B14" s="105">
        <v>448000</v>
      </c>
      <c r="C14" s="77" t="s">
        <v>13</v>
      </c>
      <c r="F14" s="77">
        <f t="shared" si="0"/>
        <v>945270</v>
      </c>
      <c r="G14" s="77">
        <f>-Data!I207</f>
        <v>0</v>
      </c>
      <c r="H14" s="78">
        <f t="shared" si="1"/>
        <v>945270</v>
      </c>
      <c r="I14" s="77">
        <f>-Data!J207</f>
        <v>800312</v>
      </c>
      <c r="J14" s="77">
        <v>0</v>
      </c>
      <c r="K14" s="78">
        <f t="shared" si="2"/>
        <v>800312</v>
      </c>
      <c r="L14" s="77">
        <f>-Data!K207</f>
        <v>144958</v>
      </c>
      <c r="M14" s="77">
        <v>0</v>
      </c>
      <c r="N14" s="77">
        <f t="shared" si="3"/>
        <v>144958</v>
      </c>
      <c r="O14" s="77"/>
      <c r="P14" s="77"/>
      <c r="Q14" s="77"/>
      <c r="R14" s="77"/>
    </row>
    <row r="15" spans="1:18" ht="14.25" customHeight="1">
      <c r="A15" s="82"/>
      <c r="B15" s="105"/>
      <c r="C15" s="77" t="s">
        <v>14</v>
      </c>
      <c r="F15" s="107">
        <f aca="true" t="shared" si="4" ref="F15:N15">SUM(F9:F14)</f>
        <v>619762238</v>
      </c>
      <c r="G15" s="107">
        <f t="shared" si="4"/>
        <v>0</v>
      </c>
      <c r="H15" s="108">
        <f t="shared" si="4"/>
        <v>619762238</v>
      </c>
      <c r="I15" s="107">
        <f t="shared" si="4"/>
        <v>408649214</v>
      </c>
      <c r="J15" s="107">
        <f t="shared" si="4"/>
        <v>0</v>
      </c>
      <c r="K15" s="108">
        <f t="shared" si="4"/>
        <v>408649214</v>
      </c>
      <c r="L15" s="107">
        <f t="shared" si="4"/>
        <v>211113024</v>
      </c>
      <c r="M15" s="107">
        <f t="shared" si="4"/>
        <v>0</v>
      </c>
      <c r="N15" s="107">
        <f t="shared" si="4"/>
        <v>211113024</v>
      </c>
      <c r="O15" s="109"/>
      <c r="P15" s="109"/>
      <c r="Q15" s="109"/>
      <c r="R15" s="77"/>
    </row>
    <row r="16" spans="1:18" ht="14.25" customHeight="1">
      <c r="A16" s="82"/>
      <c r="B16" s="105"/>
      <c r="C16" s="77"/>
      <c r="F16" s="77"/>
      <c r="G16" s="77"/>
      <c r="H16" s="78"/>
      <c r="I16" s="77"/>
      <c r="J16" s="77"/>
      <c r="K16" s="78"/>
      <c r="L16" s="77"/>
      <c r="M16" s="77"/>
      <c r="N16" s="77"/>
      <c r="O16" s="77"/>
      <c r="P16" s="77"/>
      <c r="Q16" s="77"/>
      <c r="R16" s="77"/>
    </row>
    <row r="17" spans="1:18" ht="14.25" customHeight="1">
      <c r="A17" s="82">
        <v>1</v>
      </c>
      <c r="B17" s="105" t="s">
        <v>41</v>
      </c>
      <c r="C17" s="77" t="s">
        <v>15</v>
      </c>
      <c r="F17" s="77">
        <f>I17+L17</f>
        <v>0</v>
      </c>
      <c r="G17" s="77">
        <f>-Data!I206</f>
        <v>195818801</v>
      </c>
      <c r="H17" s="78">
        <f>F17+G17</f>
        <v>195818801</v>
      </c>
      <c r="I17" s="77">
        <f>-Data!J206</f>
        <v>0</v>
      </c>
      <c r="J17" s="77">
        <f>G17*VLOOKUP(A17,Allocators,7)</f>
        <v>126479364</v>
      </c>
      <c r="K17" s="78">
        <f>I17+J17</f>
        <v>126479364</v>
      </c>
      <c r="L17" s="77">
        <f>-Data!K206</f>
        <v>0</v>
      </c>
      <c r="M17" s="77">
        <f>G17*VLOOKUP(A17,Allocators,8)</f>
        <v>69339437</v>
      </c>
      <c r="N17" s="77">
        <f>L17+M17</f>
        <v>69339437</v>
      </c>
      <c r="O17" s="77"/>
      <c r="P17" s="77"/>
      <c r="Q17" s="77"/>
      <c r="R17" s="77"/>
    </row>
    <row r="18" spans="1:18" ht="14.25" customHeight="1">
      <c r="A18" s="82"/>
      <c r="B18" s="105"/>
      <c r="C18" s="77" t="s">
        <v>16</v>
      </c>
      <c r="F18" s="107">
        <f aca="true" t="shared" si="5" ref="F18:N18">F15+F17</f>
        <v>619762238</v>
      </c>
      <c r="G18" s="107">
        <f t="shared" si="5"/>
        <v>195818801</v>
      </c>
      <c r="H18" s="108">
        <f t="shared" si="5"/>
        <v>815581039</v>
      </c>
      <c r="I18" s="107">
        <f t="shared" si="5"/>
        <v>408649214</v>
      </c>
      <c r="J18" s="107">
        <f t="shared" si="5"/>
        <v>126479364</v>
      </c>
      <c r="K18" s="108">
        <f t="shared" si="5"/>
        <v>535128578</v>
      </c>
      <c r="L18" s="107">
        <f t="shared" si="5"/>
        <v>211113024</v>
      </c>
      <c r="M18" s="107">
        <f t="shared" si="5"/>
        <v>69339437</v>
      </c>
      <c r="N18" s="107">
        <f t="shared" si="5"/>
        <v>280452461</v>
      </c>
      <c r="O18" s="109"/>
      <c r="P18" s="109"/>
      <c r="Q18" s="109"/>
      <c r="R18" s="77"/>
    </row>
    <row r="19" spans="1:18" ht="14.25" customHeight="1">
      <c r="A19" s="82"/>
      <c r="B19" s="105"/>
      <c r="C19" s="77"/>
      <c r="F19" s="77"/>
      <c r="G19" s="77"/>
      <c r="H19" s="78"/>
      <c r="I19" s="77"/>
      <c r="J19" s="77"/>
      <c r="K19" s="78"/>
      <c r="L19" s="77"/>
      <c r="M19" s="77"/>
      <c r="N19" s="77"/>
      <c r="O19" s="109"/>
      <c r="P19" s="109"/>
      <c r="Q19" s="109"/>
      <c r="R19" s="77"/>
    </row>
    <row r="20" spans="1:18" ht="14.25" customHeight="1">
      <c r="A20" s="82"/>
      <c r="B20" s="105"/>
      <c r="C20" s="77" t="s">
        <v>17</v>
      </c>
      <c r="F20" s="77"/>
      <c r="G20" s="77"/>
      <c r="H20" s="78"/>
      <c r="I20" s="77"/>
      <c r="J20" s="77"/>
      <c r="K20" s="78"/>
      <c r="L20" s="77"/>
      <c r="M20" s="77"/>
      <c r="N20" s="77"/>
      <c r="O20" s="109"/>
      <c r="P20" s="109"/>
      <c r="Q20" s="109"/>
      <c r="R20" s="77"/>
    </row>
    <row r="21" spans="1:18" ht="14.25" customHeight="1">
      <c r="A21" s="82">
        <v>99</v>
      </c>
      <c r="B21" s="105">
        <v>451000</v>
      </c>
      <c r="C21" s="77" t="s">
        <v>18</v>
      </c>
      <c r="F21" s="77">
        <f>I21+L21</f>
        <v>585757</v>
      </c>
      <c r="G21" s="77">
        <f>-Data!I208</f>
        <v>0</v>
      </c>
      <c r="H21" s="78">
        <f>F21+G21</f>
        <v>585757</v>
      </c>
      <c r="I21" s="77">
        <f>-Data!J208</f>
        <v>370593</v>
      </c>
      <c r="J21" s="77">
        <v>0</v>
      </c>
      <c r="K21" s="78">
        <f>I21+J21</f>
        <v>370593</v>
      </c>
      <c r="L21" s="77">
        <f>-Data!K208</f>
        <v>215164</v>
      </c>
      <c r="M21" s="77">
        <v>0</v>
      </c>
      <c r="N21" s="77">
        <f>L21+M21</f>
        <v>215164</v>
      </c>
      <c r="O21" s="109"/>
      <c r="P21" s="109"/>
      <c r="Q21" s="109"/>
      <c r="R21" s="77"/>
    </row>
    <row r="22" spans="1:18" ht="14.25" customHeight="1">
      <c r="A22" s="82">
        <v>1</v>
      </c>
      <c r="B22" s="105">
        <v>453000</v>
      </c>
      <c r="C22" s="77" t="s">
        <v>19</v>
      </c>
      <c r="F22" s="77">
        <f>I22+L22</f>
        <v>0</v>
      </c>
      <c r="G22" s="77">
        <f>-Data!I209</f>
        <v>303486</v>
      </c>
      <c r="H22" s="78">
        <f>F22+G22</f>
        <v>303486</v>
      </c>
      <c r="I22" s="77">
        <f>-Data!J209</f>
        <v>0</v>
      </c>
      <c r="J22" s="77">
        <f>G22*VLOOKUP(A22,Allocators,7)</f>
        <v>196022</v>
      </c>
      <c r="K22" s="78">
        <f>I22+J22</f>
        <v>196022</v>
      </c>
      <c r="L22" s="77">
        <f>-Data!K209</f>
        <v>0</v>
      </c>
      <c r="M22" s="77">
        <f>G22*VLOOKUP(A22,Allocators,8)</f>
        <v>107464</v>
      </c>
      <c r="N22" s="77">
        <f>L22+M22</f>
        <v>107464</v>
      </c>
      <c r="O22" s="109"/>
      <c r="P22" s="109"/>
      <c r="Q22" s="109"/>
      <c r="R22" s="77"/>
    </row>
    <row r="23" spans="1:18" ht="14.25" customHeight="1">
      <c r="A23" s="82">
        <v>1</v>
      </c>
      <c r="B23" s="105">
        <v>454000</v>
      </c>
      <c r="C23" s="77" t="s">
        <v>20</v>
      </c>
      <c r="F23" s="77">
        <f>I23+L23</f>
        <v>2720857</v>
      </c>
      <c r="G23" s="77">
        <f>-Data!I210</f>
        <v>57264</v>
      </c>
      <c r="H23" s="78">
        <f>F23+G23</f>
        <v>2778121</v>
      </c>
      <c r="I23" s="110">
        <f>-Data!J210</f>
        <v>1926028</v>
      </c>
      <c r="J23" s="77">
        <f>G23*VLOOKUP(A23,Allocators,7)</f>
        <v>36987</v>
      </c>
      <c r="K23" s="78">
        <f>I23+J23</f>
        <v>1963015</v>
      </c>
      <c r="L23" s="110">
        <f>-Data!K210</f>
        <v>794829</v>
      </c>
      <c r="M23" s="77">
        <f>G23*VLOOKUP(A23,Allocators,8)</f>
        <v>20277</v>
      </c>
      <c r="N23" s="77">
        <f>L23+M23</f>
        <v>815106</v>
      </c>
      <c r="O23" s="109"/>
      <c r="P23" s="109"/>
      <c r="Q23" s="109"/>
      <c r="R23" s="77"/>
    </row>
    <row r="24" spans="1:18" ht="14.25" customHeight="1">
      <c r="A24" s="82">
        <v>1</v>
      </c>
      <c r="B24" s="106" t="s">
        <v>42</v>
      </c>
      <c r="C24" s="77" t="s">
        <v>22</v>
      </c>
      <c r="F24" s="77">
        <f>I24+L24</f>
        <v>110412</v>
      </c>
      <c r="G24" s="77">
        <f>-Data!I216</f>
        <v>52548333</v>
      </c>
      <c r="H24" s="78">
        <f>F24+G24</f>
        <v>52658745</v>
      </c>
      <c r="I24" s="77">
        <f>-Data!J216</f>
        <v>101336</v>
      </c>
      <c r="J24" s="77">
        <f>G24*VLOOKUP(A24,Allocators,7)</f>
        <v>33940968</v>
      </c>
      <c r="K24" s="78">
        <f>I24+J24</f>
        <v>34042304</v>
      </c>
      <c r="L24" s="77">
        <f>-Data!K216</f>
        <v>9076</v>
      </c>
      <c r="M24" s="77">
        <f>G24*VLOOKUP(A24,Allocators,8)</f>
        <v>18607365</v>
      </c>
      <c r="N24" s="77">
        <f>L24+M24</f>
        <v>18616441</v>
      </c>
      <c r="O24" s="109"/>
      <c r="P24" s="109"/>
      <c r="Q24" s="109"/>
      <c r="R24" s="77"/>
    </row>
    <row r="25" spans="1:18" ht="14.25" customHeight="1">
      <c r="A25" s="82"/>
      <c r="B25" s="106"/>
      <c r="C25" s="77" t="s">
        <v>23</v>
      </c>
      <c r="F25" s="107">
        <f aca="true" t="shared" si="6" ref="F25:N25">SUM(F21:F24)</f>
        <v>3417026</v>
      </c>
      <c r="G25" s="107">
        <f t="shared" si="6"/>
        <v>52909083</v>
      </c>
      <c r="H25" s="108">
        <f t="shared" si="6"/>
        <v>56326109</v>
      </c>
      <c r="I25" s="107">
        <f t="shared" si="6"/>
        <v>2397957</v>
      </c>
      <c r="J25" s="107">
        <f t="shared" si="6"/>
        <v>34173977</v>
      </c>
      <c r="K25" s="108">
        <f t="shared" si="6"/>
        <v>36571934</v>
      </c>
      <c r="L25" s="107">
        <f t="shared" si="6"/>
        <v>1019069</v>
      </c>
      <c r="M25" s="107">
        <f t="shared" si="6"/>
        <v>18735106</v>
      </c>
      <c r="N25" s="107">
        <f t="shared" si="6"/>
        <v>19754175</v>
      </c>
      <c r="O25" s="109"/>
      <c r="P25" s="109"/>
      <c r="Q25" s="109"/>
      <c r="R25" s="77"/>
    </row>
    <row r="26" spans="1:18" ht="14.25" customHeight="1">
      <c r="A26" s="82"/>
      <c r="B26" s="106"/>
      <c r="C26" s="77" t="s">
        <v>24</v>
      </c>
      <c r="F26" s="111">
        <f aca="true" t="shared" si="7" ref="F26:N26">F18+F25</f>
        <v>623179264</v>
      </c>
      <c r="G26" s="111">
        <f t="shared" si="7"/>
        <v>248727884</v>
      </c>
      <c r="H26" s="112">
        <f t="shared" si="7"/>
        <v>871907148</v>
      </c>
      <c r="I26" s="111">
        <f t="shared" si="7"/>
        <v>411047171</v>
      </c>
      <c r="J26" s="111">
        <f t="shared" si="7"/>
        <v>160653341</v>
      </c>
      <c r="K26" s="112">
        <f t="shared" si="7"/>
        <v>571700512</v>
      </c>
      <c r="L26" s="111">
        <f t="shared" si="7"/>
        <v>212132093</v>
      </c>
      <c r="M26" s="111">
        <f t="shared" si="7"/>
        <v>88074543</v>
      </c>
      <c r="N26" s="111">
        <f t="shared" si="7"/>
        <v>300206636</v>
      </c>
      <c r="O26" s="109"/>
      <c r="P26" s="109"/>
      <c r="Q26" s="109"/>
      <c r="R26" s="77"/>
    </row>
    <row r="27" spans="1:18" ht="14.25" customHeight="1">
      <c r="A27" s="82"/>
      <c r="B27" s="106"/>
      <c r="C27" s="77"/>
      <c r="F27" s="77"/>
      <c r="G27" s="77"/>
      <c r="H27" s="78"/>
      <c r="I27" s="77"/>
      <c r="J27" s="77"/>
      <c r="K27" s="78"/>
      <c r="L27" s="77"/>
      <c r="M27" s="77"/>
      <c r="N27" s="77"/>
      <c r="O27" s="109"/>
      <c r="P27" s="109"/>
      <c r="Q27" s="109"/>
      <c r="R27" s="77"/>
    </row>
    <row r="28" spans="1:18" ht="14.25" customHeight="1">
      <c r="A28" s="82"/>
      <c r="B28" s="106"/>
      <c r="C28" s="77" t="s">
        <v>25</v>
      </c>
      <c r="F28" s="77"/>
      <c r="G28" s="77"/>
      <c r="H28" s="78"/>
      <c r="I28" s="77"/>
      <c r="J28" s="77"/>
      <c r="K28" s="78"/>
      <c r="L28" s="77"/>
      <c r="M28" s="77"/>
      <c r="N28" s="77"/>
      <c r="O28" s="109"/>
      <c r="P28" s="109"/>
      <c r="Q28" s="109"/>
      <c r="R28" s="77"/>
    </row>
    <row r="29" spans="1:18" ht="14.25" customHeight="1">
      <c r="A29" s="82"/>
      <c r="B29" s="106"/>
      <c r="C29" s="77" t="s">
        <v>26</v>
      </c>
      <c r="F29" s="77"/>
      <c r="G29" s="77"/>
      <c r="H29" s="78"/>
      <c r="I29" s="77"/>
      <c r="J29" s="77"/>
      <c r="K29" s="78"/>
      <c r="L29" s="77"/>
      <c r="M29" s="77"/>
      <c r="N29" s="77"/>
      <c r="O29" s="109"/>
      <c r="P29" s="109"/>
      <c r="Q29" s="109"/>
      <c r="R29" s="77"/>
    </row>
    <row r="30" spans="1:18" ht="14.25" customHeight="1">
      <c r="A30" s="82"/>
      <c r="B30" s="106"/>
      <c r="C30" s="77" t="s">
        <v>27</v>
      </c>
      <c r="F30" s="77"/>
      <c r="G30" s="77"/>
      <c r="H30" s="78"/>
      <c r="I30" s="77"/>
      <c r="J30" s="77"/>
      <c r="K30" s="78"/>
      <c r="L30" s="77"/>
      <c r="M30" s="77"/>
      <c r="N30" s="77"/>
      <c r="O30" s="109"/>
      <c r="P30" s="109"/>
      <c r="Q30" s="109"/>
      <c r="R30" s="77"/>
    </row>
    <row r="31" spans="1:18" ht="14.25" customHeight="1">
      <c r="A31" s="82">
        <v>1</v>
      </c>
      <c r="B31" s="105">
        <v>500000</v>
      </c>
      <c r="C31" s="77" t="s">
        <v>28</v>
      </c>
      <c r="F31" s="77">
        <f aca="true" t="shared" si="8" ref="F31:F37">I31+L31</f>
        <v>0</v>
      </c>
      <c r="G31" s="77">
        <f>Data!I219</f>
        <v>326225</v>
      </c>
      <c r="H31" s="78">
        <f aca="true" t="shared" si="9" ref="H31:H37">F31+G31</f>
        <v>326225</v>
      </c>
      <c r="I31" s="77">
        <f>Data!J219</f>
        <v>0</v>
      </c>
      <c r="J31" s="77">
        <f aca="true" t="shared" si="10" ref="J31:J37">G31*VLOOKUP(A31,Allocators,7)</f>
        <v>210709</v>
      </c>
      <c r="K31" s="78">
        <f aca="true" t="shared" si="11" ref="K31:K37">I31+J31</f>
        <v>210709</v>
      </c>
      <c r="L31" s="77">
        <f>Data!K219</f>
        <v>0</v>
      </c>
      <c r="M31" s="77">
        <f aca="true" t="shared" si="12" ref="M31:M37">G31*VLOOKUP(A31,Allocators,8)</f>
        <v>115516</v>
      </c>
      <c r="N31" s="77">
        <f aca="true" t="shared" si="13" ref="N31:N37">L31+M31</f>
        <v>115516</v>
      </c>
      <c r="O31" s="109"/>
      <c r="P31" s="109"/>
      <c r="Q31" s="109"/>
      <c r="R31" s="77"/>
    </row>
    <row r="32" spans="1:18" ht="14.25" customHeight="1">
      <c r="A32" s="82">
        <v>1</v>
      </c>
      <c r="B32" s="105">
        <v>501000</v>
      </c>
      <c r="C32" s="77" t="s">
        <v>29</v>
      </c>
      <c r="F32" s="77">
        <f t="shared" si="8"/>
        <v>0</v>
      </c>
      <c r="G32" s="77">
        <f>Data!I220</f>
        <v>26579426</v>
      </c>
      <c r="H32" s="78">
        <f t="shared" si="9"/>
        <v>26579426</v>
      </c>
      <c r="I32" s="77">
        <f>Data!J220</f>
        <v>0</v>
      </c>
      <c r="J32" s="77">
        <f t="shared" si="10"/>
        <v>17167651</v>
      </c>
      <c r="K32" s="78">
        <f t="shared" si="11"/>
        <v>17167651</v>
      </c>
      <c r="L32" s="77">
        <f>Data!K220</f>
        <v>0</v>
      </c>
      <c r="M32" s="77">
        <f t="shared" si="12"/>
        <v>9411775</v>
      </c>
      <c r="N32" s="77">
        <f t="shared" si="13"/>
        <v>9411775</v>
      </c>
      <c r="O32" s="109"/>
      <c r="P32" s="109"/>
      <c r="Q32" s="109"/>
      <c r="R32" s="77"/>
    </row>
    <row r="33" spans="1:18" ht="14.25" customHeight="1">
      <c r="A33" s="82">
        <v>1</v>
      </c>
      <c r="B33" s="105">
        <v>502000</v>
      </c>
      <c r="C33" s="77" t="s">
        <v>30</v>
      </c>
      <c r="F33" s="77">
        <f t="shared" si="8"/>
        <v>0</v>
      </c>
      <c r="G33" s="77">
        <f>Data!I221</f>
        <v>1861758</v>
      </c>
      <c r="H33" s="78">
        <f t="shared" si="9"/>
        <v>1861758</v>
      </c>
      <c r="I33" s="77">
        <f>Data!J221</f>
        <v>0</v>
      </c>
      <c r="J33" s="77">
        <f t="shared" si="10"/>
        <v>1202509</v>
      </c>
      <c r="K33" s="78">
        <f t="shared" si="11"/>
        <v>1202509</v>
      </c>
      <c r="L33" s="77">
        <f>Data!K221</f>
        <v>0</v>
      </c>
      <c r="M33" s="77">
        <f t="shared" si="12"/>
        <v>659249</v>
      </c>
      <c r="N33" s="77">
        <f t="shared" si="13"/>
        <v>659249</v>
      </c>
      <c r="O33" s="109"/>
      <c r="P33" s="109"/>
      <c r="Q33" s="109"/>
      <c r="R33" s="77"/>
    </row>
    <row r="34" spans="1:18" ht="14.25" customHeight="1">
      <c r="A34" s="82">
        <v>1</v>
      </c>
      <c r="B34" s="105">
        <v>503000</v>
      </c>
      <c r="C34" s="77" t="s">
        <v>31</v>
      </c>
      <c r="F34" s="77">
        <f t="shared" si="8"/>
        <v>0</v>
      </c>
      <c r="G34" s="77">
        <f>Data!I222</f>
        <v>0</v>
      </c>
      <c r="H34" s="78">
        <f t="shared" si="9"/>
        <v>0</v>
      </c>
      <c r="I34" s="77">
        <f>Data!J222</f>
        <v>0</v>
      </c>
      <c r="J34" s="77">
        <f t="shared" si="10"/>
        <v>0</v>
      </c>
      <c r="K34" s="78">
        <f t="shared" si="11"/>
        <v>0</v>
      </c>
      <c r="L34" s="77">
        <f>Data!K222</f>
        <v>0</v>
      </c>
      <c r="M34" s="77">
        <f t="shared" si="12"/>
        <v>0</v>
      </c>
      <c r="N34" s="77">
        <f t="shared" si="13"/>
        <v>0</v>
      </c>
      <c r="O34" s="109"/>
      <c r="P34" s="109"/>
      <c r="Q34" s="109"/>
      <c r="R34" s="77"/>
    </row>
    <row r="35" spans="1:18" ht="14.25" customHeight="1">
      <c r="A35" s="82">
        <v>1</v>
      </c>
      <c r="B35" s="105">
        <v>505000</v>
      </c>
      <c r="C35" s="77" t="s">
        <v>32</v>
      </c>
      <c r="F35" s="77">
        <f t="shared" si="8"/>
        <v>0</v>
      </c>
      <c r="G35" s="77">
        <f>Data!I223</f>
        <v>780094</v>
      </c>
      <c r="H35" s="78">
        <f t="shared" si="9"/>
        <v>780094</v>
      </c>
      <c r="I35" s="77">
        <f>Data!J223</f>
        <v>0</v>
      </c>
      <c r="J35" s="77">
        <f t="shared" si="10"/>
        <v>503863</v>
      </c>
      <c r="K35" s="78">
        <f t="shared" si="11"/>
        <v>503863</v>
      </c>
      <c r="L35" s="77">
        <f>Data!K223</f>
        <v>0</v>
      </c>
      <c r="M35" s="77">
        <f t="shared" si="12"/>
        <v>276231</v>
      </c>
      <c r="N35" s="77">
        <f t="shared" si="13"/>
        <v>276231</v>
      </c>
      <c r="O35" s="109"/>
      <c r="P35" s="109"/>
      <c r="Q35" s="109"/>
      <c r="R35" s="77"/>
    </row>
    <row r="36" spans="1:18" ht="14.25" customHeight="1">
      <c r="A36" s="82">
        <v>1</v>
      </c>
      <c r="B36" s="105">
        <v>506000</v>
      </c>
      <c r="C36" s="77" t="s">
        <v>33</v>
      </c>
      <c r="F36" s="77">
        <f t="shared" si="8"/>
        <v>0</v>
      </c>
      <c r="G36" s="77">
        <f>Data!I224</f>
        <v>2186411</v>
      </c>
      <c r="H36" s="78">
        <f t="shared" si="9"/>
        <v>2186411</v>
      </c>
      <c r="I36" s="77">
        <f>Data!J224</f>
        <v>0</v>
      </c>
      <c r="J36" s="77">
        <f t="shared" si="10"/>
        <v>1412203</v>
      </c>
      <c r="K36" s="78">
        <f t="shared" si="11"/>
        <v>1412203</v>
      </c>
      <c r="L36" s="77">
        <f>Data!K224</f>
        <v>0</v>
      </c>
      <c r="M36" s="77">
        <f t="shared" si="12"/>
        <v>774208</v>
      </c>
      <c r="N36" s="77">
        <f t="shared" si="13"/>
        <v>774208</v>
      </c>
      <c r="O36" s="109"/>
      <c r="P36" s="109"/>
      <c r="Q36" s="109"/>
      <c r="R36" s="77"/>
    </row>
    <row r="37" spans="1:18" ht="14.25" customHeight="1">
      <c r="A37" s="82">
        <v>1</v>
      </c>
      <c r="B37" s="105">
        <v>507000</v>
      </c>
      <c r="C37" s="77" t="s">
        <v>34</v>
      </c>
      <c r="F37" s="77">
        <f t="shared" si="8"/>
        <v>0</v>
      </c>
      <c r="G37" s="77">
        <f>Data!I225</f>
        <v>47164</v>
      </c>
      <c r="H37" s="78">
        <f t="shared" si="9"/>
        <v>47164</v>
      </c>
      <c r="I37" s="77">
        <f>Data!J225</f>
        <v>0</v>
      </c>
      <c r="J37" s="77">
        <f t="shared" si="10"/>
        <v>30463</v>
      </c>
      <c r="K37" s="78">
        <f t="shared" si="11"/>
        <v>30463</v>
      </c>
      <c r="L37" s="77">
        <f>Data!K225</f>
        <v>0</v>
      </c>
      <c r="M37" s="77">
        <f t="shared" si="12"/>
        <v>16701</v>
      </c>
      <c r="N37" s="77">
        <f t="shared" si="13"/>
        <v>16701</v>
      </c>
      <c r="O37" s="109"/>
      <c r="P37" s="109"/>
      <c r="Q37" s="109"/>
      <c r="R37" s="77"/>
    </row>
    <row r="38" spans="1:18" ht="14.25" customHeight="1">
      <c r="A38" s="82"/>
      <c r="B38" s="105"/>
      <c r="C38" s="77"/>
      <c r="F38" s="77"/>
      <c r="G38" s="77"/>
      <c r="H38" s="78"/>
      <c r="I38" s="77"/>
      <c r="J38" s="77"/>
      <c r="K38" s="78"/>
      <c r="L38" s="77"/>
      <c r="M38" s="77"/>
      <c r="N38" s="77"/>
      <c r="O38" s="109"/>
      <c r="P38" s="109"/>
      <c r="Q38" s="109"/>
      <c r="R38" s="77"/>
    </row>
    <row r="39" spans="1:18" ht="14.25" customHeight="1">
      <c r="A39" s="82"/>
      <c r="B39" s="105"/>
      <c r="C39" s="77" t="s">
        <v>35</v>
      </c>
      <c r="F39" s="77"/>
      <c r="G39" s="77"/>
      <c r="H39" s="78"/>
      <c r="I39" s="77"/>
      <c r="J39" s="77"/>
      <c r="K39" s="78"/>
      <c r="L39" s="77"/>
      <c r="M39" s="77"/>
      <c r="N39" s="77"/>
      <c r="O39" s="109"/>
      <c r="P39" s="109"/>
      <c r="Q39" s="109"/>
      <c r="R39" s="77"/>
    </row>
    <row r="40" spans="1:18" ht="14.25" customHeight="1">
      <c r="A40" s="82">
        <v>1</v>
      </c>
      <c r="B40" s="105">
        <v>510000</v>
      </c>
      <c r="C40" s="77" t="s">
        <v>28</v>
      </c>
      <c r="F40" s="77">
        <f>I40+L40</f>
        <v>0</v>
      </c>
      <c r="G40" s="77">
        <f>Data!I226</f>
        <v>454636</v>
      </c>
      <c r="H40" s="78">
        <f>F40+G40</f>
        <v>454636</v>
      </c>
      <c r="I40" s="77">
        <f>Data!J226</f>
        <v>0</v>
      </c>
      <c r="J40" s="77">
        <f>G40*VLOOKUP(A40,Allocators,7)</f>
        <v>293649</v>
      </c>
      <c r="K40" s="78">
        <f>I40+J40</f>
        <v>293649</v>
      </c>
      <c r="L40" s="77">
        <f>Data!K226</f>
        <v>0</v>
      </c>
      <c r="M40" s="77">
        <f>G40*VLOOKUP(A40,Allocators,8)</f>
        <v>160987</v>
      </c>
      <c r="N40" s="77">
        <f>L40+M40</f>
        <v>160987</v>
      </c>
      <c r="O40" s="109"/>
      <c r="P40" s="109"/>
      <c r="Q40" s="109"/>
      <c r="R40" s="77"/>
    </row>
    <row r="41" spans="1:18" ht="14.25" customHeight="1">
      <c r="A41" s="82">
        <v>1</v>
      </c>
      <c r="B41" s="105">
        <v>511000</v>
      </c>
      <c r="C41" s="77" t="s">
        <v>36</v>
      </c>
      <c r="F41" s="77">
        <f>I41+L41</f>
        <v>0</v>
      </c>
      <c r="G41" s="77">
        <f>Data!I227</f>
        <v>487026</v>
      </c>
      <c r="H41" s="78">
        <f>F41+G41</f>
        <v>487026</v>
      </c>
      <c r="I41" s="77">
        <f>Data!J227</f>
        <v>0</v>
      </c>
      <c r="J41" s="77">
        <f>G41*VLOOKUP(A41,Allocators,7)</f>
        <v>314570</v>
      </c>
      <c r="K41" s="78">
        <f>I41+J41</f>
        <v>314570</v>
      </c>
      <c r="L41" s="77">
        <f>Data!K227</f>
        <v>0</v>
      </c>
      <c r="M41" s="77">
        <f>G41*VLOOKUP(A41,Allocators,8)</f>
        <v>172456</v>
      </c>
      <c r="N41" s="77">
        <f>L41+M41</f>
        <v>172456</v>
      </c>
      <c r="O41" s="109"/>
      <c r="P41" s="109"/>
      <c r="Q41" s="109"/>
      <c r="R41" s="77"/>
    </row>
    <row r="42" spans="1:18" ht="14.25" customHeight="1">
      <c r="A42" s="82">
        <v>1</v>
      </c>
      <c r="B42" s="105">
        <v>512000</v>
      </c>
      <c r="C42" s="77" t="s">
        <v>37</v>
      </c>
      <c r="F42" s="77">
        <f>I42+L42</f>
        <v>0</v>
      </c>
      <c r="G42" s="77">
        <f>Data!I228</f>
        <v>4749833</v>
      </c>
      <c r="H42" s="78">
        <f>F42+G42</f>
        <v>4749833</v>
      </c>
      <c r="I42" s="77">
        <f>Data!J228</f>
        <v>0</v>
      </c>
      <c r="J42" s="77">
        <f>G42*VLOOKUP(A42,Allocators,7)</f>
        <v>3067917</v>
      </c>
      <c r="K42" s="78">
        <f>I42+J42</f>
        <v>3067917</v>
      </c>
      <c r="L42" s="77">
        <f>Data!K228</f>
        <v>0</v>
      </c>
      <c r="M42" s="77">
        <f>G42*VLOOKUP(A42,Allocators,8)</f>
        <v>1681916</v>
      </c>
      <c r="N42" s="77">
        <f>L42+M42</f>
        <v>1681916</v>
      </c>
      <c r="O42" s="109"/>
      <c r="P42" s="109"/>
      <c r="Q42" s="109"/>
      <c r="R42" s="77"/>
    </row>
    <row r="43" spans="1:18" ht="14.25" customHeight="1">
      <c r="A43" s="82">
        <v>1</v>
      </c>
      <c r="B43" s="105">
        <v>513000</v>
      </c>
      <c r="C43" s="77" t="s">
        <v>38</v>
      </c>
      <c r="F43" s="77">
        <f>I43+L43</f>
        <v>0</v>
      </c>
      <c r="G43" s="77">
        <f>Data!I229</f>
        <v>607955</v>
      </c>
      <c r="H43" s="78">
        <f>F43+G43</f>
        <v>607955</v>
      </c>
      <c r="I43" s="77">
        <f>Data!J229</f>
        <v>0</v>
      </c>
      <c r="J43" s="77">
        <f>G43*VLOOKUP(A43,Allocators,7)</f>
        <v>392678</v>
      </c>
      <c r="K43" s="78">
        <f>I43+J43</f>
        <v>392678</v>
      </c>
      <c r="L43" s="77">
        <f>Data!K229</f>
        <v>0</v>
      </c>
      <c r="M43" s="77">
        <f>G43*VLOOKUP(A43,Allocators,8)</f>
        <v>215277</v>
      </c>
      <c r="N43" s="77">
        <f>L43+M43</f>
        <v>215277</v>
      </c>
      <c r="O43" s="109"/>
      <c r="P43" s="109"/>
      <c r="Q43" s="109"/>
      <c r="R43" s="77"/>
    </row>
    <row r="44" spans="1:18" ht="14.25" customHeight="1">
      <c r="A44" s="82">
        <v>1</v>
      </c>
      <c r="B44" s="105">
        <v>514000</v>
      </c>
      <c r="C44" s="77" t="s">
        <v>39</v>
      </c>
      <c r="F44" s="77">
        <f>I44+L44</f>
        <v>0</v>
      </c>
      <c r="G44" s="77">
        <f>Data!I230</f>
        <v>625443</v>
      </c>
      <c r="H44" s="78">
        <f>F44+G44</f>
        <v>625443</v>
      </c>
      <c r="I44" s="77">
        <f>Data!J230</f>
        <v>0</v>
      </c>
      <c r="J44" s="77">
        <f>G44*VLOOKUP(A44,Allocators,7)</f>
        <v>403974</v>
      </c>
      <c r="K44" s="78">
        <f>I44+J44</f>
        <v>403974</v>
      </c>
      <c r="L44" s="77">
        <f>Data!K230</f>
        <v>0</v>
      </c>
      <c r="M44" s="77">
        <f>G44*VLOOKUP(A44,Allocators,8)</f>
        <v>221469</v>
      </c>
      <c r="N44" s="77">
        <f>L44+M44</f>
        <v>221469</v>
      </c>
      <c r="O44" s="109"/>
      <c r="P44" s="109"/>
      <c r="Q44" s="109"/>
      <c r="R44" s="77"/>
    </row>
    <row r="45" spans="1:18" ht="14.25" customHeight="1">
      <c r="A45" s="82"/>
      <c r="B45" s="106"/>
      <c r="C45" s="77" t="s">
        <v>43</v>
      </c>
      <c r="F45" s="107">
        <f aca="true" t="shared" si="14" ref="F45:N45">SUM(F31:F44)</f>
        <v>0</v>
      </c>
      <c r="G45" s="107">
        <f t="shared" si="14"/>
        <v>38705971</v>
      </c>
      <c r="H45" s="108">
        <f t="shared" si="14"/>
        <v>38705971</v>
      </c>
      <c r="I45" s="107">
        <f t="shared" si="14"/>
        <v>0</v>
      </c>
      <c r="J45" s="107">
        <f t="shared" si="14"/>
        <v>25000186</v>
      </c>
      <c r="K45" s="108">
        <f t="shared" si="14"/>
        <v>25000186</v>
      </c>
      <c r="L45" s="107">
        <f t="shared" si="14"/>
        <v>0</v>
      </c>
      <c r="M45" s="107">
        <f t="shared" si="14"/>
        <v>13705785</v>
      </c>
      <c r="N45" s="107">
        <f t="shared" si="14"/>
        <v>13705785</v>
      </c>
      <c r="O45" s="109"/>
      <c r="P45" s="109"/>
      <c r="Q45" s="109"/>
      <c r="R45" s="77"/>
    </row>
    <row r="46" spans="1:18" ht="14.25" customHeight="1">
      <c r="A46" s="82"/>
      <c r="B46" s="106"/>
      <c r="C46" s="77"/>
      <c r="F46" s="77"/>
      <c r="G46" s="77"/>
      <c r="H46" s="78"/>
      <c r="I46" s="77"/>
      <c r="J46" s="77"/>
      <c r="K46" s="78"/>
      <c r="L46" s="77"/>
      <c r="M46" s="77"/>
      <c r="N46" s="77"/>
      <c r="O46" s="109"/>
      <c r="P46" s="109"/>
      <c r="Q46" s="109"/>
      <c r="R46" s="77"/>
    </row>
    <row r="47" spans="1:18" ht="14.25" customHeight="1">
      <c r="A47" s="82"/>
      <c r="B47" s="106"/>
      <c r="C47" s="77" t="s">
        <v>44</v>
      </c>
      <c r="F47" s="77"/>
      <c r="G47" s="77"/>
      <c r="H47" s="78"/>
      <c r="I47" s="77"/>
      <c r="J47" s="77"/>
      <c r="K47" s="78"/>
      <c r="L47" s="77"/>
      <c r="M47" s="77"/>
      <c r="N47" s="77"/>
      <c r="O47" s="109"/>
      <c r="P47" s="109"/>
      <c r="Q47" s="109"/>
      <c r="R47" s="77"/>
    </row>
    <row r="48" spans="1:18" ht="14.25" customHeight="1">
      <c r="A48" s="82"/>
      <c r="B48" s="106"/>
      <c r="C48" s="77" t="s">
        <v>27</v>
      </c>
      <c r="F48" s="77"/>
      <c r="G48" s="77"/>
      <c r="H48" s="78"/>
      <c r="I48" s="77"/>
      <c r="J48" s="77"/>
      <c r="K48" s="78"/>
      <c r="L48" s="77"/>
      <c r="M48" s="77"/>
      <c r="N48" s="77"/>
      <c r="O48" s="109"/>
      <c r="P48" s="109"/>
      <c r="Q48" s="109"/>
      <c r="R48" s="77"/>
    </row>
    <row r="49" spans="1:18" ht="14.25" customHeight="1">
      <c r="A49" s="82">
        <v>1</v>
      </c>
      <c r="B49" s="105">
        <v>535000</v>
      </c>
      <c r="C49" s="77" t="s">
        <v>28</v>
      </c>
      <c r="F49" s="77">
        <f aca="true" t="shared" si="15" ref="F49:F54">I49+L49</f>
        <v>0</v>
      </c>
      <c r="G49" s="77">
        <f>Data!I231</f>
        <v>1712034</v>
      </c>
      <c r="H49" s="78">
        <f aca="true" t="shared" si="16" ref="H49:H54">F49+G49</f>
        <v>1712034</v>
      </c>
      <c r="I49" s="77">
        <f>Data!J231</f>
        <v>0</v>
      </c>
      <c r="J49" s="77">
        <f aca="true" t="shared" si="17" ref="J49:J54">G49*VLOOKUP(A49,Allocators,7)</f>
        <v>1105803</v>
      </c>
      <c r="K49" s="78">
        <f aca="true" t="shared" si="18" ref="K49:K54">I49+J49</f>
        <v>1105803</v>
      </c>
      <c r="L49" s="77">
        <f>Data!K231</f>
        <v>0</v>
      </c>
      <c r="M49" s="77">
        <f aca="true" t="shared" si="19" ref="M49:M54">G49*VLOOKUP(A49,Allocators,8)</f>
        <v>606231</v>
      </c>
      <c r="N49" s="77">
        <f aca="true" t="shared" si="20" ref="N49:N54">L49+M49</f>
        <v>606231</v>
      </c>
      <c r="O49" s="109"/>
      <c r="P49" s="109"/>
      <c r="Q49" s="109"/>
      <c r="R49" s="77"/>
    </row>
    <row r="50" spans="1:18" ht="14.25" customHeight="1">
      <c r="A50" s="82">
        <v>1</v>
      </c>
      <c r="B50" s="105">
        <v>536000</v>
      </c>
      <c r="C50" s="77" t="s">
        <v>45</v>
      </c>
      <c r="F50" s="77">
        <f t="shared" si="15"/>
        <v>0</v>
      </c>
      <c r="G50" s="77">
        <f>Data!I232</f>
        <v>742268</v>
      </c>
      <c r="H50" s="78">
        <f t="shared" si="16"/>
        <v>742268</v>
      </c>
      <c r="I50" s="77">
        <f>Data!J232</f>
        <v>0</v>
      </c>
      <c r="J50" s="77">
        <f t="shared" si="17"/>
        <v>479431</v>
      </c>
      <c r="K50" s="78">
        <f t="shared" si="18"/>
        <v>479431</v>
      </c>
      <c r="L50" s="77">
        <f>Data!K232</f>
        <v>0</v>
      </c>
      <c r="M50" s="77">
        <f t="shared" si="19"/>
        <v>262837</v>
      </c>
      <c r="N50" s="77">
        <f t="shared" si="20"/>
        <v>262837</v>
      </c>
      <c r="O50" s="109"/>
      <c r="P50" s="109"/>
      <c r="Q50" s="109"/>
      <c r="R50" s="77"/>
    </row>
    <row r="51" spans="1:18" ht="14.25" customHeight="1">
      <c r="A51" s="82">
        <v>1</v>
      </c>
      <c r="B51" s="105">
        <v>537000</v>
      </c>
      <c r="C51" s="77" t="s">
        <v>46</v>
      </c>
      <c r="F51" s="77">
        <f t="shared" si="15"/>
        <v>2141554</v>
      </c>
      <c r="G51" s="77">
        <f>Data!I233</f>
        <v>745839</v>
      </c>
      <c r="H51" s="78">
        <f t="shared" si="16"/>
        <v>2887393</v>
      </c>
      <c r="I51" s="77">
        <f>Data!J233</f>
        <v>1629730</v>
      </c>
      <c r="J51" s="77">
        <f t="shared" si="17"/>
        <v>481737</v>
      </c>
      <c r="K51" s="78">
        <f t="shared" si="18"/>
        <v>2111467</v>
      </c>
      <c r="L51" s="77">
        <f>Data!K233</f>
        <v>511824</v>
      </c>
      <c r="M51" s="77">
        <f t="shared" si="19"/>
        <v>264102</v>
      </c>
      <c r="N51" s="77">
        <f t="shared" si="20"/>
        <v>775926</v>
      </c>
      <c r="O51" s="109"/>
      <c r="P51" s="109"/>
      <c r="Q51" s="109"/>
      <c r="R51" s="77"/>
    </row>
    <row r="52" spans="1:18" ht="14.25" customHeight="1">
      <c r="A52" s="82">
        <v>1</v>
      </c>
      <c r="B52" s="105">
        <v>538000</v>
      </c>
      <c r="C52" s="77" t="s">
        <v>32</v>
      </c>
      <c r="F52" s="77">
        <f t="shared" si="15"/>
        <v>0</v>
      </c>
      <c r="G52" s="77">
        <f>Data!I234</f>
        <v>4707712</v>
      </c>
      <c r="H52" s="78">
        <f t="shared" si="16"/>
        <v>4707712</v>
      </c>
      <c r="I52" s="77">
        <f>Data!J234</f>
        <v>0</v>
      </c>
      <c r="J52" s="77">
        <f t="shared" si="17"/>
        <v>3040711</v>
      </c>
      <c r="K52" s="78">
        <f t="shared" si="18"/>
        <v>3040711</v>
      </c>
      <c r="L52" s="77">
        <f>Data!K234</f>
        <v>0</v>
      </c>
      <c r="M52" s="77">
        <f t="shared" si="19"/>
        <v>1667001</v>
      </c>
      <c r="N52" s="77">
        <f t="shared" si="20"/>
        <v>1667001</v>
      </c>
      <c r="O52" s="109"/>
      <c r="P52" s="109"/>
      <c r="Q52" s="109"/>
      <c r="R52" s="77"/>
    </row>
    <row r="53" spans="1:18" ht="14.25" customHeight="1">
      <c r="A53" s="82">
        <v>1</v>
      </c>
      <c r="B53" s="105">
        <v>539000</v>
      </c>
      <c r="C53" s="77" t="s">
        <v>47</v>
      </c>
      <c r="F53" s="77">
        <f t="shared" si="15"/>
        <v>0</v>
      </c>
      <c r="G53" s="77">
        <f>Data!I235</f>
        <v>914406</v>
      </c>
      <c r="H53" s="78">
        <f t="shared" si="16"/>
        <v>914406</v>
      </c>
      <c r="I53" s="77">
        <f>Data!J235</f>
        <v>0</v>
      </c>
      <c r="J53" s="77">
        <f t="shared" si="17"/>
        <v>590615</v>
      </c>
      <c r="K53" s="78">
        <f t="shared" si="18"/>
        <v>590615</v>
      </c>
      <c r="L53" s="77">
        <f>Data!K235</f>
        <v>0</v>
      </c>
      <c r="M53" s="77">
        <f t="shared" si="19"/>
        <v>323791</v>
      </c>
      <c r="N53" s="77">
        <f t="shared" si="20"/>
        <v>323791</v>
      </c>
      <c r="O53" s="109"/>
      <c r="P53" s="109"/>
      <c r="Q53" s="109"/>
      <c r="R53" s="77"/>
    </row>
    <row r="54" spans="1:18" ht="14.25" customHeight="1">
      <c r="A54" s="82">
        <v>1</v>
      </c>
      <c r="B54" s="105">
        <v>540000</v>
      </c>
      <c r="C54" s="77" t="s">
        <v>34</v>
      </c>
      <c r="F54" s="77">
        <f t="shared" si="15"/>
        <v>0</v>
      </c>
      <c r="G54" s="77">
        <f>Data!I236</f>
        <v>723205</v>
      </c>
      <c r="H54" s="78">
        <f t="shared" si="16"/>
        <v>723205</v>
      </c>
      <c r="I54" s="77">
        <f>Data!J236</f>
        <v>0</v>
      </c>
      <c r="J54" s="77">
        <f t="shared" si="17"/>
        <v>467118</v>
      </c>
      <c r="K54" s="78">
        <f t="shared" si="18"/>
        <v>467118</v>
      </c>
      <c r="L54" s="77">
        <f>Data!K236</f>
        <v>0</v>
      </c>
      <c r="M54" s="77">
        <f t="shared" si="19"/>
        <v>256087</v>
      </c>
      <c r="N54" s="77">
        <f t="shared" si="20"/>
        <v>256087</v>
      </c>
      <c r="O54" s="109"/>
      <c r="P54" s="109"/>
      <c r="Q54" s="109"/>
      <c r="R54" s="77"/>
    </row>
    <row r="55" spans="1:18" ht="14.25" customHeight="1">
      <c r="A55" s="82"/>
      <c r="B55" s="106"/>
      <c r="C55" s="77"/>
      <c r="F55" s="77"/>
      <c r="G55" s="77"/>
      <c r="H55" s="78"/>
      <c r="I55" s="77"/>
      <c r="J55" s="77"/>
      <c r="K55" s="78"/>
      <c r="L55" s="77"/>
      <c r="M55" s="77"/>
      <c r="N55" s="77"/>
      <c r="O55" s="109"/>
      <c r="P55" s="109"/>
      <c r="Q55" s="109"/>
      <c r="R55" s="77"/>
    </row>
    <row r="56" spans="1:18" ht="14.25" customHeight="1">
      <c r="A56" s="82"/>
      <c r="B56" s="106"/>
      <c r="C56" s="77" t="s">
        <v>35</v>
      </c>
      <c r="F56" s="77"/>
      <c r="G56" s="77"/>
      <c r="H56" s="78"/>
      <c r="I56" s="77"/>
      <c r="J56" s="77"/>
      <c r="K56" s="78"/>
      <c r="L56" s="77"/>
      <c r="M56" s="77"/>
      <c r="N56" s="77"/>
      <c r="O56" s="109"/>
      <c r="P56" s="109"/>
      <c r="Q56" s="109"/>
      <c r="R56" s="77"/>
    </row>
    <row r="57" spans="1:18" ht="14.25" customHeight="1">
      <c r="A57" s="82">
        <v>1</v>
      </c>
      <c r="B57" s="105">
        <v>541000</v>
      </c>
      <c r="C57" s="77" t="s">
        <v>28</v>
      </c>
      <c r="F57" s="77">
        <f>I57+L57</f>
        <v>0</v>
      </c>
      <c r="G57" s="77">
        <f>Data!I237</f>
        <v>341396</v>
      </c>
      <c r="H57" s="78">
        <f>F57+G57</f>
        <v>341396</v>
      </c>
      <c r="I57" s="77">
        <f>Data!J237</f>
        <v>0</v>
      </c>
      <c r="J57" s="77">
        <f>G57*VLOOKUP(A57,Allocators,7)</f>
        <v>220508</v>
      </c>
      <c r="K57" s="78">
        <f>I57+J57</f>
        <v>220508</v>
      </c>
      <c r="L57" s="77">
        <f>Data!K237</f>
        <v>0</v>
      </c>
      <c r="M57" s="77">
        <f>G57*VLOOKUP(A57,Allocators,8)</f>
        <v>120888</v>
      </c>
      <c r="N57" s="77">
        <f>L57+M57</f>
        <v>120888</v>
      </c>
      <c r="O57" s="109"/>
      <c r="P57" s="109"/>
      <c r="Q57" s="109"/>
      <c r="R57" s="77"/>
    </row>
    <row r="58" spans="1:18" ht="14.25" customHeight="1">
      <c r="A58" s="82">
        <v>1</v>
      </c>
      <c r="B58" s="105">
        <v>542000</v>
      </c>
      <c r="C58" s="77" t="s">
        <v>36</v>
      </c>
      <c r="F58" s="77">
        <f>I58+L58</f>
        <v>0</v>
      </c>
      <c r="G58" s="77">
        <f>Data!I238</f>
        <v>357328</v>
      </c>
      <c r="H58" s="78">
        <f>F58+G58</f>
        <v>357328</v>
      </c>
      <c r="I58" s="77">
        <f>Data!J238</f>
        <v>0</v>
      </c>
      <c r="J58" s="77">
        <f>G58*VLOOKUP(A58,Allocators,7)</f>
        <v>230798</v>
      </c>
      <c r="K58" s="78">
        <f>I58+J58</f>
        <v>230798</v>
      </c>
      <c r="L58" s="77">
        <f>Data!K238</f>
        <v>0</v>
      </c>
      <c r="M58" s="77">
        <f>G58*VLOOKUP(A58,Allocators,8)</f>
        <v>126530</v>
      </c>
      <c r="N58" s="77">
        <f>L58+M58</f>
        <v>126530</v>
      </c>
      <c r="O58" s="109"/>
      <c r="P58" s="109"/>
      <c r="Q58" s="109"/>
      <c r="R58" s="77"/>
    </row>
    <row r="59" spans="1:18" ht="14.25" customHeight="1">
      <c r="A59" s="82">
        <v>1</v>
      </c>
      <c r="B59" s="105">
        <v>543000</v>
      </c>
      <c r="C59" s="77" t="s">
        <v>48</v>
      </c>
      <c r="F59" s="77">
        <f>I59+L59</f>
        <v>0</v>
      </c>
      <c r="G59" s="77">
        <f>Data!I239</f>
        <v>1111229</v>
      </c>
      <c r="H59" s="78">
        <f>F59+G59</f>
        <v>1111229</v>
      </c>
      <c r="I59" s="77">
        <f>Data!J239</f>
        <v>0</v>
      </c>
      <c r="J59" s="77">
        <f>G59*VLOOKUP(A59,Allocators,7)</f>
        <v>717743</v>
      </c>
      <c r="K59" s="78">
        <f>I59+J59</f>
        <v>717743</v>
      </c>
      <c r="L59" s="77">
        <f>Data!K239</f>
        <v>0</v>
      </c>
      <c r="M59" s="77">
        <f>G59*VLOOKUP(A59,Allocators,8)</f>
        <v>393486</v>
      </c>
      <c r="N59" s="77">
        <f>L59+M59</f>
        <v>393486</v>
      </c>
      <c r="O59" s="109"/>
      <c r="P59" s="109"/>
      <c r="Q59" s="109"/>
      <c r="R59" s="77"/>
    </row>
    <row r="60" spans="1:18" ht="14.25" customHeight="1">
      <c r="A60" s="82">
        <v>1</v>
      </c>
      <c r="B60" s="105">
        <v>544000</v>
      </c>
      <c r="C60" s="77" t="s">
        <v>38</v>
      </c>
      <c r="F60" s="77">
        <f>I60+L60</f>
        <v>0</v>
      </c>
      <c r="G60" s="77">
        <f>Data!I240</f>
        <v>2212155</v>
      </c>
      <c r="H60" s="78">
        <f>F60+G60</f>
        <v>2212155</v>
      </c>
      <c r="I60" s="77">
        <f>Data!J240</f>
        <v>0</v>
      </c>
      <c r="J60" s="77">
        <f>G60*VLOOKUP(A60,Allocators,7)</f>
        <v>1428831</v>
      </c>
      <c r="K60" s="78">
        <f>I60+J60</f>
        <v>1428831</v>
      </c>
      <c r="L60" s="77">
        <f>Data!K240</f>
        <v>0</v>
      </c>
      <c r="M60" s="77">
        <f>G60*VLOOKUP(A60,Allocators,8)</f>
        <v>783324</v>
      </c>
      <c r="N60" s="77">
        <f>L60+M60</f>
        <v>783324</v>
      </c>
      <c r="O60" s="109"/>
      <c r="P60" s="109"/>
      <c r="Q60" s="109"/>
      <c r="R60" s="77"/>
    </row>
    <row r="61" spans="1:18" ht="14.25" customHeight="1">
      <c r="A61" s="82">
        <v>1</v>
      </c>
      <c r="B61" s="105">
        <v>545000</v>
      </c>
      <c r="C61" s="77" t="s">
        <v>49</v>
      </c>
      <c r="F61" s="77">
        <f>I61+L61</f>
        <v>0</v>
      </c>
      <c r="G61" s="77">
        <f>Data!I241</f>
        <v>252791</v>
      </c>
      <c r="H61" s="78">
        <f>F61+G61</f>
        <v>252791</v>
      </c>
      <c r="I61" s="77">
        <f>Data!J241</f>
        <v>0</v>
      </c>
      <c r="J61" s="77">
        <f>G61*VLOOKUP(A61,Allocators,7)</f>
        <v>163278</v>
      </c>
      <c r="K61" s="78">
        <f>I61+J61</f>
        <v>163278</v>
      </c>
      <c r="L61" s="77">
        <f>Data!K241</f>
        <v>0</v>
      </c>
      <c r="M61" s="77">
        <f>G61*VLOOKUP(A61,Allocators,8)</f>
        <v>89513</v>
      </c>
      <c r="N61" s="77">
        <f>L61+M61</f>
        <v>89513</v>
      </c>
      <c r="O61" s="109"/>
      <c r="P61" s="109"/>
      <c r="Q61" s="109"/>
      <c r="R61" s="77"/>
    </row>
    <row r="62" spans="1:18" ht="14.25" customHeight="1">
      <c r="A62" s="82"/>
      <c r="B62" s="106"/>
      <c r="C62" s="77" t="s">
        <v>50</v>
      </c>
      <c r="F62" s="107">
        <f aca="true" t="shared" si="21" ref="F62:N62">SUM(F49:F61)</f>
        <v>2141554</v>
      </c>
      <c r="G62" s="107">
        <f t="shared" si="21"/>
        <v>13820363</v>
      </c>
      <c r="H62" s="108">
        <f t="shared" si="21"/>
        <v>15961917</v>
      </c>
      <c r="I62" s="107">
        <f t="shared" si="21"/>
        <v>1629730</v>
      </c>
      <c r="J62" s="107">
        <f t="shared" si="21"/>
        <v>8926573</v>
      </c>
      <c r="K62" s="108">
        <f t="shared" si="21"/>
        <v>10556303</v>
      </c>
      <c r="L62" s="107">
        <f t="shared" si="21"/>
        <v>511824</v>
      </c>
      <c r="M62" s="107">
        <f t="shared" si="21"/>
        <v>4893790</v>
      </c>
      <c r="N62" s="107">
        <f t="shared" si="21"/>
        <v>5405614</v>
      </c>
      <c r="O62" s="109"/>
      <c r="P62" s="109"/>
      <c r="Q62" s="109"/>
      <c r="R62" s="77"/>
    </row>
    <row r="63" spans="1:18" ht="14.25" customHeight="1">
      <c r="A63" s="82"/>
      <c r="B63" s="106"/>
      <c r="C63" s="77"/>
      <c r="F63" s="77"/>
      <c r="G63" s="77"/>
      <c r="H63" s="78"/>
      <c r="I63" s="77"/>
      <c r="J63" s="77"/>
      <c r="K63" s="78"/>
      <c r="L63" s="77"/>
      <c r="M63" s="77"/>
      <c r="N63" s="77"/>
      <c r="O63" s="109"/>
      <c r="P63" s="109"/>
      <c r="Q63" s="109"/>
      <c r="R63" s="77"/>
    </row>
    <row r="64" spans="1:18" ht="14.25" customHeight="1">
      <c r="A64" s="82"/>
      <c r="B64" s="106"/>
      <c r="C64" s="77" t="s">
        <v>51</v>
      </c>
      <c r="F64" s="77"/>
      <c r="G64" s="77"/>
      <c r="H64" s="78"/>
      <c r="I64" s="77"/>
      <c r="J64" s="77"/>
      <c r="K64" s="78"/>
      <c r="L64" s="77"/>
      <c r="M64" s="77"/>
      <c r="N64" s="77"/>
      <c r="O64" s="109"/>
      <c r="P64" s="109"/>
      <c r="Q64" s="109"/>
      <c r="R64" s="77"/>
    </row>
    <row r="65" spans="1:18" ht="14.25" customHeight="1">
      <c r="A65" s="82"/>
      <c r="B65" s="106"/>
      <c r="C65" s="77" t="s">
        <v>27</v>
      </c>
      <c r="F65" s="77"/>
      <c r="G65" s="77"/>
      <c r="H65" s="78"/>
      <c r="I65" s="77"/>
      <c r="J65" s="77"/>
      <c r="K65" s="78"/>
      <c r="L65" s="77"/>
      <c r="M65" s="77"/>
      <c r="N65" s="77"/>
      <c r="O65" s="109"/>
      <c r="P65" s="109"/>
      <c r="Q65" s="109"/>
      <c r="R65" s="77"/>
    </row>
    <row r="66" spans="1:18" ht="14.25" customHeight="1">
      <c r="A66" s="82">
        <v>1</v>
      </c>
      <c r="B66" s="105">
        <v>546000</v>
      </c>
      <c r="C66" s="77" t="s">
        <v>28</v>
      </c>
      <c r="F66" s="77">
        <f>I66+L66</f>
        <v>0</v>
      </c>
      <c r="G66" s="77">
        <f>Data!I242</f>
        <v>1501501</v>
      </c>
      <c r="H66" s="78">
        <f>F66+G66</f>
        <v>1501501</v>
      </c>
      <c r="I66" s="77">
        <f>Data!J242</f>
        <v>0</v>
      </c>
      <c r="J66" s="77">
        <f>G66*VLOOKUP(A66,Allocators,7)</f>
        <v>969819</v>
      </c>
      <c r="K66" s="78">
        <f>I66+J66</f>
        <v>969819</v>
      </c>
      <c r="L66" s="77">
        <f>Data!K242</f>
        <v>0</v>
      </c>
      <c r="M66" s="77">
        <f>G66*VLOOKUP(A66,Allocators,8)</f>
        <v>531682</v>
      </c>
      <c r="N66" s="77">
        <f>L66+M66</f>
        <v>531682</v>
      </c>
      <c r="O66" s="109"/>
      <c r="P66" s="109"/>
      <c r="Q66" s="109"/>
      <c r="R66" s="77"/>
    </row>
    <row r="67" spans="1:18" ht="14.25" customHeight="1">
      <c r="A67" s="82">
        <v>1</v>
      </c>
      <c r="B67" s="105">
        <v>547000</v>
      </c>
      <c r="C67" s="77" t="s">
        <v>29</v>
      </c>
      <c r="F67" s="77">
        <f>I67+L67</f>
        <v>0</v>
      </c>
      <c r="G67" s="77">
        <f>Data!I243</f>
        <v>108398844</v>
      </c>
      <c r="H67" s="78">
        <f>F67+G67</f>
        <v>108398844</v>
      </c>
      <c r="I67" s="77">
        <f>Data!J243</f>
        <v>0</v>
      </c>
      <c r="J67" s="77">
        <f>G67*VLOOKUP(A67,Allocators,7)</f>
        <v>70014813</v>
      </c>
      <c r="K67" s="78">
        <f>I67+J67</f>
        <v>70014813</v>
      </c>
      <c r="L67" s="77">
        <f>Data!K243</f>
        <v>0</v>
      </c>
      <c r="M67" s="77">
        <f>G67*VLOOKUP(A67,Allocators,8)</f>
        <v>38384031</v>
      </c>
      <c r="N67" s="77">
        <f>L67+M67</f>
        <v>38384031</v>
      </c>
      <c r="O67" s="109"/>
      <c r="P67" s="109"/>
      <c r="Q67" s="109"/>
      <c r="R67" s="77"/>
    </row>
    <row r="68" spans="1:18" ht="14.25" customHeight="1">
      <c r="A68" s="82">
        <v>1</v>
      </c>
      <c r="B68" s="105">
        <v>548000</v>
      </c>
      <c r="C68" s="77" t="s">
        <v>52</v>
      </c>
      <c r="F68" s="77">
        <f>I68+L68</f>
        <v>0</v>
      </c>
      <c r="G68" s="77">
        <f>Data!I244</f>
        <v>1552809</v>
      </c>
      <c r="H68" s="78">
        <f>F68+G68</f>
        <v>1552809</v>
      </c>
      <c r="I68" s="77">
        <f>Data!J244</f>
        <v>0</v>
      </c>
      <c r="J68" s="77">
        <f>G68*VLOOKUP(A68,Allocators,7)</f>
        <v>1002959</v>
      </c>
      <c r="K68" s="78">
        <f>I68+J68</f>
        <v>1002959</v>
      </c>
      <c r="L68" s="77">
        <f>Data!K244</f>
        <v>0</v>
      </c>
      <c r="M68" s="77">
        <f>G68*VLOOKUP(A68,Allocators,8)</f>
        <v>549850</v>
      </c>
      <c r="N68" s="77">
        <f>L68+M68</f>
        <v>549850</v>
      </c>
      <c r="O68" s="109"/>
      <c r="P68" s="109"/>
      <c r="Q68" s="109"/>
      <c r="R68" s="77"/>
    </row>
    <row r="69" spans="1:18" ht="14.25" customHeight="1">
      <c r="A69" s="82">
        <v>1</v>
      </c>
      <c r="B69" s="105">
        <v>549000</v>
      </c>
      <c r="C69" s="77" t="s">
        <v>53</v>
      </c>
      <c r="F69" s="77">
        <f>I69+L69</f>
        <v>0</v>
      </c>
      <c r="G69" s="77">
        <f>Data!I245</f>
        <v>409371</v>
      </c>
      <c r="H69" s="78">
        <f>F69+G69</f>
        <v>409371</v>
      </c>
      <c r="I69" s="77">
        <f>Data!J245</f>
        <v>0</v>
      </c>
      <c r="J69" s="77">
        <f>G69*VLOOKUP(A69,Allocators,7)</f>
        <v>264413</v>
      </c>
      <c r="K69" s="78">
        <f>I69+J69</f>
        <v>264413</v>
      </c>
      <c r="L69" s="77">
        <f>Data!K245</f>
        <v>0</v>
      </c>
      <c r="M69" s="77">
        <f>G69*VLOOKUP(A69,Allocators,8)</f>
        <v>144958</v>
      </c>
      <c r="N69" s="77">
        <f>L69+M69</f>
        <v>144958</v>
      </c>
      <c r="O69" s="109"/>
      <c r="P69" s="109"/>
      <c r="Q69" s="109"/>
      <c r="R69" s="77"/>
    </row>
    <row r="70" spans="1:18" ht="14.25" customHeight="1">
      <c r="A70" s="82">
        <v>1</v>
      </c>
      <c r="B70" s="105">
        <v>550000</v>
      </c>
      <c r="C70" s="77" t="s">
        <v>34</v>
      </c>
      <c r="F70" s="77">
        <f>I70+L70</f>
        <v>0</v>
      </c>
      <c r="G70" s="77">
        <f>Data!I246</f>
        <v>27108</v>
      </c>
      <c r="H70" s="78">
        <f>F70+G70</f>
        <v>27108</v>
      </c>
      <c r="I70" s="77">
        <f>Data!J246</f>
        <v>0</v>
      </c>
      <c r="J70" s="77">
        <f>G70*VLOOKUP(A70,Allocators,7)</f>
        <v>17509</v>
      </c>
      <c r="K70" s="78">
        <f>I70+J70</f>
        <v>17509</v>
      </c>
      <c r="L70" s="77">
        <f>Data!K246</f>
        <v>0</v>
      </c>
      <c r="M70" s="77">
        <f>G70*VLOOKUP(A70,Allocators,8)</f>
        <v>9599</v>
      </c>
      <c r="N70" s="77">
        <f>L70+M70</f>
        <v>9599</v>
      </c>
      <c r="O70" s="109"/>
      <c r="P70" s="109"/>
      <c r="Q70" s="109"/>
      <c r="R70" s="77"/>
    </row>
    <row r="71" spans="1:18" ht="14.25" customHeight="1">
      <c r="A71" s="82"/>
      <c r="B71" s="106"/>
      <c r="C71" s="77"/>
      <c r="F71" s="77"/>
      <c r="G71" s="77"/>
      <c r="H71" s="78"/>
      <c r="I71" s="77"/>
      <c r="J71" s="77"/>
      <c r="K71" s="78"/>
      <c r="L71" s="77"/>
      <c r="M71" s="77"/>
      <c r="N71" s="77"/>
      <c r="O71" s="109"/>
      <c r="P71" s="109"/>
      <c r="Q71" s="109"/>
      <c r="R71" s="77"/>
    </row>
    <row r="72" spans="1:18" ht="14.25" customHeight="1">
      <c r="A72" s="82"/>
      <c r="B72" s="106"/>
      <c r="C72" s="77" t="s">
        <v>35</v>
      </c>
      <c r="F72" s="77"/>
      <c r="G72" s="77"/>
      <c r="H72" s="78"/>
      <c r="I72" s="77"/>
      <c r="J72" s="77"/>
      <c r="K72" s="78"/>
      <c r="L72" s="77"/>
      <c r="M72" s="77"/>
      <c r="N72" s="77"/>
      <c r="O72" s="109"/>
      <c r="P72" s="109"/>
      <c r="Q72" s="109"/>
      <c r="R72" s="77"/>
    </row>
    <row r="73" spans="1:18" ht="14.25" customHeight="1">
      <c r="A73" s="82">
        <v>1</v>
      </c>
      <c r="B73" s="105">
        <v>551000</v>
      </c>
      <c r="C73" s="77" t="s">
        <v>28</v>
      </c>
      <c r="F73" s="77">
        <f>I73+L73</f>
        <v>0</v>
      </c>
      <c r="G73" s="77">
        <f>Data!I247</f>
        <v>618767</v>
      </c>
      <c r="H73" s="78">
        <f>F73+G73</f>
        <v>618767</v>
      </c>
      <c r="I73" s="77">
        <f>Data!J247</f>
        <v>0</v>
      </c>
      <c r="J73" s="77">
        <f>G73*VLOOKUP(A73,Allocators,7)</f>
        <v>399662</v>
      </c>
      <c r="K73" s="78">
        <f>I73+J73</f>
        <v>399662</v>
      </c>
      <c r="L73" s="77">
        <f>Data!K247</f>
        <v>0</v>
      </c>
      <c r="M73" s="77">
        <f>G73*VLOOKUP(A73,Allocators,8)</f>
        <v>219105</v>
      </c>
      <c r="N73" s="77">
        <f>L73+M73</f>
        <v>219105</v>
      </c>
      <c r="O73" s="109"/>
      <c r="P73" s="109"/>
      <c r="Q73" s="109"/>
      <c r="R73" s="77"/>
    </row>
    <row r="74" spans="1:18" ht="14.25" customHeight="1">
      <c r="A74" s="82">
        <v>1</v>
      </c>
      <c r="B74" s="105">
        <v>552000</v>
      </c>
      <c r="C74" s="77" t="s">
        <v>36</v>
      </c>
      <c r="F74" s="77">
        <f>I74+L74</f>
        <v>0</v>
      </c>
      <c r="G74" s="77">
        <f>Data!I248</f>
        <v>4418</v>
      </c>
      <c r="H74" s="78">
        <f>F74+G74</f>
        <v>4418</v>
      </c>
      <c r="I74" s="77">
        <f>Data!J248</f>
        <v>0</v>
      </c>
      <c r="J74" s="77">
        <f>G74*VLOOKUP(A74,Allocators,7)</f>
        <v>2854</v>
      </c>
      <c r="K74" s="78">
        <f>I74+J74</f>
        <v>2854</v>
      </c>
      <c r="L74" s="77">
        <f>Data!K248</f>
        <v>0</v>
      </c>
      <c r="M74" s="77">
        <f>G74*VLOOKUP(A74,Allocators,8)</f>
        <v>1564</v>
      </c>
      <c r="N74" s="77">
        <f>L74+M74</f>
        <v>1564</v>
      </c>
      <c r="O74" s="109"/>
      <c r="P74" s="109"/>
      <c r="Q74" s="109"/>
      <c r="R74" s="77"/>
    </row>
    <row r="75" spans="1:18" ht="14.25" customHeight="1">
      <c r="A75" s="82">
        <v>1</v>
      </c>
      <c r="B75" s="105">
        <v>553000</v>
      </c>
      <c r="C75" s="77" t="s">
        <v>54</v>
      </c>
      <c r="F75" s="77">
        <f>I75+L75</f>
        <v>0</v>
      </c>
      <c r="G75" s="77">
        <f>Data!I249</f>
        <v>4697846</v>
      </c>
      <c r="H75" s="78">
        <f>F75+G75</f>
        <v>4697846</v>
      </c>
      <c r="I75" s="77">
        <f>Data!J249</f>
        <v>0</v>
      </c>
      <c r="J75" s="77">
        <f>G75*VLOOKUP(A75,Allocators,7)</f>
        <v>3034339</v>
      </c>
      <c r="K75" s="78">
        <f>I75+J75</f>
        <v>3034339</v>
      </c>
      <c r="L75" s="77">
        <f>Data!K249</f>
        <v>0</v>
      </c>
      <c r="M75" s="77">
        <f>G75*VLOOKUP(A75,Allocators,8)</f>
        <v>1663507</v>
      </c>
      <c r="N75" s="77">
        <f>L75+M75</f>
        <v>1663507</v>
      </c>
      <c r="O75" s="109"/>
      <c r="P75" s="109"/>
      <c r="Q75" s="109"/>
      <c r="R75" s="77"/>
    </row>
    <row r="76" spans="1:18" ht="14.25" customHeight="1">
      <c r="A76" s="82">
        <v>1</v>
      </c>
      <c r="B76" s="105">
        <v>554000</v>
      </c>
      <c r="C76" s="77" t="s">
        <v>55</v>
      </c>
      <c r="F76" s="77">
        <f>I76+L76</f>
        <v>0</v>
      </c>
      <c r="G76" s="77">
        <f>Data!I250</f>
        <v>138998</v>
      </c>
      <c r="H76" s="78">
        <f>F76+G76</f>
        <v>138998</v>
      </c>
      <c r="I76" s="77">
        <f>Data!J250</f>
        <v>0</v>
      </c>
      <c r="J76" s="77">
        <f>G76*VLOOKUP(A76,Allocators,7)</f>
        <v>89779</v>
      </c>
      <c r="K76" s="78">
        <f>I76+J76</f>
        <v>89779</v>
      </c>
      <c r="L76" s="77">
        <f>Data!K250</f>
        <v>0</v>
      </c>
      <c r="M76" s="77">
        <f>G76*VLOOKUP(A76,Allocators,8)</f>
        <v>49219</v>
      </c>
      <c r="N76" s="77">
        <f>L76+M76</f>
        <v>49219</v>
      </c>
      <c r="O76" s="109"/>
      <c r="P76" s="109"/>
      <c r="Q76" s="109"/>
      <c r="R76" s="77"/>
    </row>
    <row r="77" spans="1:18" ht="14.25" customHeight="1">
      <c r="A77" s="82"/>
      <c r="B77" s="106"/>
      <c r="C77" s="77" t="s">
        <v>56</v>
      </c>
      <c r="F77" s="107">
        <f aca="true" t="shared" si="22" ref="F77:N77">SUM(F66:F76)</f>
        <v>0</v>
      </c>
      <c r="G77" s="107">
        <f t="shared" si="22"/>
        <v>117349662</v>
      </c>
      <c r="H77" s="108">
        <f t="shared" si="22"/>
        <v>117349662</v>
      </c>
      <c r="I77" s="107">
        <f t="shared" si="22"/>
        <v>0</v>
      </c>
      <c r="J77" s="107">
        <f t="shared" si="22"/>
        <v>75796147</v>
      </c>
      <c r="K77" s="108">
        <f t="shared" si="22"/>
        <v>75796147</v>
      </c>
      <c r="L77" s="107">
        <f t="shared" si="22"/>
        <v>0</v>
      </c>
      <c r="M77" s="107">
        <f t="shared" si="22"/>
        <v>41553515</v>
      </c>
      <c r="N77" s="107">
        <f t="shared" si="22"/>
        <v>41553515</v>
      </c>
      <c r="O77" s="109"/>
      <c r="P77" s="109"/>
      <c r="Q77" s="109"/>
      <c r="R77" s="77"/>
    </row>
    <row r="78" spans="1:18" ht="14.25" customHeight="1">
      <c r="A78" s="82"/>
      <c r="B78" s="106"/>
      <c r="C78" s="77"/>
      <c r="F78" s="77"/>
      <c r="G78" s="77"/>
      <c r="H78" s="78"/>
      <c r="I78" s="77"/>
      <c r="J78" s="77"/>
      <c r="K78" s="78"/>
      <c r="L78" s="77"/>
      <c r="M78" s="77"/>
      <c r="N78" s="77"/>
      <c r="O78" s="109"/>
      <c r="P78" s="109"/>
      <c r="Q78" s="109"/>
      <c r="R78" s="77"/>
    </row>
    <row r="79" spans="1:18" ht="14.25" customHeight="1">
      <c r="A79" s="82"/>
      <c r="B79" s="106"/>
      <c r="C79" s="77" t="s">
        <v>57</v>
      </c>
      <c r="F79" s="77"/>
      <c r="G79" s="77"/>
      <c r="H79" s="78"/>
      <c r="I79" s="77"/>
      <c r="J79" s="77"/>
      <c r="K79" s="78"/>
      <c r="L79" s="77"/>
      <c r="M79" s="77"/>
      <c r="N79" s="77"/>
      <c r="O79" s="109"/>
      <c r="P79" s="109"/>
      <c r="Q79" s="109"/>
      <c r="R79" s="77"/>
    </row>
    <row r="80" spans="1:18" ht="14.25" customHeight="1">
      <c r="A80" s="82" t="s">
        <v>560</v>
      </c>
      <c r="B80" s="106" t="s">
        <v>575</v>
      </c>
      <c r="C80" s="77" t="s">
        <v>58</v>
      </c>
      <c r="F80" s="77">
        <f>I80+L80</f>
        <v>18439119</v>
      </c>
      <c r="G80" s="77">
        <f>+J80+M80</f>
        <v>227708162</v>
      </c>
      <c r="H80" s="78">
        <f>F80+G80</f>
        <v>246147281</v>
      </c>
      <c r="I80" s="77">
        <f>+'E-555'!I15</f>
        <v>0</v>
      </c>
      <c r="J80" s="77">
        <f>+'E-555'!J15</f>
        <v>147076702</v>
      </c>
      <c r="K80" s="78">
        <f>I80+J80</f>
        <v>147076702</v>
      </c>
      <c r="L80" s="77">
        <f>+'E-555'!L15</f>
        <v>18439119</v>
      </c>
      <c r="M80" s="77">
        <f>+'E-555'!M15</f>
        <v>80631460</v>
      </c>
      <c r="N80" s="77">
        <f>L80+M80</f>
        <v>99070579</v>
      </c>
      <c r="O80" s="109"/>
      <c r="P80" s="109"/>
      <c r="Q80" s="109"/>
      <c r="R80" s="77"/>
    </row>
    <row r="81" spans="1:18" ht="14.25" customHeight="1">
      <c r="A81" s="82">
        <v>1</v>
      </c>
      <c r="B81" s="105">
        <v>556000</v>
      </c>
      <c r="C81" s="77" t="s">
        <v>59</v>
      </c>
      <c r="F81" s="77">
        <f>I81+L81</f>
        <v>0</v>
      </c>
      <c r="G81" s="77">
        <f>Data!I258</f>
        <v>508132</v>
      </c>
      <c r="H81" s="78">
        <f>F81+G81</f>
        <v>508132</v>
      </c>
      <c r="I81" s="77">
        <f>Data!J258</f>
        <v>0</v>
      </c>
      <c r="J81" s="77">
        <f>G81*VLOOKUP(A81,Allocators,7)</f>
        <v>328202</v>
      </c>
      <c r="K81" s="78">
        <f>I81+J81</f>
        <v>328202</v>
      </c>
      <c r="L81" s="77">
        <f>Data!K258</f>
        <v>0</v>
      </c>
      <c r="M81" s="77">
        <f>G81*VLOOKUP(A81,Allocators,8)</f>
        <v>179930</v>
      </c>
      <c r="N81" s="77">
        <f>L81+M81</f>
        <v>179930</v>
      </c>
      <c r="O81" s="109"/>
      <c r="P81" s="109"/>
      <c r="Q81" s="109"/>
      <c r="R81" s="77"/>
    </row>
    <row r="82" spans="1:18" ht="14.25" customHeight="1">
      <c r="A82" s="82" t="s">
        <v>561</v>
      </c>
      <c r="B82" s="105" t="s">
        <v>576</v>
      </c>
      <c r="C82" s="77" t="s">
        <v>60</v>
      </c>
      <c r="F82" s="77">
        <f>I82+L82</f>
        <v>13110053</v>
      </c>
      <c r="G82" s="77">
        <f>+J82+M82</f>
        <v>47586567</v>
      </c>
      <c r="H82" s="78">
        <f>F82+G82</f>
        <v>60696620</v>
      </c>
      <c r="I82" s="77">
        <f>+'E-557'!I24</f>
        <v>18235417</v>
      </c>
      <c r="J82" s="77">
        <f>+'E-557'!J24</f>
        <v>30736163</v>
      </c>
      <c r="K82" s="78">
        <f>I82+J82</f>
        <v>48971580</v>
      </c>
      <c r="L82" s="77">
        <f>+'E-557'!L24</f>
        <v>-5125364</v>
      </c>
      <c r="M82" s="77">
        <f>+'E-557'!M24</f>
        <v>16850404</v>
      </c>
      <c r="N82" s="77">
        <f>L82+M82</f>
        <v>11725040</v>
      </c>
      <c r="O82" s="109"/>
      <c r="P82" s="109"/>
      <c r="Q82" s="109"/>
      <c r="R82" s="77"/>
    </row>
    <row r="83" spans="1:18" ht="14.25" customHeight="1">
      <c r="A83" s="82"/>
      <c r="B83" s="105"/>
      <c r="C83" s="77" t="s">
        <v>61</v>
      </c>
      <c r="F83" s="113">
        <f aca="true" t="shared" si="23" ref="F83:N83">SUM(F80:F82)</f>
        <v>31549172</v>
      </c>
      <c r="G83" s="113">
        <f t="shared" si="23"/>
        <v>275802861</v>
      </c>
      <c r="H83" s="114">
        <f t="shared" si="23"/>
        <v>307352033</v>
      </c>
      <c r="I83" s="113">
        <f t="shared" si="23"/>
        <v>18235417</v>
      </c>
      <c r="J83" s="113">
        <f t="shared" si="23"/>
        <v>178141067</v>
      </c>
      <c r="K83" s="114">
        <f t="shared" si="23"/>
        <v>196376484</v>
      </c>
      <c r="L83" s="113">
        <f t="shared" si="23"/>
        <v>13313755</v>
      </c>
      <c r="M83" s="113">
        <f t="shared" si="23"/>
        <v>97661794</v>
      </c>
      <c r="N83" s="113">
        <f t="shared" si="23"/>
        <v>110975549</v>
      </c>
      <c r="O83" s="109"/>
      <c r="P83" s="109"/>
      <c r="Q83" s="109"/>
      <c r="R83" s="77"/>
    </row>
    <row r="84" spans="1:18" ht="14.25" customHeight="1">
      <c r="A84" s="82"/>
      <c r="B84" s="105"/>
      <c r="C84" s="77" t="s">
        <v>62</v>
      </c>
      <c r="F84" s="107">
        <f aca="true" t="shared" si="24" ref="F84:N84">F45+F62+F77+F83</f>
        <v>33690726</v>
      </c>
      <c r="G84" s="107">
        <f t="shared" si="24"/>
        <v>445678857</v>
      </c>
      <c r="H84" s="108">
        <f t="shared" si="24"/>
        <v>479369583</v>
      </c>
      <c r="I84" s="107">
        <f t="shared" si="24"/>
        <v>19865147</v>
      </c>
      <c r="J84" s="107">
        <f t="shared" si="24"/>
        <v>287863973</v>
      </c>
      <c r="K84" s="108">
        <f t="shared" si="24"/>
        <v>307729120</v>
      </c>
      <c r="L84" s="107">
        <f t="shared" si="24"/>
        <v>13825579</v>
      </c>
      <c r="M84" s="107">
        <f t="shared" si="24"/>
        <v>157814884</v>
      </c>
      <c r="N84" s="107">
        <f t="shared" si="24"/>
        <v>171640463</v>
      </c>
      <c r="O84" s="109"/>
      <c r="P84" s="109"/>
      <c r="Q84" s="109"/>
      <c r="R84" s="77"/>
    </row>
    <row r="85" spans="1:18" ht="14.25" customHeight="1">
      <c r="A85" s="82"/>
      <c r="B85" s="105"/>
      <c r="C85" s="77"/>
      <c r="F85" s="77"/>
      <c r="G85" s="77"/>
      <c r="H85" s="78"/>
      <c r="I85" s="77"/>
      <c r="J85" s="77"/>
      <c r="K85" s="78"/>
      <c r="L85" s="77"/>
      <c r="M85" s="77"/>
      <c r="N85" s="77"/>
      <c r="O85" s="109"/>
      <c r="P85" s="109"/>
      <c r="Q85" s="109"/>
      <c r="R85" s="77"/>
    </row>
    <row r="86" spans="1:18" ht="14.25" customHeight="1">
      <c r="A86" s="82"/>
      <c r="B86" s="105"/>
      <c r="C86" s="77" t="s">
        <v>63</v>
      </c>
      <c r="F86" s="77"/>
      <c r="G86" s="77"/>
      <c r="H86" s="78"/>
      <c r="I86" s="77"/>
      <c r="J86" s="77"/>
      <c r="K86" s="78"/>
      <c r="L86" s="77"/>
      <c r="M86" s="77"/>
      <c r="N86" s="77"/>
      <c r="O86" s="109"/>
      <c r="P86" s="109"/>
      <c r="Q86" s="109"/>
      <c r="R86" s="77"/>
    </row>
    <row r="87" spans="1:18" ht="14.25" customHeight="1">
      <c r="A87" s="82"/>
      <c r="B87" s="105"/>
      <c r="C87" s="77" t="s">
        <v>27</v>
      </c>
      <c r="F87" s="77"/>
      <c r="G87" s="77"/>
      <c r="H87" s="78"/>
      <c r="I87" s="77"/>
      <c r="J87" s="77"/>
      <c r="K87" s="78"/>
      <c r="L87" s="77"/>
      <c r="M87" s="77"/>
      <c r="N87" s="77"/>
      <c r="O87" s="109"/>
      <c r="P87" s="109"/>
      <c r="Q87" s="109"/>
      <c r="R87" s="77"/>
    </row>
    <row r="88" spans="1:18" ht="14.25" customHeight="1">
      <c r="A88" s="82">
        <v>1</v>
      </c>
      <c r="B88" s="105">
        <v>560000</v>
      </c>
      <c r="C88" s="77" t="s">
        <v>28</v>
      </c>
      <c r="F88" s="77">
        <f aca="true" t="shared" si="25" ref="F88:F94">I88+L88</f>
        <v>229019</v>
      </c>
      <c r="G88" s="77">
        <f>Data!I274</f>
        <v>2101580</v>
      </c>
      <c r="H88" s="78">
        <f aca="true" t="shared" si="26" ref="H88:H94">F88+G88</f>
        <v>2330599</v>
      </c>
      <c r="I88" s="77">
        <f>Data!J274+Data!J275</f>
        <v>158213</v>
      </c>
      <c r="J88" s="77">
        <f aca="true" t="shared" si="27" ref="J88:J94">G88*VLOOKUP(A88,Allocators,7)</f>
        <v>1357411</v>
      </c>
      <c r="K88" s="78">
        <f aca="true" t="shared" si="28" ref="K88:K94">I88+J88</f>
        <v>1515624</v>
      </c>
      <c r="L88" s="77">
        <f>Data!K274+Data!K275</f>
        <v>70806</v>
      </c>
      <c r="M88" s="77">
        <f aca="true" t="shared" si="29" ref="M88:M94">G88*VLOOKUP(A88,Allocators,8)</f>
        <v>744169</v>
      </c>
      <c r="N88" s="77">
        <f aca="true" t="shared" si="30" ref="N88:N94">L88+M88</f>
        <v>814975</v>
      </c>
      <c r="O88" s="109"/>
      <c r="P88" s="109"/>
      <c r="Q88" s="109"/>
      <c r="R88" s="77"/>
    </row>
    <row r="89" spans="1:18" ht="14.25" customHeight="1">
      <c r="A89" s="82">
        <v>1</v>
      </c>
      <c r="B89" s="105">
        <v>561000</v>
      </c>
      <c r="C89" s="77" t="s">
        <v>64</v>
      </c>
      <c r="F89" s="77">
        <f t="shared" si="25"/>
        <v>0</v>
      </c>
      <c r="G89" s="77">
        <f>Data!I276</f>
        <v>1971924</v>
      </c>
      <c r="H89" s="78">
        <f t="shared" si="26"/>
        <v>1971924</v>
      </c>
      <c r="I89" s="77">
        <f>Data!J276</f>
        <v>0</v>
      </c>
      <c r="J89" s="77">
        <f t="shared" si="27"/>
        <v>1273666</v>
      </c>
      <c r="K89" s="78">
        <f t="shared" si="28"/>
        <v>1273666</v>
      </c>
      <c r="L89" s="77">
        <f>Data!K276</f>
        <v>0</v>
      </c>
      <c r="M89" s="77">
        <f t="shared" si="29"/>
        <v>698258</v>
      </c>
      <c r="N89" s="77">
        <f t="shared" si="30"/>
        <v>698258</v>
      </c>
      <c r="O89" s="109"/>
      <c r="P89" s="109"/>
      <c r="Q89" s="109"/>
      <c r="R89" s="77"/>
    </row>
    <row r="90" spans="1:18" ht="14.25" customHeight="1">
      <c r="A90" s="82">
        <v>1</v>
      </c>
      <c r="B90" s="105">
        <v>562000</v>
      </c>
      <c r="C90" s="77" t="s">
        <v>65</v>
      </c>
      <c r="F90" s="77">
        <f t="shared" si="25"/>
        <v>0</v>
      </c>
      <c r="G90" s="77">
        <f>Data!I277</f>
        <v>262556</v>
      </c>
      <c r="H90" s="78">
        <f t="shared" si="26"/>
        <v>262556</v>
      </c>
      <c r="I90" s="77">
        <f>Data!J277</f>
        <v>0</v>
      </c>
      <c r="J90" s="77">
        <f t="shared" si="27"/>
        <v>169585</v>
      </c>
      <c r="K90" s="78">
        <f t="shared" si="28"/>
        <v>169585</v>
      </c>
      <c r="L90" s="77">
        <f>Data!K277</f>
        <v>0</v>
      </c>
      <c r="M90" s="77">
        <f t="shared" si="29"/>
        <v>92971</v>
      </c>
      <c r="N90" s="77">
        <f t="shared" si="30"/>
        <v>92971</v>
      </c>
      <c r="O90" s="109"/>
      <c r="P90" s="109"/>
      <c r="Q90" s="109"/>
      <c r="R90" s="77"/>
    </row>
    <row r="91" spans="1:18" ht="14.25" customHeight="1">
      <c r="A91" s="82">
        <v>1</v>
      </c>
      <c r="B91" s="105">
        <v>563000</v>
      </c>
      <c r="C91" s="77" t="s">
        <v>66</v>
      </c>
      <c r="F91" s="77">
        <f t="shared" si="25"/>
        <v>0</v>
      </c>
      <c r="G91" s="77">
        <f>Data!I278</f>
        <v>415834</v>
      </c>
      <c r="H91" s="78">
        <f t="shared" si="26"/>
        <v>415834</v>
      </c>
      <c r="I91" s="77">
        <f>Data!J278</f>
        <v>0</v>
      </c>
      <c r="J91" s="77">
        <f t="shared" si="27"/>
        <v>268587</v>
      </c>
      <c r="K91" s="78">
        <f t="shared" si="28"/>
        <v>268587</v>
      </c>
      <c r="L91" s="77">
        <f>Data!K278</f>
        <v>0</v>
      </c>
      <c r="M91" s="77">
        <f t="shared" si="29"/>
        <v>147247</v>
      </c>
      <c r="N91" s="77">
        <f t="shared" si="30"/>
        <v>147247</v>
      </c>
      <c r="O91" s="109"/>
      <c r="P91" s="109"/>
      <c r="Q91" s="109"/>
      <c r="R91" s="77"/>
    </row>
    <row r="92" spans="1:18" ht="14.25" customHeight="1">
      <c r="A92" s="82">
        <v>1</v>
      </c>
      <c r="B92" s="105">
        <v>565000</v>
      </c>
      <c r="C92" s="77" t="s">
        <v>70</v>
      </c>
      <c r="F92" s="77">
        <f t="shared" si="25"/>
        <v>0</v>
      </c>
      <c r="G92" s="77">
        <f>Data!I279</f>
        <v>13733426</v>
      </c>
      <c r="H92" s="78">
        <f t="shared" si="26"/>
        <v>13733426</v>
      </c>
      <c r="I92" s="77">
        <f>Data!J279</f>
        <v>0</v>
      </c>
      <c r="J92" s="77">
        <f t="shared" si="27"/>
        <v>8870420</v>
      </c>
      <c r="K92" s="78">
        <f t="shared" si="28"/>
        <v>8870420</v>
      </c>
      <c r="L92" s="77">
        <f>Data!K279</f>
        <v>0</v>
      </c>
      <c r="M92" s="77">
        <f t="shared" si="29"/>
        <v>4863006</v>
      </c>
      <c r="N92" s="77">
        <f t="shared" si="30"/>
        <v>4863006</v>
      </c>
      <c r="O92" s="109"/>
      <c r="P92" s="109"/>
      <c r="Q92" s="109"/>
      <c r="R92" s="77"/>
    </row>
    <row r="93" spans="1:18" ht="14.25" customHeight="1">
      <c r="A93" s="82">
        <v>1</v>
      </c>
      <c r="B93" s="105">
        <v>566000</v>
      </c>
      <c r="C93" s="77" t="s">
        <v>71</v>
      </c>
      <c r="F93" s="77">
        <f t="shared" si="25"/>
        <v>0</v>
      </c>
      <c r="G93" s="77">
        <f>Data!I280</f>
        <v>1250025</v>
      </c>
      <c r="H93" s="78">
        <f t="shared" si="26"/>
        <v>1250025</v>
      </c>
      <c r="I93" s="77">
        <f>Data!J280</f>
        <v>0</v>
      </c>
      <c r="J93" s="77">
        <f t="shared" si="27"/>
        <v>807391</v>
      </c>
      <c r="K93" s="78">
        <f t="shared" si="28"/>
        <v>807391</v>
      </c>
      <c r="L93" s="77">
        <f>Data!K280</f>
        <v>0</v>
      </c>
      <c r="M93" s="77">
        <f t="shared" si="29"/>
        <v>442634</v>
      </c>
      <c r="N93" s="77">
        <f t="shared" si="30"/>
        <v>442634</v>
      </c>
      <c r="O93" s="109"/>
      <c r="P93" s="109"/>
      <c r="Q93" s="109"/>
      <c r="R93" s="77"/>
    </row>
    <row r="94" spans="1:18" ht="14.25" customHeight="1">
      <c r="A94" s="82">
        <v>1</v>
      </c>
      <c r="B94" s="105">
        <v>567000</v>
      </c>
      <c r="C94" s="77" t="s">
        <v>34</v>
      </c>
      <c r="F94" s="77">
        <f t="shared" si="25"/>
        <v>0</v>
      </c>
      <c r="G94" s="77">
        <f>Data!I281</f>
        <v>88491</v>
      </c>
      <c r="H94" s="78">
        <f t="shared" si="26"/>
        <v>88491</v>
      </c>
      <c r="I94" s="77">
        <f>Data!J281</f>
        <v>0</v>
      </c>
      <c r="J94" s="77">
        <f t="shared" si="27"/>
        <v>57156</v>
      </c>
      <c r="K94" s="78">
        <f t="shared" si="28"/>
        <v>57156</v>
      </c>
      <c r="L94" s="77">
        <f>Data!K281</f>
        <v>0</v>
      </c>
      <c r="M94" s="77">
        <f t="shared" si="29"/>
        <v>31335</v>
      </c>
      <c r="N94" s="77">
        <f t="shared" si="30"/>
        <v>31335</v>
      </c>
      <c r="O94" s="109"/>
      <c r="P94" s="109"/>
      <c r="Q94" s="109"/>
      <c r="R94" s="77"/>
    </row>
    <row r="95" spans="1:18" ht="14.25" customHeight="1">
      <c r="A95" s="82"/>
      <c r="B95" s="106"/>
      <c r="C95" s="77"/>
      <c r="F95" s="77"/>
      <c r="G95" s="77"/>
      <c r="H95" s="78"/>
      <c r="I95" s="77"/>
      <c r="J95" s="77"/>
      <c r="K95" s="78"/>
      <c r="L95" s="77"/>
      <c r="M95" s="77"/>
      <c r="N95" s="77"/>
      <c r="O95" s="109"/>
      <c r="P95" s="109"/>
      <c r="Q95" s="109"/>
      <c r="R95" s="77"/>
    </row>
    <row r="96" spans="1:18" ht="14.25" customHeight="1">
      <c r="A96" s="82"/>
      <c r="B96" s="106"/>
      <c r="C96" s="77" t="s">
        <v>35</v>
      </c>
      <c r="F96" s="77"/>
      <c r="G96" s="77"/>
      <c r="H96" s="78"/>
      <c r="I96" s="77"/>
      <c r="J96" s="77"/>
      <c r="K96" s="78"/>
      <c r="L96" s="77"/>
      <c r="M96" s="77"/>
      <c r="N96" s="77"/>
      <c r="O96" s="109"/>
      <c r="P96" s="109"/>
      <c r="Q96" s="109"/>
      <c r="R96" s="77"/>
    </row>
    <row r="97" spans="1:18" ht="14.25" customHeight="1">
      <c r="A97" s="82">
        <v>1</v>
      </c>
      <c r="B97" s="105">
        <v>568000</v>
      </c>
      <c r="C97" s="77" t="s">
        <v>28</v>
      </c>
      <c r="F97" s="77">
        <f aca="true" t="shared" si="31" ref="F97:F102">I97+L97</f>
        <v>0</v>
      </c>
      <c r="G97" s="77">
        <f>Data!I282</f>
        <v>539369</v>
      </c>
      <c r="H97" s="78">
        <f aca="true" t="shared" si="32" ref="H97:H102">F97+G97</f>
        <v>539369</v>
      </c>
      <c r="I97" s="77">
        <f>Data!J282</f>
        <v>0</v>
      </c>
      <c r="J97" s="77">
        <f aca="true" t="shared" si="33" ref="J97:J102">G97*VLOOKUP(A97,Allocators,7)</f>
        <v>348378</v>
      </c>
      <c r="K97" s="78">
        <f aca="true" t="shared" si="34" ref="K97:K102">I97+J97</f>
        <v>348378</v>
      </c>
      <c r="L97" s="77">
        <f>Data!K282</f>
        <v>0</v>
      </c>
      <c r="M97" s="77">
        <f aca="true" t="shared" si="35" ref="M97:M102">G97*VLOOKUP(A97,Allocators,8)</f>
        <v>190991</v>
      </c>
      <c r="N97" s="77">
        <f aca="true" t="shared" si="36" ref="N97:N102">L97+M97</f>
        <v>190991</v>
      </c>
      <c r="O97" s="109"/>
      <c r="P97" s="109"/>
      <c r="Q97" s="109"/>
      <c r="R97" s="77"/>
    </row>
    <row r="98" spans="1:18" ht="14.25" customHeight="1">
      <c r="A98" s="82">
        <v>1</v>
      </c>
      <c r="B98" s="105">
        <v>569000</v>
      </c>
      <c r="C98" s="77" t="s">
        <v>36</v>
      </c>
      <c r="F98" s="77">
        <f t="shared" si="31"/>
        <v>0</v>
      </c>
      <c r="G98" s="77">
        <f>Data!I283</f>
        <v>331225</v>
      </c>
      <c r="H98" s="78">
        <f t="shared" si="32"/>
        <v>331225</v>
      </c>
      <c r="I98" s="77">
        <f>Data!J283</f>
        <v>0</v>
      </c>
      <c r="J98" s="77">
        <f t="shared" si="33"/>
        <v>213938</v>
      </c>
      <c r="K98" s="78">
        <f t="shared" si="34"/>
        <v>213938</v>
      </c>
      <c r="L98" s="77">
        <f>Data!K283</f>
        <v>0</v>
      </c>
      <c r="M98" s="77">
        <f t="shared" si="35"/>
        <v>117287</v>
      </c>
      <c r="N98" s="77">
        <f t="shared" si="36"/>
        <v>117287</v>
      </c>
      <c r="O98" s="109"/>
      <c r="P98" s="109"/>
      <c r="Q98" s="109"/>
      <c r="R98" s="77"/>
    </row>
    <row r="99" spans="1:18" ht="14.25" customHeight="1">
      <c r="A99" s="82">
        <v>1</v>
      </c>
      <c r="B99" s="105">
        <v>570000</v>
      </c>
      <c r="C99" s="77" t="s">
        <v>72</v>
      </c>
      <c r="F99" s="77">
        <f t="shared" si="31"/>
        <v>0</v>
      </c>
      <c r="G99" s="77">
        <f>Data!I284</f>
        <v>1191392</v>
      </c>
      <c r="H99" s="78">
        <f t="shared" si="32"/>
        <v>1191392</v>
      </c>
      <c r="I99" s="77">
        <f>Data!J284</f>
        <v>0</v>
      </c>
      <c r="J99" s="77">
        <f t="shared" si="33"/>
        <v>769520</v>
      </c>
      <c r="K99" s="78">
        <f t="shared" si="34"/>
        <v>769520</v>
      </c>
      <c r="L99" s="77">
        <f>Data!K284</f>
        <v>0</v>
      </c>
      <c r="M99" s="77">
        <f t="shared" si="35"/>
        <v>421872</v>
      </c>
      <c r="N99" s="77">
        <f t="shared" si="36"/>
        <v>421872</v>
      </c>
      <c r="O99" s="109"/>
      <c r="P99" s="109"/>
      <c r="Q99" s="109"/>
      <c r="R99" s="77"/>
    </row>
    <row r="100" spans="1:18" ht="14.25" customHeight="1">
      <c r="A100" s="82">
        <v>1</v>
      </c>
      <c r="B100" s="105">
        <v>571000</v>
      </c>
      <c r="C100" s="77" t="s">
        <v>73</v>
      </c>
      <c r="F100" s="77">
        <f t="shared" si="31"/>
        <v>0</v>
      </c>
      <c r="G100" s="77">
        <f>Data!I285</f>
        <v>1288518</v>
      </c>
      <c r="H100" s="78">
        <f t="shared" si="32"/>
        <v>1288518</v>
      </c>
      <c r="I100" s="77">
        <f>Data!J285</f>
        <v>0</v>
      </c>
      <c r="J100" s="77">
        <f t="shared" si="33"/>
        <v>832254</v>
      </c>
      <c r="K100" s="78">
        <f t="shared" si="34"/>
        <v>832254</v>
      </c>
      <c r="L100" s="77">
        <f>Data!K285</f>
        <v>0</v>
      </c>
      <c r="M100" s="77">
        <f t="shared" si="35"/>
        <v>456264</v>
      </c>
      <c r="N100" s="77">
        <f t="shared" si="36"/>
        <v>456264</v>
      </c>
      <c r="O100" s="109"/>
      <c r="P100" s="109"/>
      <c r="Q100" s="109"/>
      <c r="R100" s="77"/>
    </row>
    <row r="101" spans="1:18" ht="14.25" customHeight="1">
      <c r="A101" s="82">
        <v>1</v>
      </c>
      <c r="B101" s="105">
        <v>572000</v>
      </c>
      <c r="C101" s="77" t="s">
        <v>74</v>
      </c>
      <c r="F101" s="77">
        <f t="shared" si="31"/>
        <v>0</v>
      </c>
      <c r="G101" s="77">
        <f>Data!I286</f>
        <v>6021</v>
      </c>
      <c r="H101" s="78">
        <f t="shared" si="32"/>
        <v>6021</v>
      </c>
      <c r="I101" s="77">
        <f>Data!J286</f>
        <v>0</v>
      </c>
      <c r="J101" s="77">
        <f t="shared" si="33"/>
        <v>3889</v>
      </c>
      <c r="K101" s="78">
        <f t="shared" si="34"/>
        <v>3889</v>
      </c>
      <c r="L101" s="77">
        <f>Data!K286</f>
        <v>0</v>
      </c>
      <c r="M101" s="77">
        <f t="shared" si="35"/>
        <v>2132</v>
      </c>
      <c r="N101" s="77">
        <f t="shared" si="36"/>
        <v>2132</v>
      </c>
      <c r="O101" s="109"/>
      <c r="P101" s="109"/>
      <c r="Q101" s="109"/>
      <c r="R101" s="77"/>
    </row>
    <row r="102" spans="1:18" ht="14.25" customHeight="1">
      <c r="A102" s="82">
        <v>1</v>
      </c>
      <c r="B102" s="105">
        <v>573000</v>
      </c>
      <c r="C102" s="77" t="s">
        <v>132</v>
      </c>
      <c r="F102" s="77">
        <f t="shared" si="31"/>
        <v>0</v>
      </c>
      <c r="G102" s="77">
        <f>Data!I287</f>
        <v>27120</v>
      </c>
      <c r="H102" s="78">
        <f t="shared" si="32"/>
        <v>27120</v>
      </c>
      <c r="I102" s="77">
        <f>Data!J287</f>
        <v>0</v>
      </c>
      <c r="J102" s="77">
        <f t="shared" si="33"/>
        <v>17517</v>
      </c>
      <c r="K102" s="78">
        <f t="shared" si="34"/>
        <v>17517</v>
      </c>
      <c r="L102" s="77">
        <f>Data!K287</f>
        <v>0</v>
      </c>
      <c r="M102" s="77">
        <f t="shared" si="35"/>
        <v>9603</v>
      </c>
      <c r="N102" s="77">
        <f t="shared" si="36"/>
        <v>9603</v>
      </c>
      <c r="O102" s="109"/>
      <c r="P102" s="109"/>
      <c r="Q102" s="109"/>
      <c r="R102" s="77"/>
    </row>
    <row r="103" spans="1:18" ht="14.25" customHeight="1">
      <c r="A103" s="82"/>
      <c r="B103" s="106"/>
      <c r="C103" s="77" t="s">
        <v>262</v>
      </c>
      <c r="F103" s="107">
        <f aca="true" t="shared" si="37" ref="F103:N103">SUM(F88:F102)</f>
        <v>229019</v>
      </c>
      <c r="G103" s="107">
        <f t="shared" si="37"/>
        <v>23207481</v>
      </c>
      <c r="H103" s="108">
        <f t="shared" si="37"/>
        <v>23436500</v>
      </c>
      <c r="I103" s="107">
        <f t="shared" si="37"/>
        <v>158213</v>
      </c>
      <c r="J103" s="107">
        <f t="shared" si="37"/>
        <v>14989712</v>
      </c>
      <c r="K103" s="108">
        <f t="shared" si="37"/>
        <v>15147925</v>
      </c>
      <c r="L103" s="107">
        <f t="shared" si="37"/>
        <v>70806</v>
      </c>
      <c r="M103" s="107">
        <f t="shared" si="37"/>
        <v>8217769</v>
      </c>
      <c r="N103" s="107">
        <f t="shared" si="37"/>
        <v>8288575</v>
      </c>
      <c r="O103" s="109"/>
      <c r="P103" s="109"/>
      <c r="Q103" s="109"/>
      <c r="R103" s="77"/>
    </row>
    <row r="104" spans="1:18" ht="14.25" customHeight="1">
      <c r="A104" s="82"/>
      <c r="B104" s="106"/>
      <c r="C104" s="77"/>
      <c r="F104" s="77"/>
      <c r="G104" s="77"/>
      <c r="H104" s="78"/>
      <c r="I104" s="77"/>
      <c r="J104" s="77"/>
      <c r="K104" s="78"/>
      <c r="L104" s="77"/>
      <c r="M104" s="77"/>
      <c r="N104" s="77"/>
      <c r="O104" s="109"/>
      <c r="P104" s="109"/>
      <c r="Q104" s="109"/>
      <c r="R104" s="77"/>
    </row>
    <row r="105" spans="1:18" ht="14.25" customHeight="1">
      <c r="A105" s="82">
        <v>1</v>
      </c>
      <c r="B105" s="106"/>
      <c r="C105" s="77" t="s">
        <v>922</v>
      </c>
      <c r="F105" s="77">
        <f aca="true" t="shared" si="38" ref="F105:F115">I105+L105</f>
        <v>0</v>
      </c>
      <c r="G105" s="77">
        <f>Data!I46+Data!I47+Data!I48</f>
        <v>26922419</v>
      </c>
      <c r="H105" s="78">
        <f>+F105+G105</f>
        <v>26922419</v>
      </c>
      <c r="I105" s="77">
        <f>+Data!J46+Data!J47+Data!J48</f>
        <v>0</v>
      </c>
      <c r="J105" s="77">
        <f>G105*VLOOKUP(A105,Allocators,7)</f>
        <v>17389190</v>
      </c>
      <c r="K105" s="78">
        <f aca="true" t="shared" si="39" ref="K105:K115">I105+J105</f>
        <v>17389190</v>
      </c>
      <c r="L105" s="77">
        <f>+Data!K46+Data!K47+Data!K48</f>
        <v>0</v>
      </c>
      <c r="M105" s="77">
        <f>G105*VLOOKUP(A105,Allocators,8)</f>
        <v>9533229</v>
      </c>
      <c r="N105" s="77">
        <f>+L105+M105</f>
        <v>9533229</v>
      </c>
      <c r="O105" s="109"/>
      <c r="P105" s="109"/>
      <c r="Q105" s="109"/>
      <c r="R105" s="77"/>
    </row>
    <row r="106" spans="1:18" ht="14.25" customHeight="1">
      <c r="A106" s="82">
        <v>1</v>
      </c>
      <c r="B106" s="106" t="s">
        <v>190</v>
      </c>
      <c r="C106" s="77" t="s">
        <v>263</v>
      </c>
      <c r="F106" s="77">
        <f t="shared" si="38"/>
        <v>0</v>
      </c>
      <c r="G106" s="77">
        <f>+Data!I49</f>
        <v>9593340</v>
      </c>
      <c r="H106" s="78">
        <f>+F106+G106</f>
        <v>9593340</v>
      </c>
      <c r="I106" s="77">
        <f>+Data!J49</f>
        <v>0</v>
      </c>
      <c r="J106" s="77">
        <f>G106*VLOOKUP(A106,Allocators,7)</f>
        <v>6196338</v>
      </c>
      <c r="K106" s="78">
        <f t="shared" si="39"/>
        <v>6196338</v>
      </c>
      <c r="L106" s="77">
        <f>+Data!K49</f>
        <v>0</v>
      </c>
      <c r="M106" s="77">
        <f>G106*VLOOKUP(A106,Allocators,8)</f>
        <v>3397002</v>
      </c>
      <c r="N106" s="77">
        <f>+L106+M106</f>
        <v>3397002</v>
      </c>
      <c r="O106" s="109"/>
      <c r="P106" s="109"/>
      <c r="Q106" s="109"/>
      <c r="R106" s="77"/>
    </row>
    <row r="107" spans="1:18" ht="14.25" customHeight="1">
      <c r="A107" s="82">
        <v>1</v>
      </c>
      <c r="B107" s="106" t="s">
        <v>191</v>
      </c>
      <c r="C107" s="77" t="s">
        <v>457</v>
      </c>
      <c r="F107" s="77">
        <f t="shared" si="38"/>
        <v>2785</v>
      </c>
      <c r="G107" s="77">
        <f>+Data!I61</f>
        <v>88149</v>
      </c>
      <c r="H107" s="78">
        <f aca="true" t="shared" si="40" ref="H107:H123">F107+G107</f>
        <v>90934</v>
      </c>
      <c r="I107" s="77">
        <f>Data!J61</f>
        <v>2785</v>
      </c>
      <c r="J107" s="77">
        <f>G107*VLOOKUP(A107,Allocators,7)</f>
        <v>56935</v>
      </c>
      <c r="K107" s="78">
        <f t="shared" si="39"/>
        <v>59720</v>
      </c>
      <c r="L107" s="77">
        <f>Data!K61</f>
        <v>0</v>
      </c>
      <c r="M107" s="77">
        <f>G107*VLOOKUP(A107,Allocators,8)</f>
        <v>31214</v>
      </c>
      <c r="N107" s="77">
        <f aca="true" t="shared" si="41" ref="N107:N123">L107+M107</f>
        <v>31214</v>
      </c>
      <c r="O107" s="109"/>
      <c r="P107" s="109"/>
      <c r="Q107" s="109"/>
      <c r="R107" s="77"/>
    </row>
    <row r="108" spans="1:18" ht="14.25" customHeight="1">
      <c r="A108" s="82">
        <v>1</v>
      </c>
      <c r="B108" s="106" t="s">
        <v>192</v>
      </c>
      <c r="C108" s="77" t="s">
        <v>441</v>
      </c>
      <c r="F108" s="77">
        <f t="shared" si="38"/>
        <v>0</v>
      </c>
      <c r="G108" s="77">
        <f>Data!I62</f>
        <v>337758</v>
      </c>
      <c r="H108" s="78">
        <f t="shared" si="40"/>
        <v>337758</v>
      </c>
      <c r="I108" s="77">
        <v>0</v>
      </c>
      <c r="J108" s="77">
        <f>G108*VLOOKUP(A108,Allocators,7)</f>
        <v>218158</v>
      </c>
      <c r="K108" s="78">
        <f t="shared" si="39"/>
        <v>218158</v>
      </c>
      <c r="L108" s="77">
        <v>0</v>
      </c>
      <c r="M108" s="77">
        <f>G108*VLOOKUP(A108,Allocators,8)</f>
        <v>119600</v>
      </c>
      <c r="N108" s="77">
        <f t="shared" si="41"/>
        <v>119600</v>
      </c>
      <c r="O108" s="109"/>
      <c r="P108" s="109"/>
      <c r="Q108" s="109"/>
      <c r="R108" s="77"/>
    </row>
    <row r="109" spans="1:18" ht="14.25" customHeight="1">
      <c r="A109" s="82">
        <v>99</v>
      </c>
      <c r="B109" s="105">
        <v>405930</v>
      </c>
      <c r="C109" s="77" t="s">
        <v>264</v>
      </c>
      <c r="F109" s="77">
        <f t="shared" si="38"/>
        <v>2450031</v>
      </c>
      <c r="G109" s="77">
        <f>Data!I84</f>
        <v>0</v>
      </c>
      <c r="H109" s="78">
        <f t="shared" si="40"/>
        <v>2450031</v>
      </c>
      <c r="I109" s="77">
        <f>Data!J84</f>
        <v>2450031</v>
      </c>
      <c r="J109" s="77">
        <v>0</v>
      </c>
      <c r="K109" s="78">
        <f t="shared" si="39"/>
        <v>2450031</v>
      </c>
      <c r="L109" s="77">
        <f>Data!K84</f>
        <v>0</v>
      </c>
      <c r="M109" s="77">
        <v>0</v>
      </c>
      <c r="N109" s="77">
        <f t="shared" si="41"/>
        <v>0</v>
      </c>
      <c r="O109" s="109"/>
      <c r="P109" s="109"/>
      <c r="Q109" s="109"/>
      <c r="R109" s="77"/>
    </row>
    <row r="110" spans="1:18" ht="14.25" customHeight="1">
      <c r="A110" s="82">
        <v>99</v>
      </c>
      <c r="B110" s="105">
        <v>406100</v>
      </c>
      <c r="C110" s="77" t="s">
        <v>265</v>
      </c>
      <c r="F110" s="77">
        <f t="shared" si="38"/>
        <v>99047</v>
      </c>
      <c r="G110" s="77">
        <f>+Data!I85</f>
        <v>0</v>
      </c>
      <c r="H110" s="78">
        <f t="shared" si="40"/>
        <v>99047</v>
      </c>
      <c r="I110" s="77">
        <f>+Data!J85</f>
        <v>31743</v>
      </c>
      <c r="J110" s="77">
        <v>0</v>
      </c>
      <c r="K110" s="78">
        <f t="shared" si="39"/>
        <v>31743</v>
      </c>
      <c r="L110" s="77">
        <f>+Data!K85</f>
        <v>67304</v>
      </c>
      <c r="M110" s="77">
        <v>0</v>
      </c>
      <c r="N110" s="77">
        <f t="shared" si="41"/>
        <v>67304</v>
      </c>
      <c r="O110" s="109"/>
      <c r="P110" s="109"/>
      <c r="Q110" s="109"/>
      <c r="R110" s="77"/>
    </row>
    <row r="111" spans="1:18" ht="14.25" customHeight="1">
      <c r="A111" s="82">
        <v>1</v>
      </c>
      <c r="B111" s="106" t="s">
        <v>193</v>
      </c>
      <c r="C111" s="77" t="s">
        <v>693</v>
      </c>
      <c r="F111" s="77">
        <f t="shared" si="38"/>
        <v>0</v>
      </c>
      <c r="G111" s="77">
        <f>Data!I63</f>
        <v>0</v>
      </c>
      <c r="H111" s="78">
        <f>F111+G111</f>
        <v>0</v>
      </c>
      <c r="I111" s="77">
        <f>Data!J63</f>
        <v>0</v>
      </c>
      <c r="J111" s="77">
        <f>G111*VLOOKUP(A111,Allocators,7)</f>
        <v>0</v>
      </c>
      <c r="K111" s="78">
        <f t="shared" si="39"/>
        <v>0</v>
      </c>
      <c r="L111" s="77">
        <f>Data!K63</f>
        <v>0</v>
      </c>
      <c r="M111" s="77">
        <f>G111*VLOOKUP(A111,Allocators,8)</f>
        <v>0</v>
      </c>
      <c r="N111" s="77">
        <f>L111+M111</f>
        <v>0</v>
      </c>
      <c r="O111" s="109"/>
      <c r="P111" s="109"/>
      <c r="Q111" s="109"/>
      <c r="R111" s="77"/>
    </row>
    <row r="112" spans="1:18" ht="14.25" customHeight="1">
      <c r="A112" s="82">
        <v>1</v>
      </c>
      <c r="B112" s="106" t="s">
        <v>136</v>
      </c>
      <c r="C112" s="77" t="s">
        <v>695</v>
      </c>
      <c r="F112" s="77">
        <f t="shared" si="38"/>
        <v>0</v>
      </c>
      <c r="G112" s="77">
        <f>Data!I79+Data!I83</f>
        <v>0</v>
      </c>
      <c r="H112" s="78">
        <f>F112+G112</f>
        <v>0</v>
      </c>
      <c r="I112" s="77">
        <f>Data!J79+Data!J83</f>
        <v>0</v>
      </c>
      <c r="J112" s="77">
        <f>G112*VLOOKUP(A112,Allocators,7)</f>
        <v>0</v>
      </c>
      <c r="K112" s="78">
        <f t="shared" si="39"/>
        <v>0</v>
      </c>
      <c r="L112" s="77">
        <f>Data!K79+Data!K83</f>
        <v>0</v>
      </c>
      <c r="M112" s="77">
        <f>G112*VLOOKUP(A112,Allocators,8)</f>
        <v>0</v>
      </c>
      <c r="N112" s="77">
        <f>L112+M112</f>
        <v>0</v>
      </c>
      <c r="O112" s="109"/>
      <c r="P112" s="109"/>
      <c r="Q112" s="109"/>
      <c r="R112" s="77"/>
    </row>
    <row r="113" spans="1:18" ht="14.25" customHeight="1">
      <c r="A113" s="82">
        <v>1</v>
      </c>
      <c r="B113" s="106" t="s">
        <v>158</v>
      </c>
      <c r="C113" s="77" t="s">
        <v>171</v>
      </c>
      <c r="F113" s="77">
        <f>I113+L113</f>
        <v>0</v>
      </c>
      <c r="G113" s="77">
        <f>+'C-AMT'!G32</f>
        <v>0</v>
      </c>
      <c r="H113" s="78">
        <f>F113+G113</f>
        <v>0</v>
      </c>
      <c r="I113" s="77">
        <v>0</v>
      </c>
      <c r="J113" s="77">
        <f>G113*VLOOKUP(A113,Allocators,7)</f>
        <v>0</v>
      </c>
      <c r="K113" s="78">
        <f>I113+J113</f>
        <v>0</v>
      </c>
      <c r="L113" s="77">
        <v>0</v>
      </c>
      <c r="M113" s="77">
        <f>G113*VLOOKUP(A113,Allocators,8)</f>
        <v>0</v>
      </c>
      <c r="N113" s="77">
        <f>L113+M113</f>
        <v>0</v>
      </c>
      <c r="O113" s="109"/>
      <c r="P113" s="109"/>
      <c r="Q113" s="109"/>
      <c r="R113" s="77"/>
    </row>
    <row r="114" spans="1:18" ht="14.25" customHeight="1">
      <c r="A114" s="82">
        <v>1</v>
      </c>
      <c r="B114" s="105">
        <v>407000</v>
      </c>
      <c r="C114" s="77" t="s">
        <v>266</v>
      </c>
      <c r="F114" s="77">
        <f t="shared" si="38"/>
        <v>0</v>
      </c>
      <c r="G114" s="77">
        <f>Data!I86</f>
        <v>0</v>
      </c>
      <c r="H114" s="78">
        <f t="shared" si="40"/>
        <v>0</v>
      </c>
      <c r="I114" s="77">
        <f>Data!J86</f>
        <v>0</v>
      </c>
      <c r="J114" s="77">
        <f>G114*VLOOKUP(A114,Allocators,7)</f>
        <v>0</v>
      </c>
      <c r="K114" s="78">
        <f t="shared" si="39"/>
        <v>0</v>
      </c>
      <c r="L114" s="77">
        <f>Data!K86</f>
        <v>0</v>
      </c>
      <c r="M114" s="77">
        <f>G114*VLOOKUP(A114,Allocators,8)</f>
        <v>0</v>
      </c>
      <c r="N114" s="77">
        <f t="shared" si="41"/>
        <v>0</v>
      </c>
      <c r="O114" s="109"/>
      <c r="P114" s="109"/>
      <c r="Q114" s="109"/>
      <c r="R114" s="77"/>
    </row>
    <row r="115" spans="1:18" ht="14.25" customHeight="1">
      <c r="A115" s="82">
        <v>99</v>
      </c>
      <c r="B115" s="105">
        <v>407403</v>
      </c>
      <c r="C115" s="77" t="s">
        <v>211</v>
      </c>
      <c r="F115" s="77">
        <f t="shared" si="38"/>
        <v>-135089</v>
      </c>
      <c r="G115" s="77">
        <v>0</v>
      </c>
      <c r="H115" s="78">
        <f>F115+G115</f>
        <v>-135089</v>
      </c>
      <c r="I115" s="77">
        <f>Data!J89</f>
        <v>-135089</v>
      </c>
      <c r="J115" s="77">
        <v>0</v>
      </c>
      <c r="K115" s="78">
        <f t="shared" si="39"/>
        <v>-135089</v>
      </c>
      <c r="L115" s="77">
        <v>0</v>
      </c>
      <c r="M115" s="77">
        <v>0</v>
      </c>
      <c r="N115" s="77">
        <f>L115+M115</f>
        <v>0</v>
      </c>
      <c r="O115" s="109"/>
      <c r="P115" s="109"/>
      <c r="Q115" s="109"/>
      <c r="R115" s="77"/>
    </row>
    <row r="116" spans="1:18" ht="14.25" customHeight="1">
      <c r="A116" s="82">
        <v>99</v>
      </c>
      <c r="B116" s="105">
        <v>407405</v>
      </c>
      <c r="C116" s="77" t="s">
        <v>672</v>
      </c>
      <c r="F116" s="77">
        <f aca="true" t="shared" si="42" ref="F116:F123">I116+L116</f>
        <v>-103623</v>
      </c>
      <c r="G116" s="77">
        <v>0</v>
      </c>
      <c r="H116" s="78">
        <f t="shared" si="40"/>
        <v>-103623</v>
      </c>
      <c r="I116" s="77">
        <v>0</v>
      </c>
      <c r="J116" s="77">
        <v>0</v>
      </c>
      <c r="K116" s="78">
        <f aca="true" t="shared" si="43" ref="K116:K123">I116+J116</f>
        <v>0</v>
      </c>
      <c r="L116" s="77">
        <f>Data!K90</f>
        <v>-103623</v>
      </c>
      <c r="M116" s="77">
        <v>0</v>
      </c>
      <c r="N116" s="77">
        <f t="shared" si="41"/>
        <v>-103623</v>
      </c>
      <c r="O116" s="109"/>
      <c r="P116" s="109"/>
      <c r="Q116" s="109"/>
      <c r="R116" s="77"/>
    </row>
    <row r="117" spans="1:18" ht="14.25" customHeight="1">
      <c r="A117" s="82">
        <v>99</v>
      </c>
      <c r="B117" s="105">
        <v>407406</v>
      </c>
      <c r="C117" s="77" t="s">
        <v>68</v>
      </c>
      <c r="F117" s="77">
        <f>I117+L117</f>
        <v>0</v>
      </c>
      <c r="G117" s="77">
        <v>0</v>
      </c>
      <c r="H117" s="78">
        <f>F117+G117</f>
        <v>0</v>
      </c>
      <c r="I117" s="77">
        <v>0</v>
      </c>
      <c r="J117" s="77">
        <v>0</v>
      </c>
      <c r="K117" s="78">
        <f>I117+J117</f>
        <v>0</v>
      </c>
      <c r="L117" s="77">
        <f>Data!K91</f>
        <v>0</v>
      </c>
      <c r="M117" s="77">
        <v>0</v>
      </c>
      <c r="N117" s="77">
        <f>L117+M117</f>
        <v>0</v>
      </c>
      <c r="O117" s="109"/>
      <c r="P117" s="109"/>
      <c r="Q117" s="109"/>
      <c r="R117" s="77"/>
    </row>
    <row r="118" spans="1:18" ht="14.25" customHeight="1">
      <c r="A118" s="82">
        <v>99</v>
      </c>
      <c r="B118" s="105">
        <v>407370</v>
      </c>
      <c r="C118" s="77" t="s">
        <v>686</v>
      </c>
      <c r="F118" s="77">
        <f t="shared" si="42"/>
        <v>46059</v>
      </c>
      <c r="G118" s="77">
        <v>0</v>
      </c>
      <c r="H118" s="78">
        <f t="shared" si="40"/>
        <v>46059</v>
      </c>
      <c r="I118" s="77">
        <v>0</v>
      </c>
      <c r="J118" s="77">
        <v>0</v>
      </c>
      <c r="K118" s="78">
        <f t="shared" si="43"/>
        <v>0</v>
      </c>
      <c r="L118" s="77">
        <f>Data!K92</f>
        <v>46059</v>
      </c>
      <c r="M118" s="77">
        <v>0</v>
      </c>
      <c r="N118" s="77">
        <f t="shared" si="41"/>
        <v>46059</v>
      </c>
      <c r="O118" s="109"/>
      <c r="P118" s="109"/>
      <c r="Q118" s="109"/>
      <c r="R118" s="77"/>
    </row>
    <row r="119" spans="1:18" ht="14.25" customHeight="1">
      <c r="A119" s="82">
        <v>99</v>
      </c>
      <c r="B119" s="105">
        <v>407380</v>
      </c>
      <c r="C119" s="77" t="s">
        <v>210</v>
      </c>
      <c r="F119" s="77">
        <f>I119+L119</f>
        <v>153132</v>
      </c>
      <c r="G119" s="77">
        <v>0</v>
      </c>
      <c r="H119" s="78">
        <f>F119+G119</f>
        <v>153132</v>
      </c>
      <c r="I119" s="77">
        <f>Data!J87</f>
        <v>153132</v>
      </c>
      <c r="J119" s="77">
        <v>0</v>
      </c>
      <c r="K119" s="78">
        <f>I119+J119</f>
        <v>153132</v>
      </c>
      <c r="L119" s="77">
        <f>Data!K87</f>
        <v>0</v>
      </c>
      <c r="M119" s="77">
        <v>0</v>
      </c>
      <c r="N119" s="77">
        <f>L119+M119</f>
        <v>0</v>
      </c>
      <c r="O119" s="109"/>
      <c r="P119" s="109"/>
      <c r="Q119" s="109"/>
      <c r="R119" s="77"/>
    </row>
    <row r="120" spans="1:18" ht="14.25" customHeight="1">
      <c r="A120" s="82">
        <v>99</v>
      </c>
      <c r="B120" s="105">
        <v>407400</v>
      </c>
      <c r="C120" s="77" t="s">
        <v>935</v>
      </c>
      <c r="F120" s="77">
        <f>I120+L120</f>
        <v>0</v>
      </c>
      <c r="G120" s="77">
        <v>0</v>
      </c>
      <c r="H120" s="78">
        <f>F120+G120</f>
        <v>0</v>
      </c>
      <c r="I120" s="77">
        <f>Data!J88</f>
        <v>0</v>
      </c>
      <c r="J120" s="77">
        <v>0</v>
      </c>
      <c r="K120" s="78">
        <f>I120+J120</f>
        <v>0</v>
      </c>
      <c r="L120" s="77">
        <f>Data!K88</f>
        <v>0</v>
      </c>
      <c r="M120" s="77">
        <v>0</v>
      </c>
      <c r="N120" s="77">
        <f>L120+M120</f>
        <v>0</v>
      </c>
      <c r="O120" s="109"/>
      <c r="P120" s="109"/>
      <c r="Q120" s="109"/>
      <c r="R120" s="77"/>
    </row>
    <row r="121" spans="1:18" ht="14.25" customHeight="1">
      <c r="A121" s="82">
        <v>99</v>
      </c>
      <c r="B121" s="105">
        <v>407420</v>
      </c>
      <c r="C121" s="77" t="s">
        <v>670</v>
      </c>
      <c r="F121" s="77">
        <f t="shared" si="42"/>
        <v>-201779</v>
      </c>
      <c r="G121" s="77">
        <v>0</v>
      </c>
      <c r="H121" s="78">
        <f t="shared" si="40"/>
        <v>-201779</v>
      </c>
      <c r="I121" s="77">
        <v>0</v>
      </c>
      <c r="J121" s="77">
        <v>0</v>
      </c>
      <c r="K121" s="78">
        <f t="shared" si="43"/>
        <v>0</v>
      </c>
      <c r="L121" s="77">
        <f>Data!K93</f>
        <v>-201779</v>
      </c>
      <c r="M121" s="77">
        <v>0</v>
      </c>
      <c r="N121" s="77">
        <f t="shared" si="41"/>
        <v>-201779</v>
      </c>
      <c r="O121" s="109"/>
      <c r="P121" s="109"/>
      <c r="Q121" s="109"/>
      <c r="R121" s="77"/>
    </row>
    <row r="122" spans="1:18" ht="14.25" customHeight="1">
      <c r="A122" s="82">
        <v>99</v>
      </c>
      <c r="B122" s="106" t="s">
        <v>207</v>
      </c>
      <c r="C122" s="77" t="s">
        <v>602</v>
      </c>
      <c r="F122" s="77">
        <f t="shared" si="42"/>
        <v>0</v>
      </c>
      <c r="G122" s="77">
        <f>Data!I94</f>
        <v>0</v>
      </c>
      <c r="H122" s="78">
        <f t="shared" si="40"/>
        <v>0</v>
      </c>
      <c r="I122" s="77">
        <f>Data!J94+Data!J96+Data!J98</f>
        <v>0</v>
      </c>
      <c r="J122" s="77">
        <f>G122*VLOOKUP(A122,Allocators,7)</f>
        <v>0</v>
      </c>
      <c r="K122" s="78">
        <f t="shared" si="43"/>
        <v>0</v>
      </c>
      <c r="L122" s="77">
        <f>Data!K94+Data!K96+Data!K98</f>
        <v>0</v>
      </c>
      <c r="M122" s="77">
        <f>G122*VLOOKUP(A122,Allocators,8)</f>
        <v>0</v>
      </c>
      <c r="N122" s="77">
        <f t="shared" si="41"/>
        <v>0</v>
      </c>
      <c r="O122" s="109"/>
      <c r="P122" s="109"/>
      <c r="Q122" s="109"/>
      <c r="R122" s="77"/>
    </row>
    <row r="123" spans="1:18" ht="14.25" customHeight="1">
      <c r="A123" s="82">
        <v>99</v>
      </c>
      <c r="B123" s="106" t="s">
        <v>206</v>
      </c>
      <c r="C123" s="77" t="s">
        <v>580</v>
      </c>
      <c r="F123" s="77">
        <f t="shared" si="42"/>
        <v>-4203117</v>
      </c>
      <c r="G123" s="77">
        <v>0</v>
      </c>
      <c r="H123" s="78">
        <f t="shared" si="40"/>
        <v>-4203117</v>
      </c>
      <c r="I123" s="77">
        <f>Data!J95+Data!J97+Data!J99</f>
        <v>-2688372</v>
      </c>
      <c r="J123" s="77">
        <v>0</v>
      </c>
      <c r="K123" s="78">
        <f t="shared" si="43"/>
        <v>-2688372</v>
      </c>
      <c r="L123" s="77">
        <f>Data!K95+Data!K97+Data!K99</f>
        <v>-1514745</v>
      </c>
      <c r="M123" s="77">
        <v>0</v>
      </c>
      <c r="N123" s="77">
        <f t="shared" si="41"/>
        <v>-1514745</v>
      </c>
      <c r="O123" s="109"/>
      <c r="P123" s="109"/>
      <c r="Q123" s="109"/>
      <c r="R123" s="77"/>
    </row>
    <row r="124" spans="1:18" ht="14.25" customHeight="1">
      <c r="A124" s="82" t="s">
        <v>749</v>
      </c>
      <c r="B124" s="106"/>
      <c r="C124" s="77" t="s">
        <v>267</v>
      </c>
      <c r="F124" s="77">
        <f>'E-OTX'!F14</f>
        <v>0</v>
      </c>
      <c r="G124" s="77">
        <f>'E-OTX'!G14</f>
        <v>13833094</v>
      </c>
      <c r="H124" s="78">
        <f>'E-OTX'!H14</f>
        <v>13833094</v>
      </c>
      <c r="I124" s="77">
        <f>'E-OTX'!I14</f>
        <v>0</v>
      </c>
      <c r="J124" s="77">
        <f>'E-OTX'!J14</f>
        <v>8934796</v>
      </c>
      <c r="K124" s="78">
        <f>'E-OTX'!K14</f>
        <v>8934796</v>
      </c>
      <c r="L124" s="77">
        <f>'E-OTX'!L14</f>
        <v>0</v>
      </c>
      <c r="M124" s="77">
        <f>'E-OTX'!M14</f>
        <v>4898298</v>
      </c>
      <c r="N124" s="77">
        <f>'E-OTX'!N14</f>
        <v>4898298</v>
      </c>
      <c r="O124" s="109"/>
      <c r="P124" s="109"/>
      <c r="Q124" s="109"/>
      <c r="R124" s="77"/>
    </row>
    <row r="125" spans="1:18" ht="14.25" customHeight="1">
      <c r="A125" s="82"/>
      <c r="B125" s="106"/>
      <c r="C125" s="77" t="s">
        <v>581</v>
      </c>
      <c r="F125" s="107">
        <f aca="true" t="shared" si="44" ref="F125:N125">SUM(F105:F124)</f>
        <v>-1892554</v>
      </c>
      <c r="G125" s="107">
        <f t="shared" si="44"/>
        <v>50774760</v>
      </c>
      <c r="H125" s="108">
        <f t="shared" si="44"/>
        <v>48882206</v>
      </c>
      <c r="I125" s="107">
        <f t="shared" si="44"/>
        <v>-185770</v>
      </c>
      <c r="J125" s="107">
        <f t="shared" si="44"/>
        <v>32795417</v>
      </c>
      <c r="K125" s="108">
        <f t="shared" si="44"/>
        <v>32609647</v>
      </c>
      <c r="L125" s="107">
        <f t="shared" si="44"/>
        <v>-1706784</v>
      </c>
      <c r="M125" s="107">
        <f t="shared" si="44"/>
        <v>17979343</v>
      </c>
      <c r="N125" s="107">
        <f t="shared" si="44"/>
        <v>16272559</v>
      </c>
      <c r="O125" s="109"/>
      <c r="P125" s="109"/>
      <c r="Q125" s="109"/>
      <c r="R125" s="77"/>
    </row>
    <row r="126" spans="1:18" ht="14.25" customHeight="1">
      <c r="A126" s="82"/>
      <c r="B126" s="106"/>
      <c r="C126" s="77" t="s">
        <v>268</v>
      </c>
      <c r="F126" s="107">
        <f aca="true" t="shared" si="45" ref="F126:N126">F84+F103+F125</f>
        <v>32027191</v>
      </c>
      <c r="G126" s="107">
        <f t="shared" si="45"/>
        <v>519661098</v>
      </c>
      <c r="H126" s="108">
        <f t="shared" si="45"/>
        <v>551688289</v>
      </c>
      <c r="I126" s="107">
        <f t="shared" si="45"/>
        <v>19837590</v>
      </c>
      <c r="J126" s="107">
        <f t="shared" si="45"/>
        <v>335649102</v>
      </c>
      <c r="K126" s="108">
        <f t="shared" si="45"/>
        <v>355486692</v>
      </c>
      <c r="L126" s="107">
        <f t="shared" si="45"/>
        <v>12189601</v>
      </c>
      <c r="M126" s="107">
        <f t="shared" si="45"/>
        <v>184011996</v>
      </c>
      <c r="N126" s="107">
        <f t="shared" si="45"/>
        <v>196201597</v>
      </c>
      <c r="O126" s="109"/>
      <c r="P126" s="109"/>
      <c r="Q126" s="109"/>
      <c r="R126" s="77"/>
    </row>
    <row r="127" spans="1:18" ht="14.25" customHeight="1">
      <c r="A127" s="82"/>
      <c r="B127" s="106"/>
      <c r="C127" s="77"/>
      <c r="F127" s="77"/>
      <c r="G127" s="77"/>
      <c r="H127" s="78"/>
      <c r="I127" s="77"/>
      <c r="J127" s="77"/>
      <c r="K127" s="78"/>
      <c r="L127" s="77"/>
      <c r="M127" s="77"/>
      <c r="N127" s="77"/>
      <c r="O127" s="109"/>
      <c r="P127" s="109"/>
      <c r="Q127" s="109"/>
      <c r="R127" s="77"/>
    </row>
    <row r="128" spans="1:18" ht="14.25" customHeight="1">
      <c r="A128" s="82"/>
      <c r="B128" s="106"/>
      <c r="C128" s="77" t="s">
        <v>269</v>
      </c>
      <c r="F128" s="77"/>
      <c r="G128" s="77"/>
      <c r="H128" s="78"/>
      <c r="I128" s="77"/>
      <c r="J128" s="77"/>
      <c r="K128" s="78"/>
      <c r="L128" s="77"/>
      <c r="M128" s="77"/>
      <c r="N128" s="77"/>
      <c r="O128" s="109"/>
      <c r="P128" s="109"/>
      <c r="Q128" s="109"/>
      <c r="R128" s="77"/>
    </row>
    <row r="129" spans="2:18" ht="14.25" customHeight="1">
      <c r="B129" s="106"/>
      <c r="C129" s="84" t="s">
        <v>270</v>
      </c>
      <c r="F129" s="77"/>
      <c r="G129" s="77"/>
      <c r="H129" s="78"/>
      <c r="I129" s="77"/>
      <c r="J129" s="77"/>
      <c r="K129" s="78"/>
      <c r="L129" s="77"/>
      <c r="M129" s="77"/>
      <c r="N129" s="77"/>
      <c r="O129" s="109"/>
      <c r="P129" s="109"/>
      <c r="Q129" s="109"/>
      <c r="R129" s="77"/>
    </row>
    <row r="130" spans="1:18" ht="14.25" customHeight="1">
      <c r="A130" s="82">
        <v>3</v>
      </c>
      <c r="B130" s="105">
        <v>580000</v>
      </c>
      <c r="C130" s="77" t="s">
        <v>28</v>
      </c>
      <c r="E130" s="77"/>
      <c r="F130" s="77">
        <f aca="true" t="shared" si="46" ref="F130:F138">+I130+L130</f>
        <v>300126</v>
      </c>
      <c r="G130" s="77">
        <f>+Data!I288</f>
        <v>1049171</v>
      </c>
      <c r="H130" s="78">
        <f aca="true" t="shared" si="47" ref="H130:H138">+G130+F130</f>
        <v>1349297</v>
      </c>
      <c r="I130" s="77">
        <f>+Data!J288</f>
        <v>201587</v>
      </c>
      <c r="J130" s="77">
        <f aca="true" t="shared" si="48" ref="J130:J138">G130*VLOOKUP(A130,Allocators,7)</f>
        <v>701067</v>
      </c>
      <c r="K130" s="78">
        <f aca="true" t="shared" si="49" ref="K130:K138">+I130+J130</f>
        <v>902654</v>
      </c>
      <c r="L130" s="77">
        <f>+Data!K288</f>
        <v>98539</v>
      </c>
      <c r="M130" s="77">
        <f aca="true" t="shared" si="50" ref="M130:M138">G130*VLOOKUP(A130,Allocators,8)</f>
        <v>348104</v>
      </c>
      <c r="N130" s="77">
        <f aca="true" t="shared" si="51" ref="N130:N138">+L130+M130</f>
        <v>446643</v>
      </c>
      <c r="O130" s="109"/>
      <c r="P130" s="109"/>
      <c r="Q130" s="109"/>
      <c r="R130" s="77"/>
    </row>
    <row r="131" spans="1:18" ht="14.25" customHeight="1">
      <c r="A131" s="82">
        <v>3</v>
      </c>
      <c r="B131" s="105">
        <v>582000</v>
      </c>
      <c r="C131" s="84" t="s">
        <v>65</v>
      </c>
      <c r="E131" s="77"/>
      <c r="F131" s="77">
        <f t="shared" si="46"/>
        <v>611506</v>
      </c>
      <c r="G131" s="77">
        <f>+Data!I289</f>
        <v>3228</v>
      </c>
      <c r="H131" s="78">
        <f t="shared" si="47"/>
        <v>614734</v>
      </c>
      <c r="I131" s="77">
        <f>+Data!J289</f>
        <v>354155</v>
      </c>
      <c r="J131" s="77">
        <f t="shared" si="48"/>
        <v>2157</v>
      </c>
      <c r="K131" s="78">
        <f t="shared" si="49"/>
        <v>356312</v>
      </c>
      <c r="L131" s="77">
        <f>+Data!K289</f>
        <v>257351</v>
      </c>
      <c r="M131" s="77">
        <f t="shared" si="50"/>
        <v>1071</v>
      </c>
      <c r="N131" s="77">
        <f t="shared" si="51"/>
        <v>258422</v>
      </c>
      <c r="O131" s="109"/>
      <c r="P131" s="109"/>
      <c r="Q131" s="109"/>
      <c r="R131" s="77"/>
    </row>
    <row r="132" spans="1:18" ht="14.25" customHeight="1">
      <c r="A132" s="82">
        <v>3</v>
      </c>
      <c r="B132" s="105">
        <v>583000</v>
      </c>
      <c r="C132" s="77" t="s">
        <v>66</v>
      </c>
      <c r="E132" s="77"/>
      <c r="F132" s="77">
        <f t="shared" si="46"/>
        <v>741601</v>
      </c>
      <c r="G132" s="77">
        <f>+Data!I290</f>
        <v>1014229</v>
      </c>
      <c r="H132" s="78">
        <f t="shared" si="47"/>
        <v>1755830</v>
      </c>
      <c r="I132" s="77">
        <f>+Data!J290</f>
        <v>590246</v>
      </c>
      <c r="J132" s="77">
        <f t="shared" si="48"/>
        <v>677718</v>
      </c>
      <c r="K132" s="78">
        <f t="shared" si="49"/>
        <v>1267964</v>
      </c>
      <c r="L132" s="77">
        <f>+Data!K290</f>
        <v>151355</v>
      </c>
      <c r="M132" s="77">
        <f t="shared" si="50"/>
        <v>336511</v>
      </c>
      <c r="N132" s="77">
        <f t="shared" si="51"/>
        <v>487866</v>
      </c>
      <c r="O132" s="109"/>
      <c r="P132" s="109"/>
      <c r="Q132" s="109"/>
      <c r="R132" s="77"/>
    </row>
    <row r="133" spans="1:18" ht="14.25" customHeight="1">
      <c r="A133" s="82">
        <v>3</v>
      </c>
      <c r="B133" s="105">
        <v>584000</v>
      </c>
      <c r="C133" s="77" t="s">
        <v>69</v>
      </c>
      <c r="E133" s="77"/>
      <c r="F133" s="77">
        <f t="shared" si="46"/>
        <v>1114274</v>
      </c>
      <c r="G133" s="77">
        <f>+Data!I291</f>
        <v>0</v>
      </c>
      <c r="H133" s="78">
        <f t="shared" si="47"/>
        <v>1114274</v>
      </c>
      <c r="I133" s="77">
        <f>+Data!J291</f>
        <v>743851</v>
      </c>
      <c r="J133" s="77">
        <f t="shared" si="48"/>
        <v>0</v>
      </c>
      <c r="K133" s="78">
        <f t="shared" si="49"/>
        <v>743851</v>
      </c>
      <c r="L133" s="77">
        <f>+Data!K291</f>
        <v>370423</v>
      </c>
      <c r="M133" s="77">
        <f t="shared" si="50"/>
        <v>0</v>
      </c>
      <c r="N133" s="77">
        <f t="shared" si="51"/>
        <v>370423</v>
      </c>
      <c r="O133" s="109"/>
      <c r="P133" s="109"/>
      <c r="Q133" s="109"/>
      <c r="R133" s="77"/>
    </row>
    <row r="134" spans="1:18" ht="14.25" customHeight="1">
      <c r="A134" s="82">
        <v>3</v>
      </c>
      <c r="B134" s="105">
        <v>585000</v>
      </c>
      <c r="C134" s="77" t="s">
        <v>271</v>
      </c>
      <c r="E134" s="77"/>
      <c r="F134" s="77">
        <f t="shared" si="46"/>
        <v>211145</v>
      </c>
      <c r="G134" s="77">
        <f>+Data!I292</f>
        <v>0</v>
      </c>
      <c r="H134" s="78">
        <f t="shared" si="47"/>
        <v>211145</v>
      </c>
      <c r="I134" s="77">
        <f>+Data!J292</f>
        <v>46425</v>
      </c>
      <c r="J134" s="77">
        <f t="shared" si="48"/>
        <v>0</v>
      </c>
      <c r="K134" s="78">
        <f t="shared" si="49"/>
        <v>46425</v>
      </c>
      <c r="L134" s="77">
        <f>+Data!K292</f>
        <v>164720</v>
      </c>
      <c r="M134" s="77">
        <f t="shared" si="50"/>
        <v>0</v>
      </c>
      <c r="N134" s="77">
        <f t="shared" si="51"/>
        <v>164720</v>
      </c>
      <c r="O134" s="109"/>
      <c r="P134" s="109"/>
      <c r="Q134" s="109"/>
      <c r="R134" s="77"/>
    </row>
    <row r="135" spans="1:18" ht="14.25" customHeight="1">
      <c r="A135" s="82">
        <v>3</v>
      </c>
      <c r="B135" s="105">
        <v>586000</v>
      </c>
      <c r="C135" s="77" t="s">
        <v>272</v>
      </c>
      <c r="E135" s="77"/>
      <c r="F135" s="77">
        <f t="shared" si="46"/>
        <v>1247315</v>
      </c>
      <c r="G135" s="77">
        <f>+Data!I293</f>
        <v>7342</v>
      </c>
      <c r="H135" s="78">
        <f t="shared" si="47"/>
        <v>1254657</v>
      </c>
      <c r="I135" s="77">
        <f>+Data!J293</f>
        <v>1267734</v>
      </c>
      <c r="J135" s="77">
        <f t="shared" si="48"/>
        <v>4906</v>
      </c>
      <c r="K135" s="78">
        <f t="shared" si="49"/>
        <v>1272640</v>
      </c>
      <c r="L135" s="77">
        <f>+Data!K293</f>
        <v>-20419</v>
      </c>
      <c r="M135" s="77">
        <f t="shared" si="50"/>
        <v>2436</v>
      </c>
      <c r="N135" s="77">
        <f t="shared" si="51"/>
        <v>-17983</v>
      </c>
      <c r="O135" s="109"/>
      <c r="P135" s="109"/>
      <c r="Q135" s="109"/>
      <c r="R135" s="77"/>
    </row>
    <row r="136" spans="1:18" ht="14.25" customHeight="1">
      <c r="A136" s="82">
        <v>3</v>
      </c>
      <c r="B136" s="105">
        <v>587000</v>
      </c>
      <c r="C136" s="77" t="s">
        <v>273</v>
      </c>
      <c r="E136" s="77"/>
      <c r="F136" s="77">
        <f t="shared" si="46"/>
        <v>840530</v>
      </c>
      <c r="G136" s="77">
        <f>+Data!I294</f>
        <v>9862</v>
      </c>
      <c r="H136" s="78">
        <f t="shared" si="47"/>
        <v>850392</v>
      </c>
      <c r="I136" s="77">
        <f>+Data!J294</f>
        <v>387168</v>
      </c>
      <c r="J136" s="77">
        <f t="shared" si="48"/>
        <v>6590</v>
      </c>
      <c r="K136" s="78">
        <f t="shared" si="49"/>
        <v>393758</v>
      </c>
      <c r="L136" s="77">
        <f>+Data!K294</f>
        <v>453362</v>
      </c>
      <c r="M136" s="77">
        <f t="shared" si="50"/>
        <v>3272</v>
      </c>
      <c r="N136" s="77">
        <f t="shared" si="51"/>
        <v>456634</v>
      </c>
      <c r="O136" s="109"/>
      <c r="P136" s="109"/>
      <c r="Q136" s="109"/>
      <c r="R136" s="77"/>
    </row>
    <row r="137" spans="1:18" ht="14.25" customHeight="1">
      <c r="A137" s="82">
        <v>3</v>
      </c>
      <c r="B137" s="105">
        <v>588000</v>
      </c>
      <c r="C137" s="77" t="s">
        <v>278</v>
      </c>
      <c r="E137" s="77"/>
      <c r="F137" s="77">
        <f t="shared" si="46"/>
        <v>2768433</v>
      </c>
      <c r="G137" s="77">
        <f>+Data!I295</f>
        <v>2507648</v>
      </c>
      <c r="H137" s="78">
        <f t="shared" si="47"/>
        <v>5276081</v>
      </c>
      <c r="I137" s="77">
        <f>+Data!J295</f>
        <v>1852096</v>
      </c>
      <c r="J137" s="77">
        <f t="shared" si="48"/>
        <v>1675635</v>
      </c>
      <c r="K137" s="78">
        <f t="shared" si="49"/>
        <v>3527731</v>
      </c>
      <c r="L137" s="77">
        <f>+Data!K295</f>
        <v>916337</v>
      </c>
      <c r="M137" s="77">
        <f t="shared" si="50"/>
        <v>832013</v>
      </c>
      <c r="N137" s="77">
        <f t="shared" si="51"/>
        <v>1748350</v>
      </c>
      <c r="O137" s="109"/>
      <c r="P137" s="109"/>
      <c r="Q137" s="109"/>
      <c r="R137" s="77"/>
    </row>
    <row r="138" spans="1:18" ht="14.25" customHeight="1">
      <c r="A138" s="82">
        <v>3</v>
      </c>
      <c r="B138" s="105">
        <v>589000</v>
      </c>
      <c r="C138" s="77" t="s">
        <v>34</v>
      </c>
      <c r="E138" s="77"/>
      <c r="F138" s="77">
        <f t="shared" si="46"/>
        <v>2450</v>
      </c>
      <c r="G138" s="77">
        <f>+Data!I296</f>
        <v>146311</v>
      </c>
      <c r="H138" s="78">
        <f t="shared" si="47"/>
        <v>148761</v>
      </c>
      <c r="I138" s="77">
        <f>+Data!J296</f>
        <v>2187</v>
      </c>
      <c r="J138" s="77">
        <f t="shared" si="48"/>
        <v>97766</v>
      </c>
      <c r="K138" s="78">
        <f t="shared" si="49"/>
        <v>99953</v>
      </c>
      <c r="L138" s="77">
        <f>+Data!K296</f>
        <v>263</v>
      </c>
      <c r="M138" s="77">
        <f t="shared" si="50"/>
        <v>48545</v>
      </c>
      <c r="N138" s="77">
        <f t="shared" si="51"/>
        <v>48808</v>
      </c>
      <c r="O138" s="109"/>
      <c r="P138" s="109"/>
      <c r="Q138" s="109"/>
      <c r="R138" s="77"/>
    </row>
    <row r="139" spans="1:18" ht="14.25" customHeight="1">
      <c r="A139" s="82"/>
      <c r="B139" s="77"/>
      <c r="C139" s="77"/>
      <c r="F139" s="77"/>
      <c r="G139" s="77"/>
      <c r="H139" s="78"/>
      <c r="I139" s="77"/>
      <c r="J139" s="77"/>
      <c r="K139" s="78"/>
      <c r="L139" s="77"/>
      <c r="M139" s="77"/>
      <c r="N139" s="77"/>
      <c r="O139" s="109"/>
      <c r="P139" s="109"/>
      <c r="Q139" s="109"/>
      <c r="R139" s="77"/>
    </row>
    <row r="140" spans="2:18" ht="14.25" customHeight="1">
      <c r="B140" s="106"/>
      <c r="C140" s="84" t="s">
        <v>279</v>
      </c>
      <c r="F140" s="77"/>
      <c r="G140" s="77"/>
      <c r="H140" s="78"/>
      <c r="I140" s="77"/>
      <c r="J140" s="77"/>
      <c r="K140" s="78"/>
      <c r="L140" s="77"/>
      <c r="M140" s="77"/>
      <c r="N140" s="77"/>
      <c r="O140" s="109"/>
      <c r="P140" s="109"/>
      <c r="Q140" s="109"/>
      <c r="R140" s="77"/>
    </row>
    <row r="141" spans="1:18" ht="14.25" customHeight="1">
      <c r="A141" s="82">
        <v>3</v>
      </c>
      <c r="B141" s="105">
        <v>590000</v>
      </c>
      <c r="C141" s="77" t="s">
        <v>28</v>
      </c>
      <c r="E141" s="77"/>
      <c r="F141" s="77">
        <f aca="true" t="shared" si="52" ref="F141:F149">+I141+L141</f>
        <v>523952</v>
      </c>
      <c r="G141" s="77">
        <f>+Data!I297</f>
        <v>825051</v>
      </c>
      <c r="H141" s="78">
        <f aca="true" t="shared" si="53" ref="H141:H149">+G141+F141</f>
        <v>1349003</v>
      </c>
      <c r="I141" s="77">
        <f>+Data!J297</f>
        <v>352040</v>
      </c>
      <c r="J141" s="77">
        <f aca="true" t="shared" si="54" ref="J141:J149">G141*VLOOKUP(A141,Allocators,7)</f>
        <v>551307</v>
      </c>
      <c r="K141" s="78">
        <f aca="true" t="shared" si="55" ref="K141:K149">+I141+J141</f>
        <v>903347</v>
      </c>
      <c r="L141" s="77">
        <f>+Data!K297</f>
        <v>171912</v>
      </c>
      <c r="M141" s="77">
        <f aca="true" t="shared" si="56" ref="M141:M149">G141*VLOOKUP(A141,Allocators,8)</f>
        <v>273744</v>
      </c>
      <c r="N141" s="77">
        <f aca="true" t="shared" si="57" ref="N141:N149">+L141+M141</f>
        <v>445656</v>
      </c>
      <c r="O141" s="109"/>
      <c r="P141" s="109"/>
      <c r="Q141" s="109"/>
      <c r="R141" s="77"/>
    </row>
    <row r="142" spans="1:18" ht="14.25" customHeight="1">
      <c r="A142" s="82">
        <v>3</v>
      </c>
      <c r="B142" s="105">
        <v>591000</v>
      </c>
      <c r="C142" s="77" t="s">
        <v>36</v>
      </c>
      <c r="E142" s="77"/>
      <c r="F142" s="77">
        <f t="shared" si="52"/>
        <v>241858</v>
      </c>
      <c r="G142" s="77">
        <f>+Data!I298</f>
        <v>605</v>
      </c>
      <c r="H142" s="78">
        <f t="shared" si="53"/>
        <v>242463</v>
      </c>
      <c r="I142" s="77">
        <f>+Data!J298</f>
        <v>192997</v>
      </c>
      <c r="J142" s="77">
        <f t="shared" si="54"/>
        <v>404</v>
      </c>
      <c r="K142" s="78">
        <f t="shared" si="55"/>
        <v>193401</v>
      </c>
      <c r="L142" s="77">
        <f>+Data!K298</f>
        <v>48861</v>
      </c>
      <c r="M142" s="77">
        <f t="shared" si="56"/>
        <v>201</v>
      </c>
      <c r="N142" s="77">
        <f t="shared" si="57"/>
        <v>49062</v>
      </c>
      <c r="O142" s="109"/>
      <c r="P142" s="109"/>
      <c r="Q142" s="109"/>
      <c r="R142" s="77"/>
    </row>
    <row r="143" spans="1:18" ht="14.25" customHeight="1">
      <c r="A143" s="82">
        <v>3</v>
      </c>
      <c r="B143" s="105">
        <v>592000</v>
      </c>
      <c r="C143" s="84" t="s">
        <v>72</v>
      </c>
      <c r="E143" s="77"/>
      <c r="F143" s="77">
        <f t="shared" si="52"/>
        <v>717105</v>
      </c>
      <c r="G143" s="77">
        <f>+Data!I299</f>
        <v>4241</v>
      </c>
      <c r="H143" s="78">
        <f t="shared" si="53"/>
        <v>721346</v>
      </c>
      <c r="I143" s="77">
        <f>+Data!J299</f>
        <v>577835</v>
      </c>
      <c r="J143" s="77">
        <f t="shared" si="54"/>
        <v>2834</v>
      </c>
      <c r="K143" s="78">
        <f t="shared" si="55"/>
        <v>580669</v>
      </c>
      <c r="L143" s="77">
        <f>+Data!K299</f>
        <v>139270</v>
      </c>
      <c r="M143" s="77">
        <f t="shared" si="56"/>
        <v>1407</v>
      </c>
      <c r="N143" s="77">
        <f t="shared" si="57"/>
        <v>140677</v>
      </c>
      <c r="O143" s="109"/>
      <c r="P143" s="109"/>
      <c r="Q143" s="109"/>
      <c r="R143" s="77"/>
    </row>
    <row r="144" spans="1:18" ht="14.25" customHeight="1">
      <c r="A144" s="82">
        <v>3</v>
      </c>
      <c r="B144" s="105">
        <v>593000</v>
      </c>
      <c r="C144" s="77" t="s">
        <v>73</v>
      </c>
      <c r="E144" s="77"/>
      <c r="F144" s="77">
        <f t="shared" si="52"/>
        <v>8027265</v>
      </c>
      <c r="G144" s="77">
        <f>+Data!I300</f>
        <v>4820</v>
      </c>
      <c r="H144" s="78">
        <f t="shared" si="53"/>
        <v>8032085</v>
      </c>
      <c r="I144" s="77">
        <f>+Data!J300</f>
        <v>4843880</v>
      </c>
      <c r="J144" s="77">
        <f t="shared" si="54"/>
        <v>3221</v>
      </c>
      <c r="K144" s="78">
        <f t="shared" si="55"/>
        <v>4847101</v>
      </c>
      <c r="L144" s="77">
        <f>+Data!K300</f>
        <v>3183385</v>
      </c>
      <c r="M144" s="77">
        <f t="shared" si="56"/>
        <v>1599</v>
      </c>
      <c r="N144" s="77">
        <f t="shared" si="57"/>
        <v>3184984</v>
      </c>
      <c r="O144" s="109"/>
      <c r="P144" s="109"/>
      <c r="Q144" s="109"/>
      <c r="R144" s="77"/>
    </row>
    <row r="145" spans="1:18" ht="14.25" customHeight="1">
      <c r="A145" s="82">
        <v>3</v>
      </c>
      <c r="B145" s="105">
        <v>594000</v>
      </c>
      <c r="C145" s="77" t="s">
        <v>74</v>
      </c>
      <c r="E145" s="77"/>
      <c r="F145" s="77">
        <f t="shared" si="52"/>
        <v>1062818</v>
      </c>
      <c r="G145" s="77">
        <f>+Data!I301</f>
        <v>0</v>
      </c>
      <c r="H145" s="78">
        <f t="shared" si="53"/>
        <v>1062818</v>
      </c>
      <c r="I145" s="77">
        <f>+Data!J301</f>
        <v>777402</v>
      </c>
      <c r="J145" s="77">
        <f t="shared" si="54"/>
        <v>0</v>
      </c>
      <c r="K145" s="78">
        <f t="shared" si="55"/>
        <v>777402</v>
      </c>
      <c r="L145" s="77">
        <f>+Data!K301</f>
        <v>285416</v>
      </c>
      <c r="M145" s="77">
        <f t="shared" si="56"/>
        <v>0</v>
      </c>
      <c r="N145" s="77">
        <f t="shared" si="57"/>
        <v>285416</v>
      </c>
      <c r="O145" s="109"/>
      <c r="P145" s="109"/>
      <c r="Q145" s="109"/>
      <c r="R145" s="77"/>
    </row>
    <row r="146" spans="1:18" ht="14.25" customHeight="1">
      <c r="A146" s="82">
        <v>3</v>
      </c>
      <c r="B146" s="105">
        <v>595000</v>
      </c>
      <c r="C146" s="77" t="s">
        <v>280</v>
      </c>
      <c r="E146" s="77"/>
      <c r="F146" s="77">
        <f t="shared" si="52"/>
        <v>498594</v>
      </c>
      <c r="G146" s="77">
        <f>+Data!I302</f>
        <v>148815</v>
      </c>
      <c r="H146" s="78">
        <f t="shared" si="53"/>
        <v>647409</v>
      </c>
      <c r="I146" s="77">
        <f>+Data!J302</f>
        <v>449078</v>
      </c>
      <c r="J146" s="77">
        <f t="shared" si="54"/>
        <v>99440</v>
      </c>
      <c r="K146" s="78">
        <f t="shared" si="55"/>
        <v>548518</v>
      </c>
      <c r="L146" s="77">
        <f>+Data!K302</f>
        <v>49516</v>
      </c>
      <c r="M146" s="77">
        <f t="shared" si="56"/>
        <v>49375</v>
      </c>
      <c r="N146" s="77">
        <f t="shared" si="57"/>
        <v>98891</v>
      </c>
      <c r="O146" s="109"/>
      <c r="P146" s="109"/>
      <c r="Q146" s="109"/>
      <c r="R146" s="77"/>
    </row>
    <row r="147" spans="1:18" ht="14.25" customHeight="1">
      <c r="A147" s="82">
        <v>3</v>
      </c>
      <c r="B147" s="105">
        <v>596000</v>
      </c>
      <c r="C147" s="77" t="s">
        <v>281</v>
      </c>
      <c r="E147" s="77"/>
      <c r="F147" s="77">
        <f t="shared" si="52"/>
        <v>597273</v>
      </c>
      <c r="G147" s="77">
        <f>+Data!I303</f>
        <v>0</v>
      </c>
      <c r="H147" s="78">
        <f t="shared" si="53"/>
        <v>597273</v>
      </c>
      <c r="I147" s="77">
        <f>+Data!J303</f>
        <v>446086</v>
      </c>
      <c r="J147" s="77">
        <f t="shared" si="54"/>
        <v>0</v>
      </c>
      <c r="K147" s="78">
        <f t="shared" si="55"/>
        <v>446086</v>
      </c>
      <c r="L147" s="77">
        <f>+Data!K303</f>
        <v>151187</v>
      </c>
      <c r="M147" s="77">
        <f t="shared" si="56"/>
        <v>0</v>
      </c>
      <c r="N147" s="77">
        <f t="shared" si="57"/>
        <v>151187</v>
      </c>
      <c r="O147" s="109"/>
      <c r="P147" s="109"/>
      <c r="Q147" s="109"/>
      <c r="R147" s="77"/>
    </row>
    <row r="148" spans="1:18" ht="14.25" customHeight="1">
      <c r="A148" s="82">
        <v>3</v>
      </c>
      <c r="B148" s="105">
        <v>597000</v>
      </c>
      <c r="C148" s="77" t="s">
        <v>282</v>
      </c>
      <c r="E148" s="77"/>
      <c r="F148" s="77">
        <f t="shared" si="52"/>
        <v>154331</v>
      </c>
      <c r="G148" s="77">
        <f>+Data!I304</f>
        <v>0</v>
      </c>
      <c r="H148" s="78">
        <f t="shared" si="53"/>
        <v>154331</v>
      </c>
      <c r="I148" s="77">
        <f>+Data!J304</f>
        <v>100526</v>
      </c>
      <c r="J148" s="77">
        <f t="shared" si="54"/>
        <v>0</v>
      </c>
      <c r="K148" s="78">
        <f t="shared" si="55"/>
        <v>100526</v>
      </c>
      <c r="L148" s="77">
        <f>+Data!K304</f>
        <v>53805</v>
      </c>
      <c r="M148" s="77">
        <f t="shared" si="56"/>
        <v>0</v>
      </c>
      <c r="N148" s="77">
        <f t="shared" si="57"/>
        <v>53805</v>
      </c>
      <c r="O148" s="109"/>
      <c r="P148" s="109"/>
      <c r="Q148" s="109"/>
      <c r="R148" s="77"/>
    </row>
    <row r="149" spans="1:18" ht="14.25" customHeight="1">
      <c r="A149" s="82">
        <v>3</v>
      </c>
      <c r="B149" s="105">
        <v>598000</v>
      </c>
      <c r="C149" s="77" t="s">
        <v>278</v>
      </c>
      <c r="E149" s="77"/>
      <c r="F149" s="77">
        <f t="shared" si="52"/>
        <v>485679</v>
      </c>
      <c r="G149" s="77">
        <f>+Data!I305</f>
        <v>-8199</v>
      </c>
      <c r="H149" s="78">
        <f t="shared" si="53"/>
        <v>477480</v>
      </c>
      <c r="I149" s="77">
        <f>+Data!J305</f>
        <v>276593</v>
      </c>
      <c r="J149" s="77">
        <f t="shared" si="54"/>
        <v>-5479</v>
      </c>
      <c r="K149" s="78">
        <f t="shared" si="55"/>
        <v>271114</v>
      </c>
      <c r="L149" s="77">
        <f>+Data!K305</f>
        <v>209086</v>
      </c>
      <c r="M149" s="77">
        <f t="shared" si="56"/>
        <v>-2720</v>
      </c>
      <c r="N149" s="77">
        <f t="shared" si="57"/>
        <v>206366</v>
      </c>
      <c r="O149" s="109"/>
      <c r="P149" s="109"/>
      <c r="Q149" s="109"/>
      <c r="R149" s="77"/>
    </row>
    <row r="150" spans="2:18" ht="14.25" customHeight="1">
      <c r="B150" s="77"/>
      <c r="C150" s="77" t="s">
        <v>283</v>
      </c>
      <c r="F150" s="113">
        <f aca="true" t="shared" si="58" ref="F150:N150">SUM(F130:F149)</f>
        <v>20146255</v>
      </c>
      <c r="G150" s="113">
        <f t="shared" si="58"/>
        <v>5713124</v>
      </c>
      <c r="H150" s="114">
        <f t="shared" si="58"/>
        <v>25859379</v>
      </c>
      <c r="I150" s="113">
        <f t="shared" si="58"/>
        <v>13461886</v>
      </c>
      <c r="J150" s="113">
        <f t="shared" si="58"/>
        <v>3817566</v>
      </c>
      <c r="K150" s="114">
        <f t="shared" si="58"/>
        <v>17279452</v>
      </c>
      <c r="L150" s="113">
        <f t="shared" si="58"/>
        <v>6684369</v>
      </c>
      <c r="M150" s="113">
        <f t="shared" si="58"/>
        <v>1895558</v>
      </c>
      <c r="N150" s="113">
        <f t="shared" si="58"/>
        <v>8579927</v>
      </c>
      <c r="O150" s="109"/>
      <c r="P150" s="109"/>
      <c r="Q150" s="109"/>
      <c r="R150" s="77"/>
    </row>
    <row r="151" spans="1:18" ht="14.25" customHeight="1">
      <c r="A151" s="82">
        <v>99</v>
      </c>
      <c r="B151" s="106" t="s">
        <v>160</v>
      </c>
      <c r="C151" s="77" t="s">
        <v>284</v>
      </c>
      <c r="F151" s="77">
        <f>+I151+L151</f>
        <v>22949716</v>
      </c>
      <c r="G151" s="77">
        <f>+Data!I50</f>
        <v>0</v>
      </c>
      <c r="H151" s="78">
        <f>+G151+F151</f>
        <v>22949716</v>
      </c>
      <c r="I151" s="77">
        <f>+Data!J50</f>
        <v>14598826</v>
      </c>
      <c r="J151" s="77">
        <v>0</v>
      </c>
      <c r="K151" s="78">
        <f>+I151+J151</f>
        <v>14598826</v>
      </c>
      <c r="L151" s="77">
        <f>+Data!K50</f>
        <v>8350890</v>
      </c>
      <c r="M151" s="77">
        <v>0</v>
      </c>
      <c r="N151" s="77">
        <f>+L151+M151</f>
        <v>8350890</v>
      </c>
      <c r="O151" s="109"/>
      <c r="P151" s="109"/>
      <c r="Q151" s="109"/>
      <c r="R151" s="77"/>
    </row>
    <row r="152" spans="1:18" ht="14.25" customHeight="1">
      <c r="A152" s="82" t="s">
        <v>749</v>
      </c>
      <c r="B152" s="106"/>
      <c r="C152" s="77" t="s">
        <v>285</v>
      </c>
      <c r="F152" s="77">
        <f>'E-OTX'!F22</f>
        <v>37353567</v>
      </c>
      <c r="G152" s="77">
        <f>'E-OTX'!G22</f>
        <v>0</v>
      </c>
      <c r="H152" s="78">
        <f>'E-OTX'!H22</f>
        <v>37353567</v>
      </c>
      <c r="I152" s="77">
        <f>'E-OTX'!I22</f>
        <v>33186064</v>
      </c>
      <c r="J152" s="77">
        <f>'E-OTX'!J22</f>
        <v>0</v>
      </c>
      <c r="K152" s="78">
        <f>'E-OTX'!K22</f>
        <v>33186064</v>
      </c>
      <c r="L152" s="77">
        <f>'E-OTX'!L22</f>
        <v>4167503</v>
      </c>
      <c r="M152" s="77">
        <f>'E-OTX'!M22</f>
        <v>0</v>
      </c>
      <c r="N152" s="77">
        <f>'E-OTX'!N22</f>
        <v>4167503</v>
      </c>
      <c r="O152" s="109"/>
      <c r="P152" s="109"/>
      <c r="Q152" s="109"/>
      <c r="R152" s="77"/>
    </row>
    <row r="153" spans="1:18" ht="14.25" customHeight="1">
      <c r="A153" s="82"/>
      <c r="B153" s="106"/>
      <c r="C153" s="77" t="s">
        <v>286</v>
      </c>
      <c r="F153" s="107">
        <f aca="true" t="shared" si="59" ref="F153:N153">SUM(F150:F152)</f>
        <v>80449538</v>
      </c>
      <c r="G153" s="107">
        <f t="shared" si="59"/>
        <v>5713124</v>
      </c>
      <c r="H153" s="108">
        <f t="shared" si="59"/>
        <v>86162662</v>
      </c>
      <c r="I153" s="107">
        <f t="shared" si="59"/>
        <v>61246776</v>
      </c>
      <c r="J153" s="107">
        <f t="shared" si="59"/>
        <v>3817566</v>
      </c>
      <c r="K153" s="108">
        <f t="shared" si="59"/>
        <v>65064342</v>
      </c>
      <c r="L153" s="107">
        <f t="shared" si="59"/>
        <v>19202762</v>
      </c>
      <c r="M153" s="107">
        <f t="shared" si="59"/>
        <v>1895558</v>
      </c>
      <c r="N153" s="107">
        <f t="shared" si="59"/>
        <v>21098320</v>
      </c>
      <c r="O153" s="109"/>
      <c r="P153" s="109"/>
      <c r="Q153" s="109"/>
      <c r="R153" s="77"/>
    </row>
    <row r="154" spans="1:18" ht="14.25" customHeight="1">
      <c r="A154" s="82"/>
      <c r="B154" s="106"/>
      <c r="C154" s="77"/>
      <c r="F154" s="77"/>
      <c r="G154" s="77"/>
      <c r="H154" s="78"/>
      <c r="I154" s="77"/>
      <c r="J154" s="77"/>
      <c r="K154" s="78"/>
      <c r="L154" s="77"/>
      <c r="M154" s="77"/>
      <c r="N154" s="77"/>
      <c r="O154" s="109"/>
      <c r="P154" s="109"/>
      <c r="Q154" s="109"/>
      <c r="R154" s="77"/>
    </row>
    <row r="155" spans="1:18" ht="14.25" customHeight="1">
      <c r="A155" s="82"/>
      <c r="B155" s="106"/>
      <c r="C155" s="77" t="s">
        <v>287</v>
      </c>
      <c r="F155" s="77"/>
      <c r="G155" s="77"/>
      <c r="H155" s="78"/>
      <c r="I155" s="77"/>
      <c r="J155" s="77"/>
      <c r="K155" s="78"/>
      <c r="L155" s="77"/>
      <c r="M155" s="77"/>
      <c r="N155" s="77"/>
      <c r="O155" s="109"/>
      <c r="P155" s="109"/>
      <c r="Q155" s="109"/>
      <c r="R155" s="77"/>
    </row>
    <row r="156" spans="1:18" ht="14.25" customHeight="1">
      <c r="A156" s="82">
        <v>2</v>
      </c>
      <c r="B156" s="105">
        <v>901000</v>
      </c>
      <c r="C156" s="77" t="s">
        <v>288</v>
      </c>
      <c r="F156" s="77">
        <f>I156+L156</f>
        <v>0</v>
      </c>
      <c r="G156" s="77">
        <f>Data!I306</f>
        <v>502956</v>
      </c>
      <c r="H156" s="78">
        <f>F156+G156</f>
        <v>502956</v>
      </c>
      <c r="I156" s="77">
        <f>Data!J306</f>
        <v>0</v>
      </c>
      <c r="J156" s="77">
        <f>G156*VLOOKUP(A156,Allocators,7)</f>
        <v>330734</v>
      </c>
      <c r="K156" s="78">
        <f>I156+J156</f>
        <v>330734</v>
      </c>
      <c r="L156" s="77">
        <f>Data!K306</f>
        <v>0</v>
      </c>
      <c r="M156" s="77">
        <f>G156*VLOOKUP(A156,Allocators,8)</f>
        <v>172222</v>
      </c>
      <c r="N156" s="77">
        <f>L156+M156</f>
        <v>172222</v>
      </c>
      <c r="O156" s="109"/>
      <c r="P156" s="109"/>
      <c r="Q156" s="109"/>
      <c r="R156" s="77"/>
    </row>
    <row r="157" spans="1:18" ht="14.25" customHeight="1">
      <c r="A157" s="82">
        <v>2</v>
      </c>
      <c r="B157" s="105">
        <v>902000</v>
      </c>
      <c r="C157" s="77" t="s">
        <v>289</v>
      </c>
      <c r="F157" s="77">
        <f>+I157+L157</f>
        <v>2297250</v>
      </c>
      <c r="G157" s="77">
        <f>Data!I307</f>
        <v>0</v>
      </c>
      <c r="H157" s="78">
        <f>F157+G157</f>
        <v>2297250</v>
      </c>
      <c r="I157" s="77">
        <f>Data!J307</f>
        <v>2003832</v>
      </c>
      <c r="J157" s="77">
        <f>G157*VLOOKUP(A157,Allocators,7)</f>
        <v>0</v>
      </c>
      <c r="K157" s="78">
        <f>I157+J157</f>
        <v>2003832</v>
      </c>
      <c r="L157" s="77">
        <f>Data!K307</f>
        <v>293418</v>
      </c>
      <c r="M157" s="77">
        <f>G157*VLOOKUP(A157,Allocators,8)</f>
        <v>0</v>
      </c>
      <c r="N157" s="77">
        <f>L157+M157</f>
        <v>293418</v>
      </c>
      <c r="O157" s="109"/>
      <c r="P157" s="109"/>
      <c r="Q157" s="109"/>
      <c r="R157" s="77"/>
    </row>
    <row r="158" spans="1:18" ht="14.25" customHeight="1">
      <c r="A158" s="82" t="s">
        <v>353</v>
      </c>
      <c r="B158" s="105" t="s">
        <v>354</v>
      </c>
      <c r="C158" s="77" t="s">
        <v>290</v>
      </c>
      <c r="F158" s="77">
        <f>+I158+L158</f>
        <v>1543386</v>
      </c>
      <c r="G158" s="77">
        <f>+'E-903'!G14</f>
        <v>5969910</v>
      </c>
      <c r="H158" s="78">
        <f>F158+G158</f>
        <v>7513296</v>
      </c>
      <c r="I158" s="77">
        <f>+'E-903'!I14</f>
        <v>1074987</v>
      </c>
      <c r="J158" s="77">
        <f>+'E-903'!J14</f>
        <v>3907544</v>
      </c>
      <c r="K158" s="78">
        <f>I158+J158</f>
        <v>4982531</v>
      </c>
      <c r="L158" s="77">
        <f>+'E-903'!L14</f>
        <v>468399</v>
      </c>
      <c r="M158" s="77">
        <f>+'E-903'!M14</f>
        <v>2062366</v>
      </c>
      <c r="N158" s="77">
        <f>L158+M158</f>
        <v>2530765</v>
      </c>
      <c r="O158" s="109"/>
      <c r="P158" s="109"/>
      <c r="Q158" s="109"/>
      <c r="R158" s="77"/>
    </row>
    <row r="159" spans="1:18" ht="14.25" customHeight="1">
      <c r="A159" s="82">
        <v>2</v>
      </c>
      <c r="B159" s="105">
        <v>904000</v>
      </c>
      <c r="C159" s="77" t="s">
        <v>291</v>
      </c>
      <c r="F159" s="77">
        <f>I159+L159</f>
        <v>0</v>
      </c>
      <c r="G159" s="77">
        <f>Data!I311</f>
        <v>1729177</v>
      </c>
      <c r="H159" s="78">
        <f>F159+G159</f>
        <v>1729177</v>
      </c>
      <c r="I159" s="77">
        <f>Data!J311</f>
        <v>0</v>
      </c>
      <c r="J159" s="77">
        <f>G159*VLOOKUP(A159,Allocators,7)</f>
        <v>1137072</v>
      </c>
      <c r="K159" s="78">
        <f>I159+J159</f>
        <v>1137072</v>
      </c>
      <c r="L159" s="77">
        <f>Data!K311</f>
        <v>0</v>
      </c>
      <c r="M159" s="77">
        <f>G159*VLOOKUP(A159,Allocators,8)</f>
        <v>592105</v>
      </c>
      <c r="N159" s="77">
        <f>L159+M159</f>
        <v>592105</v>
      </c>
      <c r="O159" s="109"/>
      <c r="P159" s="109"/>
      <c r="Q159" s="109"/>
      <c r="R159" s="77"/>
    </row>
    <row r="160" spans="1:18" ht="14.25" customHeight="1">
      <c r="A160" s="82">
        <v>2</v>
      </c>
      <c r="B160" s="105">
        <v>905000</v>
      </c>
      <c r="C160" s="77" t="s">
        <v>292</v>
      </c>
      <c r="F160" s="77">
        <f>I160+L160</f>
        <v>0</v>
      </c>
      <c r="G160" s="77">
        <f>Data!I312</f>
        <v>159270</v>
      </c>
      <c r="H160" s="78">
        <f>F160+G160</f>
        <v>159270</v>
      </c>
      <c r="I160" s="77">
        <f>Data!J312</f>
        <v>0</v>
      </c>
      <c r="J160" s="77">
        <f>G160*VLOOKUP(A160,Allocators,7)</f>
        <v>104733</v>
      </c>
      <c r="K160" s="78">
        <f>I160+J160</f>
        <v>104733</v>
      </c>
      <c r="L160" s="77">
        <f>Data!K312</f>
        <v>0</v>
      </c>
      <c r="M160" s="77">
        <f>G160*VLOOKUP(A160,Allocators,8)</f>
        <v>54537</v>
      </c>
      <c r="N160" s="77">
        <f>L160+M160</f>
        <v>54537</v>
      </c>
      <c r="O160" s="109"/>
      <c r="P160" s="109"/>
      <c r="Q160" s="109"/>
      <c r="R160" s="77"/>
    </row>
    <row r="161" spans="1:18" ht="14.25" customHeight="1">
      <c r="A161" s="82"/>
      <c r="B161" s="106"/>
      <c r="C161" s="77" t="s">
        <v>293</v>
      </c>
      <c r="F161" s="107">
        <f aca="true" t="shared" si="60" ref="F161:N161">SUM(F156:F160)</f>
        <v>3840636</v>
      </c>
      <c r="G161" s="107">
        <f t="shared" si="60"/>
        <v>8361313</v>
      </c>
      <c r="H161" s="108">
        <f t="shared" si="60"/>
        <v>12201949</v>
      </c>
      <c r="I161" s="107">
        <f t="shared" si="60"/>
        <v>3078819</v>
      </c>
      <c r="J161" s="107">
        <f t="shared" si="60"/>
        <v>5480083</v>
      </c>
      <c r="K161" s="108">
        <f t="shared" si="60"/>
        <v>8558902</v>
      </c>
      <c r="L161" s="107">
        <f t="shared" si="60"/>
        <v>761817</v>
      </c>
      <c r="M161" s="107">
        <f t="shared" si="60"/>
        <v>2881230</v>
      </c>
      <c r="N161" s="107">
        <f t="shared" si="60"/>
        <v>3643047</v>
      </c>
      <c r="O161" s="109"/>
      <c r="P161" s="109"/>
      <c r="Q161" s="109"/>
      <c r="R161" s="77"/>
    </row>
    <row r="162" spans="1:18" ht="14.25" customHeight="1">
      <c r="A162" s="82"/>
      <c r="B162" s="106"/>
      <c r="C162" s="77"/>
      <c r="F162" s="77"/>
      <c r="G162" s="77"/>
      <c r="H162" s="78"/>
      <c r="I162" s="77"/>
      <c r="J162" s="77"/>
      <c r="K162" s="78"/>
      <c r="L162" s="77"/>
      <c r="M162" s="77"/>
      <c r="N162" s="77"/>
      <c r="O162" s="109"/>
      <c r="P162" s="109"/>
      <c r="Q162" s="109"/>
      <c r="R162" s="77"/>
    </row>
    <row r="163" spans="1:18" ht="14.25" customHeight="1">
      <c r="A163" s="82"/>
      <c r="B163" s="106"/>
      <c r="C163" s="77" t="s">
        <v>295</v>
      </c>
      <c r="F163" s="77"/>
      <c r="G163" s="77"/>
      <c r="H163" s="78"/>
      <c r="I163" s="77"/>
      <c r="J163" s="77"/>
      <c r="K163" s="78"/>
      <c r="L163" s="77"/>
      <c r="M163" s="77"/>
      <c r="N163" s="77"/>
      <c r="O163" s="109"/>
      <c r="P163" s="109"/>
      <c r="Q163" s="109"/>
      <c r="R163" s="77"/>
    </row>
    <row r="164" spans="1:18" ht="14.25" customHeight="1">
      <c r="A164" s="82" t="s">
        <v>739</v>
      </c>
      <c r="B164" s="106" t="s">
        <v>577</v>
      </c>
      <c r="C164" s="77" t="s">
        <v>296</v>
      </c>
      <c r="F164" s="77">
        <f>'E-908'!F18</f>
        <v>14566192</v>
      </c>
      <c r="G164" s="77">
        <f>'E-908'!G18</f>
        <v>499480</v>
      </c>
      <c r="H164" s="78">
        <f>'E-908'!H18</f>
        <v>15065672</v>
      </c>
      <c r="I164" s="77">
        <f>'E-908'!I18</f>
        <v>10858502</v>
      </c>
      <c r="J164" s="77">
        <f>'E-908'!J18</f>
        <v>328448</v>
      </c>
      <c r="K164" s="78">
        <f>'E-908'!K18</f>
        <v>11186950</v>
      </c>
      <c r="L164" s="77">
        <f>'E-908'!L18</f>
        <v>3707690</v>
      </c>
      <c r="M164" s="77">
        <f>'E-908'!M18</f>
        <v>171032</v>
      </c>
      <c r="N164" s="77">
        <f>'E-908'!N18</f>
        <v>3878722</v>
      </c>
      <c r="O164" s="109"/>
      <c r="P164" s="109"/>
      <c r="Q164" s="109"/>
      <c r="R164" s="77"/>
    </row>
    <row r="165" spans="1:18" ht="14.25" customHeight="1">
      <c r="A165" s="82">
        <v>2</v>
      </c>
      <c r="B165" s="105">
        <v>909000</v>
      </c>
      <c r="C165" s="77" t="s">
        <v>297</v>
      </c>
      <c r="F165" s="77">
        <f>I165+L165</f>
        <v>63201</v>
      </c>
      <c r="G165" s="77">
        <f>Data!I318</f>
        <v>46185</v>
      </c>
      <c r="H165" s="78">
        <f>F165+G165</f>
        <v>109386</v>
      </c>
      <c r="I165" s="77">
        <f>Data!J318</f>
        <v>47095</v>
      </c>
      <c r="J165" s="77">
        <f>G165*VLOOKUP(A165,Allocators,7)</f>
        <v>30370</v>
      </c>
      <c r="K165" s="78">
        <f>I165+J165</f>
        <v>77465</v>
      </c>
      <c r="L165" s="77">
        <f>Data!K318</f>
        <v>16106</v>
      </c>
      <c r="M165" s="77">
        <f>G165*VLOOKUP(A165,Allocators,8)</f>
        <v>15815</v>
      </c>
      <c r="N165" s="77">
        <f>L165+M165</f>
        <v>31921</v>
      </c>
      <c r="O165" s="109"/>
      <c r="P165" s="109"/>
      <c r="Q165" s="109"/>
      <c r="R165" s="77"/>
    </row>
    <row r="166" spans="1:18" ht="14.25" customHeight="1">
      <c r="A166" s="82">
        <v>2</v>
      </c>
      <c r="B166" s="105">
        <v>910000</v>
      </c>
      <c r="C166" s="77" t="s">
        <v>298</v>
      </c>
      <c r="F166" s="77">
        <f>I166+L166</f>
        <v>0</v>
      </c>
      <c r="G166" s="77">
        <f>Data!I319</f>
        <v>144735</v>
      </c>
      <c r="H166" s="78">
        <f>F166+G166</f>
        <v>144735</v>
      </c>
      <c r="I166" s="77">
        <f>Data!J319</f>
        <v>0</v>
      </c>
      <c r="J166" s="77">
        <f>G166*VLOOKUP(A166,Allocators,7)</f>
        <v>95175</v>
      </c>
      <c r="K166" s="78">
        <f>I166+J166</f>
        <v>95175</v>
      </c>
      <c r="L166" s="77">
        <f>Data!K319</f>
        <v>0</v>
      </c>
      <c r="M166" s="77">
        <f>G166*VLOOKUP(A166,Allocators,8)</f>
        <v>49560</v>
      </c>
      <c r="N166" s="77">
        <f>L166+M166</f>
        <v>49560</v>
      </c>
      <c r="O166" s="109"/>
      <c r="P166" s="109"/>
      <c r="Q166" s="109"/>
      <c r="R166" s="77"/>
    </row>
    <row r="167" spans="1:18" ht="14.25" customHeight="1">
      <c r="A167" s="82"/>
      <c r="B167" s="105"/>
      <c r="C167" s="77" t="s">
        <v>299</v>
      </c>
      <c r="F167" s="107">
        <f aca="true" t="shared" si="61" ref="F167:N167">SUM(F164:F166)</f>
        <v>14629393</v>
      </c>
      <c r="G167" s="107">
        <f t="shared" si="61"/>
        <v>690400</v>
      </c>
      <c r="H167" s="108">
        <f t="shared" si="61"/>
        <v>15319793</v>
      </c>
      <c r="I167" s="107">
        <f t="shared" si="61"/>
        <v>10905597</v>
      </c>
      <c r="J167" s="107">
        <f t="shared" si="61"/>
        <v>453993</v>
      </c>
      <c r="K167" s="108">
        <f t="shared" si="61"/>
        <v>11359590</v>
      </c>
      <c r="L167" s="107">
        <f t="shared" si="61"/>
        <v>3723796</v>
      </c>
      <c r="M167" s="107">
        <f t="shared" si="61"/>
        <v>236407</v>
      </c>
      <c r="N167" s="107">
        <f t="shared" si="61"/>
        <v>3960203</v>
      </c>
      <c r="O167" s="109"/>
      <c r="P167" s="109"/>
      <c r="Q167" s="109"/>
      <c r="R167" s="77"/>
    </row>
    <row r="168" spans="1:18" ht="14.25" customHeight="1">
      <c r="A168" s="82"/>
      <c r="B168" s="105"/>
      <c r="C168" s="77"/>
      <c r="F168" s="77"/>
      <c r="G168" s="77"/>
      <c r="H168" s="78"/>
      <c r="I168" s="77"/>
      <c r="J168" s="77"/>
      <c r="K168" s="78"/>
      <c r="L168" s="77"/>
      <c r="M168" s="77"/>
      <c r="N168" s="77"/>
      <c r="O168" s="109"/>
      <c r="P168" s="109"/>
      <c r="Q168" s="109"/>
      <c r="R168" s="77"/>
    </row>
    <row r="169" spans="1:18" ht="14.25" customHeight="1">
      <c r="A169" s="82"/>
      <c r="B169" s="105"/>
      <c r="C169" s="77" t="s">
        <v>300</v>
      </c>
      <c r="F169" s="77"/>
      <c r="G169" s="77"/>
      <c r="H169" s="78"/>
      <c r="I169" s="77"/>
      <c r="J169" s="77"/>
      <c r="K169" s="78"/>
      <c r="L169" s="77"/>
      <c r="M169" s="77"/>
      <c r="N169" s="77"/>
      <c r="O169" s="109"/>
      <c r="P169" s="109"/>
      <c r="Q169" s="109"/>
      <c r="R169" s="77"/>
    </row>
    <row r="170" spans="1:18" ht="14.25" customHeight="1">
      <c r="A170" s="82">
        <v>2</v>
      </c>
      <c r="B170" s="105">
        <v>911000</v>
      </c>
      <c r="C170" s="77" t="s">
        <v>288</v>
      </c>
      <c r="F170" s="77">
        <f>I170+L170</f>
        <v>0</v>
      </c>
      <c r="G170" s="77">
        <f>Data!I320</f>
        <v>0</v>
      </c>
      <c r="H170" s="78">
        <f>F170+G170</f>
        <v>0</v>
      </c>
      <c r="I170" s="77">
        <f>Data!J320</f>
        <v>0</v>
      </c>
      <c r="J170" s="77">
        <f>G170*VLOOKUP(A170,Allocators,7)</f>
        <v>0</v>
      </c>
      <c r="K170" s="78">
        <f>I170+J170</f>
        <v>0</v>
      </c>
      <c r="L170" s="77">
        <f>Data!K320</f>
        <v>0</v>
      </c>
      <c r="M170" s="77">
        <f>G170*VLOOKUP(A170,Allocators,8)</f>
        <v>0</v>
      </c>
      <c r="N170" s="77">
        <f>L170+M170</f>
        <v>0</v>
      </c>
      <c r="O170" s="109"/>
      <c r="P170" s="109"/>
      <c r="Q170" s="109"/>
      <c r="R170" s="77"/>
    </row>
    <row r="171" spans="1:18" ht="14.25" customHeight="1">
      <c r="A171" s="82">
        <v>2</v>
      </c>
      <c r="B171" s="105">
        <v>912000</v>
      </c>
      <c r="C171" s="77" t="s">
        <v>301</v>
      </c>
      <c r="F171" s="77">
        <f>I171+L171</f>
        <v>14340</v>
      </c>
      <c r="G171" s="77">
        <f>Data!I321</f>
        <v>498790</v>
      </c>
      <c r="H171" s="78">
        <f>F171+G171</f>
        <v>513130</v>
      </c>
      <c r="I171" s="77">
        <f>Data!J321</f>
        <v>0</v>
      </c>
      <c r="J171" s="77">
        <f>G171*VLOOKUP(A171,Allocators,7)</f>
        <v>327994</v>
      </c>
      <c r="K171" s="78">
        <f>I171+J171</f>
        <v>327994</v>
      </c>
      <c r="L171" s="77">
        <f>Data!K321</f>
        <v>14340</v>
      </c>
      <c r="M171" s="77">
        <f>G171*VLOOKUP(A171,Allocators,8)</f>
        <v>170796</v>
      </c>
      <c r="N171" s="77">
        <f>L171+M171</f>
        <v>185136</v>
      </c>
      <c r="O171" s="109"/>
      <c r="P171" s="109"/>
      <c r="Q171" s="109"/>
      <c r="R171" s="77"/>
    </row>
    <row r="172" spans="1:18" ht="14.25" customHeight="1">
      <c r="A172" s="82">
        <v>2</v>
      </c>
      <c r="B172" s="105">
        <v>913000</v>
      </c>
      <c r="C172" s="77" t="s">
        <v>297</v>
      </c>
      <c r="F172" s="77">
        <f>I172+L172</f>
        <v>12390</v>
      </c>
      <c r="G172" s="77">
        <f>Data!I322</f>
        <v>222624</v>
      </c>
      <c r="H172" s="78">
        <f>F172+G172</f>
        <v>235014</v>
      </c>
      <c r="I172" s="77">
        <f>Data!J322</f>
        <v>12390</v>
      </c>
      <c r="J172" s="77">
        <f>G172*VLOOKUP(A172,Allocators,7)</f>
        <v>146393</v>
      </c>
      <c r="K172" s="78">
        <f>I172+J172</f>
        <v>158783</v>
      </c>
      <c r="L172" s="77">
        <f>Data!K322</f>
        <v>0</v>
      </c>
      <c r="M172" s="77">
        <f>G172*VLOOKUP(A172,Allocators,8)</f>
        <v>76231</v>
      </c>
      <c r="N172" s="77">
        <f>L172+M172</f>
        <v>76231</v>
      </c>
      <c r="O172" s="109"/>
      <c r="P172" s="109"/>
      <c r="Q172" s="109"/>
      <c r="R172" s="77"/>
    </row>
    <row r="173" spans="1:18" ht="14.25" customHeight="1">
      <c r="A173" s="82">
        <v>2</v>
      </c>
      <c r="B173" s="105">
        <v>916000</v>
      </c>
      <c r="C173" s="77" t="s">
        <v>302</v>
      </c>
      <c r="F173" s="77">
        <f>I173+L173</f>
        <v>208980</v>
      </c>
      <c r="G173" s="77">
        <f>Data!I323</f>
        <v>61</v>
      </c>
      <c r="H173" s="78">
        <f>F173+G173</f>
        <v>209041</v>
      </c>
      <c r="I173" s="77">
        <f>Data!J323</f>
        <v>208980</v>
      </c>
      <c r="J173" s="77">
        <f>G173*VLOOKUP(A173,Allocators,7)</f>
        <v>40</v>
      </c>
      <c r="K173" s="78">
        <f>I173+J173</f>
        <v>209020</v>
      </c>
      <c r="L173" s="77">
        <f>Data!K323</f>
        <v>0</v>
      </c>
      <c r="M173" s="77">
        <f>G173*VLOOKUP(A173,Allocators,8)</f>
        <v>21</v>
      </c>
      <c r="N173" s="77">
        <f>L173+M173</f>
        <v>21</v>
      </c>
      <c r="O173" s="109"/>
      <c r="P173" s="109"/>
      <c r="Q173" s="109"/>
      <c r="R173" s="77"/>
    </row>
    <row r="174" spans="1:18" ht="14.25" customHeight="1">
      <c r="A174" s="82"/>
      <c r="B174" s="105"/>
      <c r="C174" s="77" t="s">
        <v>303</v>
      </c>
      <c r="F174" s="107">
        <f aca="true" t="shared" si="62" ref="F174:N174">SUM(F170:F173)</f>
        <v>235710</v>
      </c>
      <c r="G174" s="107">
        <f t="shared" si="62"/>
        <v>721475</v>
      </c>
      <c r="H174" s="108">
        <f t="shared" si="62"/>
        <v>957185</v>
      </c>
      <c r="I174" s="107">
        <f t="shared" si="62"/>
        <v>221370</v>
      </c>
      <c r="J174" s="107">
        <f t="shared" si="62"/>
        <v>474427</v>
      </c>
      <c r="K174" s="108">
        <f t="shared" si="62"/>
        <v>695797</v>
      </c>
      <c r="L174" s="107">
        <f t="shared" si="62"/>
        <v>14340</v>
      </c>
      <c r="M174" s="107">
        <f t="shared" si="62"/>
        <v>247048</v>
      </c>
      <c r="N174" s="107">
        <f t="shared" si="62"/>
        <v>261388</v>
      </c>
      <c r="O174" s="109"/>
      <c r="P174" s="109"/>
      <c r="Q174" s="109"/>
      <c r="R174" s="77"/>
    </row>
    <row r="175" spans="1:18" ht="14.25" customHeight="1">
      <c r="A175" s="82"/>
      <c r="B175" s="105"/>
      <c r="C175" s="77"/>
      <c r="F175" s="77"/>
      <c r="G175" s="77"/>
      <c r="H175" s="78"/>
      <c r="I175" s="77"/>
      <c r="J175" s="77"/>
      <c r="K175" s="78"/>
      <c r="L175" s="77"/>
      <c r="M175" s="77"/>
      <c r="N175" s="77"/>
      <c r="O175" s="109"/>
      <c r="P175" s="109"/>
      <c r="Q175" s="109"/>
      <c r="R175" s="77"/>
    </row>
    <row r="176" spans="1:18" ht="14.25" customHeight="1">
      <c r="A176" s="82"/>
      <c r="B176" s="105"/>
      <c r="C176" s="77" t="s">
        <v>304</v>
      </c>
      <c r="F176" s="77"/>
      <c r="G176" s="77"/>
      <c r="H176" s="78"/>
      <c r="I176" s="77"/>
      <c r="J176" s="77"/>
      <c r="K176" s="78"/>
      <c r="L176" s="77"/>
      <c r="M176" s="77"/>
      <c r="N176" s="77"/>
      <c r="O176" s="109"/>
      <c r="P176" s="109"/>
      <c r="Q176" s="109"/>
      <c r="R176" s="77"/>
    </row>
    <row r="177" spans="1:18" ht="14.25" customHeight="1">
      <c r="A177" s="82">
        <v>4</v>
      </c>
      <c r="B177" s="105">
        <v>920000</v>
      </c>
      <c r="C177" s="77" t="s">
        <v>305</v>
      </c>
      <c r="F177" s="77">
        <f aca="true" t="shared" si="63" ref="F177:F185">I177+L177</f>
        <v>238090</v>
      </c>
      <c r="G177" s="77">
        <f>Data!I324</f>
        <v>18539127</v>
      </c>
      <c r="H177" s="78">
        <f aca="true" t="shared" si="64" ref="H177:H185">F177+G177</f>
        <v>18777217</v>
      </c>
      <c r="I177" s="77">
        <f>Data!J324</f>
        <v>164740</v>
      </c>
      <c r="J177" s="77">
        <f aca="true" t="shared" si="65" ref="J177:J184">G177*VLOOKUP(A177,Allocators,7)</f>
        <v>12068416</v>
      </c>
      <c r="K177" s="78">
        <f aca="true" t="shared" si="66" ref="K177:K184">I177+J177</f>
        <v>12233156</v>
      </c>
      <c r="L177" s="77">
        <f>Data!K324</f>
        <v>73350</v>
      </c>
      <c r="M177" s="77">
        <f aca="true" t="shared" si="67" ref="M177:M184">G177*VLOOKUP(A177,Allocators,8)</f>
        <v>6470711</v>
      </c>
      <c r="N177" s="77">
        <f aca="true" t="shared" si="68" ref="N177:N184">L177+M177</f>
        <v>6544061</v>
      </c>
      <c r="O177" s="109"/>
      <c r="P177" s="109"/>
      <c r="Q177" s="109"/>
      <c r="R177" s="77"/>
    </row>
    <row r="178" spans="1:18" ht="14.25" customHeight="1">
      <c r="A178" s="82">
        <v>4</v>
      </c>
      <c r="B178" s="105">
        <v>921000</v>
      </c>
      <c r="C178" s="77" t="s">
        <v>306</v>
      </c>
      <c r="F178" s="77">
        <f t="shared" si="63"/>
        <v>968</v>
      </c>
      <c r="G178" s="77">
        <f>Data!I325</f>
        <v>3703495</v>
      </c>
      <c r="H178" s="78">
        <f t="shared" si="64"/>
        <v>3704463</v>
      </c>
      <c r="I178" s="77">
        <f>Data!J325</f>
        <v>456</v>
      </c>
      <c r="J178" s="77">
        <f t="shared" si="65"/>
        <v>2410864</v>
      </c>
      <c r="K178" s="78">
        <f t="shared" si="66"/>
        <v>2411320</v>
      </c>
      <c r="L178" s="77">
        <f>Data!K325</f>
        <v>512</v>
      </c>
      <c r="M178" s="77">
        <f t="shared" si="67"/>
        <v>1292631</v>
      </c>
      <c r="N178" s="77">
        <f t="shared" si="68"/>
        <v>1293143</v>
      </c>
      <c r="O178" s="109"/>
      <c r="P178" s="109"/>
      <c r="Q178" s="109"/>
      <c r="R178" s="77"/>
    </row>
    <row r="179" spans="1:18" ht="14.25" customHeight="1">
      <c r="A179" s="82">
        <v>4</v>
      </c>
      <c r="B179" s="105">
        <v>922000</v>
      </c>
      <c r="C179" s="77" t="s">
        <v>307</v>
      </c>
      <c r="F179" s="77">
        <f t="shared" si="63"/>
        <v>0</v>
      </c>
      <c r="G179" s="77">
        <f>Data!I326</f>
        <v>-35937</v>
      </c>
      <c r="H179" s="78">
        <f t="shared" si="64"/>
        <v>-35937</v>
      </c>
      <c r="I179" s="77">
        <f>Data!J326</f>
        <v>0</v>
      </c>
      <c r="J179" s="77">
        <f t="shared" si="65"/>
        <v>-23394</v>
      </c>
      <c r="K179" s="78">
        <f t="shared" si="66"/>
        <v>-23394</v>
      </c>
      <c r="L179" s="77">
        <f>Data!K326</f>
        <v>0</v>
      </c>
      <c r="M179" s="77">
        <f t="shared" si="67"/>
        <v>-12543</v>
      </c>
      <c r="N179" s="77">
        <f t="shared" si="68"/>
        <v>-12543</v>
      </c>
      <c r="O179" s="109"/>
      <c r="P179" s="109"/>
      <c r="Q179" s="109"/>
      <c r="R179" s="77"/>
    </row>
    <row r="180" spans="1:18" ht="14.25" customHeight="1">
      <c r="A180" s="82">
        <v>4</v>
      </c>
      <c r="B180" s="105">
        <v>923000</v>
      </c>
      <c r="C180" s="77" t="s">
        <v>308</v>
      </c>
      <c r="F180" s="77">
        <f t="shared" si="63"/>
        <v>165</v>
      </c>
      <c r="G180" s="77">
        <f>Data!I327</f>
        <v>11001571</v>
      </c>
      <c r="H180" s="78">
        <f t="shared" si="64"/>
        <v>11001736</v>
      </c>
      <c r="I180" s="77">
        <f>Data!J327</f>
        <v>0</v>
      </c>
      <c r="J180" s="77">
        <f t="shared" si="65"/>
        <v>7161693</v>
      </c>
      <c r="K180" s="78">
        <f t="shared" si="66"/>
        <v>7161693</v>
      </c>
      <c r="L180" s="77">
        <f>Data!K327</f>
        <v>165</v>
      </c>
      <c r="M180" s="77">
        <f t="shared" si="67"/>
        <v>3839878</v>
      </c>
      <c r="N180" s="77">
        <f t="shared" si="68"/>
        <v>3840043</v>
      </c>
      <c r="O180" s="109"/>
      <c r="P180" s="109"/>
      <c r="Q180" s="109"/>
      <c r="R180" s="77"/>
    </row>
    <row r="181" spans="1:18" ht="14.25" customHeight="1">
      <c r="A181" s="82">
        <v>4</v>
      </c>
      <c r="B181" s="105">
        <v>924000</v>
      </c>
      <c r="C181" s="77" t="s">
        <v>309</v>
      </c>
      <c r="F181" s="77">
        <f t="shared" si="63"/>
        <v>0</v>
      </c>
      <c r="G181" s="77">
        <f>Data!I328</f>
        <v>1037522</v>
      </c>
      <c r="H181" s="78">
        <f t="shared" si="64"/>
        <v>1037522</v>
      </c>
      <c r="I181" s="77">
        <f>Data!J328</f>
        <v>0</v>
      </c>
      <c r="J181" s="77">
        <f t="shared" si="65"/>
        <v>675396</v>
      </c>
      <c r="K181" s="78">
        <f t="shared" si="66"/>
        <v>675396</v>
      </c>
      <c r="L181" s="77">
        <f>Data!K328</f>
        <v>0</v>
      </c>
      <c r="M181" s="77">
        <f t="shared" si="67"/>
        <v>362126</v>
      </c>
      <c r="N181" s="77">
        <f t="shared" si="68"/>
        <v>362126</v>
      </c>
      <c r="O181" s="109"/>
      <c r="P181" s="109"/>
      <c r="Q181" s="109"/>
      <c r="R181" s="77"/>
    </row>
    <row r="182" spans="1:18" ht="14.25" customHeight="1">
      <c r="A182" s="82">
        <v>4</v>
      </c>
      <c r="B182" s="106" t="s">
        <v>579</v>
      </c>
      <c r="C182" s="77" t="s">
        <v>310</v>
      </c>
      <c r="F182" s="77">
        <f t="shared" si="63"/>
        <v>-8280</v>
      </c>
      <c r="G182" s="77">
        <f>Data!I329</f>
        <v>2909637</v>
      </c>
      <c r="H182" s="78">
        <f t="shared" si="64"/>
        <v>2901357</v>
      </c>
      <c r="I182" s="77">
        <f>Data!J329</f>
        <v>-8280</v>
      </c>
      <c r="J182" s="77">
        <f t="shared" si="65"/>
        <v>1894086</v>
      </c>
      <c r="K182" s="78">
        <f t="shared" si="66"/>
        <v>1885806</v>
      </c>
      <c r="L182" s="77">
        <f>Data!K329</f>
        <v>0</v>
      </c>
      <c r="M182" s="77">
        <f t="shared" si="67"/>
        <v>1015551</v>
      </c>
      <c r="N182" s="77">
        <f t="shared" si="68"/>
        <v>1015551</v>
      </c>
      <c r="O182" s="109"/>
      <c r="P182" s="109"/>
      <c r="Q182" s="109"/>
      <c r="R182" s="77"/>
    </row>
    <row r="183" spans="1:18" ht="14.25" customHeight="1">
      <c r="A183" s="82">
        <v>4</v>
      </c>
      <c r="B183" s="106" t="s">
        <v>578</v>
      </c>
      <c r="C183" s="77" t="s">
        <v>311</v>
      </c>
      <c r="F183" s="77">
        <f t="shared" si="63"/>
        <v>346432</v>
      </c>
      <c r="G183" s="77">
        <f>Data!I330</f>
        <v>784413</v>
      </c>
      <c r="H183" s="78">
        <f t="shared" si="64"/>
        <v>1130845</v>
      </c>
      <c r="I183" s="77">
        <f>Data!J330</f>
        <v>257650</v>
      </c>
      <c r="J183" s="77">
        <f t="shared" si="65"/>
        <v>510629</v>
      </c>
      <c r="K183" s="78">
        <f t="shared" si="66"/>
        <v>768279</v>
      </c>
      <c r="L183" s="77">
        <f>Data!K330</f>
        <v>88782</v>
      </c>
      <c r="M183" s="77">
        <f t="shared" si="67"/>
        <v>273784</v>
      </c>
      <c r="N183" s="77">
        <f t="shared" si="68"/>
        <v>362566</v>
      </c>
      <c r="O183" s="109"/>
      <c r="P183" s="109"/>
      <c r="Q183" s="109"/>
      <c r="R183" s="77"/>
    </row>
    <row r="184" spans="1:18" ht="14.25" customHeight="1">
      <c r="A184" s="82">
        <v>4</v>
      </c>
      <c r="B184" s="105">
        <v>927000</v>
      </c>
      <c r="C184" s="77" t="s">
        <v>313</v>
      </c>
      <c r="F184" s="77">
        <f t="shared" si="63"/>
        <v>6327</v>
      </c>
      <c r="G184" s="77">
        <f>Data!I331</f>
        <v>0</v>
      </c>
      <c r="H184" s="78">
        <f t="shared" si="64"/>
        <v>6327</v>
      </c>
      <c r="I184" s="77">
        <f>Data!J331</f>
        <v>0</v>
      </c>
      <c r="J184" s="77">
        <f t="shared" si="65"/>
        <v>0</v>
      </c>
      <c r="K184" s="78">
        <f t="shared" si="66"/>
        <v>0</v>
      </c>
      <c r="L184" s="77">
        <f>Data!K331</f>
        <v>6327</v>
      </c>
      <c r="M184" s="77">
        <f t="shared" si="67"/>
        <v>0</v>
      </c>
      <c r="N184" s="77">
        <f t="shared" si="68"/>
        <v>6327</v>
      </c>
      <c r="O184" s="109"/>
      <c r="P184" s="109"/>
      <c r="Q184" s="109"/>
      <c r="R184" s="77"/>
    </row>
    <row r="185" spans="1:18" ht="14.25" customHeight="1">
      <c r="A185" s="82">
        <v>1</v>
      </c>
      <c r="B185" s="105">
        <v>928000</v>
      </c>
      <c r="C185" s="77" t="s">
        <v>314</v>
      </c>
      <c r="F185" s="77">
        <f t="shared" si="63"/>
        <v>1748837</v>
      </c>
      <c r="G185" s="77">
        <f>+Data!I332</f>
        <v>2908577</v>
      </c>
      <c r="H185" s="78">
        <f t="shared" si="64"/>
        <v>4657414</v>
      </c>
      <c r="I185" s="77">
        <f>+Data!J332</f>
        <v>1043967</v>
      </c>
      <c r="J185" s="77">
        <f>G185*VLOOKUP(A185,Allocators,7)</f>
        <v>1878650</v>
      </c>
      <c r="K185" s="78">
        <f>I185+J185</f>
        <v>2922617</v>
      </c>
      <c r="L185" s="77">
        <f>+Data!K332</f>
        <v>704870</v>
      </c>
      <c r="M185" s="77">
        <f>G185*VLOOKUP(A185,Allocators,8)</f>
        <v>1029927</v>
      </c>
      <c r="N185" s="77">
        <f>L185+M185</f>
        <v>1734797</v>
      </c>
      <c r="O185" s="109"/>
      <c r="P185" s="109"/>
      <c r="Q185" s="109"/>
      <c r="R185" s="77"/>
    </row>
    <row r="186" spans="1:18" ht="14.25" customHeight="1">
      <c r="A186" s="82">
        <v>4</v>
      </c>
      <c r="B186" s="105">
        <v>930000</v>
      </c>
      <c r="C186" s="77" t="s">
        <v>316</v>
      </c>
      <c r="F186" s="77">
        <f>I186+L186</f>
        <v>318237</v>
      </c>
      <c r="G186" s="77">
        <f>Data!I333</f>
        <v>2870307</v>
      </c>
      <c r="H186" s="78">
        <f>F186+G186</f>
        <v>3188544</v>
      </c>
      <c r="I186" s="77">
        <f>Data!J333</f>
        <v>265195</v>
      </c>
      <c r="J186" s="77">
        <f>G186*VLOOKUP(A186,Allocators,7)</f>
        <v>1868484</v>
      </c>
      <c r="K186" s="78">
        <f>I186+J186</f>
        <v>2133679</v>
      </c>
      <c r="L186" s="77">
        <f>Data!K333</f>
        <v>53042</v>
      </c>
      <c r="M186" s="77">
        <f>G186*VLOOKUP(A186,Allocators,8)</f>
        <v>1001823</v>
      </c>
      <c r="N186" s="77">
        <f>L186+M186</f>
        <v>1054865</v>
      </c>
      <c r="O186" s="109"/>
      <c r="P186" s="109"/>
      <c r="Q186" s="109"/>
      <c r="R186" s="77"/>
    </row>
    <row r="187" spans="1:18" ht="14.25" customHeight="1">
      <c r="A187" s="82">
        <v>4</v>
      </c>
      <c r="B187" s="105">
        <v>931000</v>
      </c>
      <c r="C187" s="77" t="s">
        <v>317</v>
      </c>
      <c r="F187" s="77">
        <f>I187+L187</f>
        <v>54480</v>
      </c>
      <c r="G187" s="77">
        <f>Data!I334</f>
        <v>574003</v>
      </c>
      <c r="H187" s="78">
        <f>F187+G187</f>
        <v>628483</v>
      </c>
      <c r="I187" s="77">
        <f>Data!J334</f>
        <v>45212</v>
      </c>
      <c r="J187" s="77">
        <f>G187*VLOOKUP(A187,Allocators,7)</f>
        <v>373659</v>
      </c>
      <c r="K187" s="78">
        <f>I187+J187</f>
        <v>418871</v>
      </c>
      <c r="L187" s="77">
        <f>Data!K334</f>
        <v>9268</v>
      </c>
      <c r="M187" s="77">
        <f>G187*VLOOKUP(A187,Allocators,8)</f>
        <v>200344</v>
      </c>
      <c r="N187" s="77">
        <f>L187+M187</f>
        <v>209612</v>
      </c>
      <c r="O187" s="109"/>
      <c r="P187" s="109"/>
      <c r="Q187" s="109"/>
      <c r="R187" s="77"/>
    </row>
    <row r="188" spans="1:18" ht="14.25" customHeight="1">
      <c r="A188" s="82">
        <v>4</v>
      </c>
      <c r="B188" s="105">
        <v>935000</v>
      </c>
      <c r="C188" s="77" t="s">
        <v>318</v>
      </c>
      <c r="F188" s="77">
        <f>I188+L188</f>
        <v>732980</v>
      </c>
      <c r="G188" s="77">
        <f>Data!I335</f>
        <v>6676426</v>
      </c>
      <c r="H188" s="78">
        <f>F188+G188</f>
        <v>7409406</v>
      </c>
      <c r="I188" s="77">
        <f>Data!J335</f>
        <v>213025</v>
      </c>
      <c r="J188" s="77">
        <f>G188*VLOOKUP(A188,Allocators,7)</f>
        <v>4346153</v>
      </c>
      <c r="K188" s="78">
        <f>I188+J188</f>
        <v>4559178</v>
      </c>
      <c r="L188" s="77">
        <f>Data!K335</f>
        <v>519955</v>
      </c>
      <c r="M188" s="77">
        <f>G188*VLOOKUP(A188,Allocators,8)</f>
        <v>2330273</v>
      </c>
      <c r="N188" s="77">
        <f>L188+M188</f>
        <v>2850228</v>
      </c>
      <c r="O188" s="109"/>
      <c r="P188" s="109"/>
      <c r="Q188" s="109"/>
      <c r="R188" s="77"/>
    </row>
    <row r="189" spans="1:18" ht="14.25" customHeight="1">
      <c r="A189" s="82"/>
      <c r="B189" s="106"/>
      <c r="C189" s="77" t="s">
        <v>333</v>
      </c>
      <c r="F189" s="113">
        <f aca="true" t="shared" si="69" ref="F189:N189">SUM(F177:F188)</f>
        <v>3438236</v>
      </c>
      <c r="G189" s="113">
        <f t="shared" si="69"/>
        <v>50969141</v>
      </c>
      <c r="H189" s="114">
        <f t="shared" si="69"/>
        <v>54407377</v>
      </c>
      <c r="I189" s="113">
        <f t="shared" si="69"/>
        <v>1981965</v>
      </c>
      <c r="J189" s="113">
        <f t="shared" si="69"/>
        <v>33164636</v>
      </c>
      <c r="K189" s="114">
        <f t="shared" si="69"/>
        <v>35146601</v>
      </c>
      <c r="L189" s="113">
        <f t="shared" si="69"/>
        <v>1456271</v>
      </c>
      <c r="M189" s="113">
        <f t="shared" si="69"/>
        <v>17804505</v>
      </c>
      <c r="N189" s="113">
        <f t="shared" si="69"/>
        <v>19260776</v>
      </c>
      <c r="O189" s="109"/>
      <c r="P189" s="109"/>
      <c r="Q189" s="109"/>
      <c r="R189" s="77"/>
    </row>
    <row r="190" spans="1:18" ht="14.25" customHeight="1">
      <c r="A190" s="82"/>
      <c r="B190" s="106"/>
      <c r="C190" s="77"/>
      <c r="F190" s="109"/>
      <c r="G190" s="109"/>
      <c r="H190" s="78"/>
      <c r="I190" s="109"/>
      <c r="J190" s="109"/>
      <c r="K190" s="78"/>
      <c r="L190" s="109"/>
      <c r="M190" s="109"/>
      <c r="N190" s="109"/>
      <c r="O190" s="109"/>
      <c r="P190" s="109"/>
      <c r="Q190" s="109"/>
      <c r="R190" s="77"/>
    </row>
    <row r="191" spans="1:18" ht="14.25" customHeight="1">
      <c r="A191" s="82" t="s">
        <v>778</v>
      </c>
      <c r="B191" s="106"/>
      <c r="C191" s="77" t="s">
        <v>334</v>
      </c>
      <c r="F191" s="77">
        <f>'E-ADP'!F39+'E-ADP'!F54</f>
        <v>1985579</v>
      </c>
      <c r="G191" s="77">
        <f>'E-ADP'!G39+'E-ADP'!G54</f>
        <v>5540621</v>
      </c>
      <c r="H191" s="78">
        <f>'E-ADP'!H39+'E-ADP'!H54</f>
        <v>7526200</v>
      </c>
      <c r="I191" s="77">
        <f>'E-ADP'!I39+'E-ADP'!I54</f>
        <v>1230295</v>
      </c>
      <c r="J191" s="77">
        <f>'E-ADP'!J39+'E-ADP'!J54</f>
        <v>3606778</v>
      </c>
      <c r="K191" s="78">
        <f>'E-ADP'!K39+'E-ADP'!K54</f>
        <v>4837073</v>
      </c>
      <c r="L191" s="77">
        <f>'E-ADP'!L39+'E-ADP'!L54</f>
        <v>755284</v>
      </c>
      <c r="M191" s="77">
        <f>'E-ADP'!M39+'E-ADP'!M54</f>
        <v>1933843</v>
      </c>
      <c r="N191" s="77">
        <f>'E-ADP'!N39+'E-ADP'!N54</f>
        <v>2689127</v>
      </c>
      <c r="O191" s="109"/>
      <c r="P191" s="109"/>
      <c r="Q191" s="109"/>
      <c r="R191" s="77"/>
    </row>
    <row r="192" spans="1:18" ht="14.25" customHeight="1">
      <c r="A192" s="82" t="s">
        <v>784</v>
      </c>
      <c r="B192" s="106"/>
      <c r="C192" s="77" t="s">
        <v>335</v>
      </c>
      <c r="F192" s="77">
        <f>'E-CAM'!F22</f>
        <v>0</v>
      </c>
      <c r="G192" s="77">
        <f>'E-CAM'!G22</f>
        <v>3348320</v>
      </c>
      <c r="H192" s="78">
        <f>'E-CAM'!H22</f>
        <v>3348320</v>
      </c>
      <c r="I192" s="77">
        <f>'E-CAM'!I22</f>
        <v>0</v>
      </c>
      <c r="J192" s="77">
        <f>'E-CAM'!J22</f>
        <v>2179656</v>
      </c>
      <c r="K192" s="78">
        <f>'E-CAM'!K22</f>
        <v>2179656</v>
      </c>
      <c r="L192" s="77">
        <f>'E-CAM'!L22</f>
        <v>0</v>
      </c>
      <c r="M192" s="77">
        <f>'E-CAM'!M22</f>
        <v>1168664</v>
      </c>
      <c r="N192" s="77">
        <f>'E-CAM'!N22</f>
        <v>1168664</v>
      </c>
      <c r="O192" s="109"/>
      <c r="P192" s="109"/>
      <c r="Q192" s="109"/>
      <c r="R192" s="77"/>
    </row>
    <row r="193" spans="1:18" ht="14.25" customHeight="1">
      <c r="A193" s="82">
        <v>4</v>
      </c>
      <c r="B193" s="115"/>
      <c r="C193" s="77" t="s">
        <v>147</v>
      </c>
      <c r="F193" s="77">
        <f>I193+L193</f>
        <v>0</v>
      </c>
      <c r="G193" s="77">
        <f>+Data!I75+'C-AMT'!G27</f>
        <v>7414</v>
      </c>
      <c r="H193" s="78">
        <f>F193+G193</f>
        <v>7414</v>
      </c>
      <c r="I193" s="77">
        <f>Data!J75</f>
        <v>0</v>
      </c>
      <c r="J193" s="77">
        <f>G193*VLOOKUP(A193,Allocators,7)</f>
        <v>4826</v>
      </c>
      <c r="K193" s="78">
        <f>I193+J193</f>
        <v>4826</v>
      </c>
      <c r="L193" s="77">
        <f>Data!K75</f>
        <v>0</v>
      </c>
      <c r="M193" s="77">
        <f>G193*VLOOKUP(A193,Allocators,8)</f>
        <v>2588</v>
      </c>
      <c r="N193" s="77">
        <f>L193+M193</f>
        <v>2588</v>
      </c>
      <c r="O193" s="109"/>
      <c r="P193" s="109"/>
      <c r="Q193" s="109"/>
      <c r="R193" s="77"/>
    </row>
    <row r="194" spans="1:18" ht="14.25" customHeight="1">
      <c r="A194" s="82"/>
      <c r="B194" s="105"/>
      <c r="C194" s="77" t="s">
        <v>336</v>
      </c>
      <c r="F194" s="113">
        <f aca="true" t="shared" si="70" ref="F194:N194">SUM(F189:F193)</f>
        <v>5423815</v>
      </c>
      <c r="G194" s="113">
        <f t="shared" si="70"/>
        <v>59865496</v>
      </c>
      <c r="H194" s="114">
        <f t="shared" si="70"/>
        <v>65289311</v>
      </c>
      <c r="I194" s="113">
        <f t="shared" si="70"/>
        <v>3212260</v>
      </c>
      <c r="J194" s="113">
        <f t="shared" si="70"/>
        <v>38955896</v>
      </c>
      <c r="K194" s="114">
        <f t="shared" si="70"/>
        <v>42168156</v>
      </c>
      <c r="L194" s="113">
        <f t="shared" si="70"/>
        <v>2211555</v>
      </c>
      <c r="M194" s="113">
        <f t="shared" si="70"/>
        <v>20909600</v>
      </c>
      <c r="N194" s="113">
        <f t="shared" si="70"/>
        <v>23121155</v>
      </c>
      <c r="O194" s="109"/>
      <c r="P194" s="109"/>
      <c r="Q194" s="109"/>
      <c r="R194" s="77"/>
    </row>
    <row r="195" spans="1:18" ht="14.25" customHeight="1">
      <c r="A195" s="82"/>
      <c r="B195" s="105"/>
      <c r="C195" s="77" t="s">
        <v>337</v>
      </c>
      <c r="F195" s="107">
        <f aca="true" t="shared" si="71" ref="F195:N195">F126+F153+F161+F167+F174+F194</f>
        <v>136606283</v>
      </c>
      <c r="G195" s="107">
        <f t="shared" si="71"/>
        <v>595012906</v>
      </c>
      <c r="H195" s="108">
        <f t="shared" si="71"/>
        <v>731619189</v>
      </c>
      <c r="I195" s="107">
        <f t="shared" si="71"/>
        <v>98502412</v>
      </c>
      <c r="J195" s="107">
        <f t="shared" si="71"/>
        <v>384831067</v>
      </c>
      <c r="K195" s="108">
        <f t="shared" si="71"/>
        <v>483333479</v>
      </c>
      <c r="L195" s="107">
        <f t="shared" si="71"/>
        <v>38103871</v>
      </c>
      <c r="M195" s="107">
        <f t="shared" si="71"/>
        <v>210181839</v>
      </c>
      <c r="N195" s="107">
        <f t="shared" si="71"/>
        <v>248285710</v>
      </c>
      <c r="O195" s="109"/>
      <c r="P195" s="109"/>
      <c r="Q195" s="109"/>
      <c r="R195" s="77"/>
    </row>
    <row r="196" spans="1:18" ht="14.25" customHeight="1">
      <c r="A196" s="82"/>
      <c r="B196" s="105"/>
      <c r="C196" s="77"/>
      <c r="F196" s="77"/>
      <c r="G196" s="77"/>
      <c r="H196" s="78"/>
      <c r="I196" s="77"/>
      <c r="J196" s="77"/>
      <c r="K196" s="78"/>
      <c r="L196" s="77"/>
      <c r="M196" s="77"/>
      <c r="N196" s="77"/>
      <c r="O196" s="109"/>
      <c r="P196" s="109"/>
      <c r="Q196" s="109"/>
      <c r="R196" s="77"/>
    </row>
    <row r="197" spans="1:18" ht="14.25" customHeight="1">
      <c r="A197" s="82"/>
      <c r="B197" s="105"/>
      <c r="C197" s="77" t="s">
        <v>338</v>
      </c>
      <c r="F197" s="77"/>
      <c r="G197" s="77"/>
      <c r="H197" s="78">
        <f>H26-H195</f>
        <v>140287959</v>
      </c>
      <c r="I197" s="77"/>
      <c r="J197" s="77"/>
      <c r="K197" s="78">
        <f>K26-K195</f>
        <v>88367033</v>
      </c>
      <c r="L197" s="77"/>
      <c r="M197" s="77"/>
      <c r="N197" s="77">
        <f>N26-N195</f>
        <v>51920926</v>
      </c>
      <c r="O197" s="109"/>
      <c r="P197" s="109"/>
      <c r="Q197" s="109"/>
      <c r="R197" s="77"/>
    </row>
    <row r="198" spans="1:18" ht="14.25" customHeight="1">
      <c r="A198" s="82"/>
      <c r="B198" s="105"/>
      <c r="C198" s="77"/>
      <c r="F198" s="77"/>
      <c r="G198" s="77"/>
      <c r="H198" s="78"/>
      <c r="I198" s="77"/>
      <c r="J198" s="77"/>
      <c r="K198" s="78"/>
      <c r="L198" s="77"/>
      <c r="M198" s="77"/>
      <c r="N198" s="77"/>
      <c r="O198" s="109"/>
      <c r="P198" s="109"/>
      <c r="Q198" s="109"/>
      <c r="R198" s="77"/>
    </row>
    <row r="199" spans="1:18" ht="14.25" customHeight="1">
      <c r="A199" s="82" t="s">
        <v>743</v>
      </c>
      <c r="B199" s="105"/>
      <c r="C199" s="77" t="s">
        <v>339</v>
      </c>
      <c r="F199" s="77"/>
      <c r="G199" s="77"/>
      <c r="H199" s="78">
        <f>'E-FIT'!F26</f>
        <v>18788627</v>
      </c>
      <c r="I199" s="77"/>
      <c r="J199" s="77"/>
      <c r="K199" s="78">
        <f>'E-FIT'!G26</f>
        <v>16759096</v>
      </c>
      <c r="L199" s="77"/>
      <c r="M199" s="77"/>
      <c r="N199" s="77">
        <f>'E-FIT'!H26</f>
        <v>2029531</v>
      </c>
      <c r="O199" s="109"/>
      <c r="P199" s="109"/>
      <c r="Q199" s="109"/>
      <c r="R199" s="77"/>
    </row>
    <row r="200" spans="1:18" ht="14.25" customHeight="1">
      <c r="A200" s="82" t="s">
        <v>743</v>
      </c>
      <c r="B200" s="105"/>
      <c r="C200" s="77" t="s">
        <v>595</v>
      </c>
      <c r="F200" s="77"/>
      <c r="G200" s="77"/>
      <c r="H200" s="78">
        <f>'E-FIT'!F28</f>
        <v>10648577</v>
      </c>
      <c r="I200" s="77"/>
      <c r="J200" s="77"/>
      <c r="K200" s="78">
        <f>'E-FIT'!G28</f>
        <v>3070369</v>
      </c>
      <c r="L200" s="77"/>
      <c r="M200" s="77"/>
      <c r="N200" s="77">
        <f>'E-FIT'!H28</f>
        <v>7578208</v>
      </c>
      <c r="O200" s="109"/>
      <c r="P200" s="109"/>
      <c r="Q200" s="109"/>
      <c r="R200" s="77"/>
    </row>
    <row r="201" spans="1:18" ht="14.25" customHeight="1">
      <c r="A201" s="82"/>
      <c r="B201" s="83"/>
      <c r="C201" s="77" t="s">
        <v>340</v>
      </c>
      <c r="F201" s="107"/>
      <c r="G201" s="107"/>
      <c r="H201" s="108">
        <f>H197-H199-H200</f>
        <v>110850755</v>
      </c>
      <c r="I201" s="107"/>
      <c r="J201" s="107"/>
      <c r="K201" s="108">
        <f>K197-K199-K200</f>
        <v>68537568</v>
      </c>
      <c r="L201" s="107"/>
      <c r="M201" s="107"/>
      <c r="N201" s="107">
        <f>N197-N199-N200</f>
        <v>42313187</v>
      </c>
      <c r="O201" s="109"/>
      <c r="P201" s="109"/>
      <c r="Q201" s="109"/>
      <c r="R201" s="77"/>
    </row>
    <row r="202" spans="1:18" ht="14.25" customHeight="1">
      <c r="A202" s="82"/>
      <c r="B202" s="83"/>
      <c r="C202" s="77"/>
      <c r="F202" s="77"/>
      <c r="G202" s="77"/>
      <c r="H202" s="77"/>
      <c r="I202" s="77"/>
      <c r="J202" s="77"/>
      <c r="K202" s="77"/>
      <c r="L202" s="77"/>
      <c r="M202" s="77"/>
      <c r="N202" s="77" t="str">
        <f>IF(N201+K201-H201=0," ","ERROR")</f>
        <v> </v>
      </c>
      <c r="O202" s="109"/>
      <c r="P202" s="109"/>
      <c r="Q202" s="109"/>
      <c r="R202" s="77"/>
    </row>
    <row r="203" spans="1:18" ht="14.25" customHeight="1">
      <c r="A203" s="77" t="s">
        <v>341</v>
      </c>
      <c r="B203" s="83"/>
      <c r="C203" s="77"/>
      <c r="F203" s="77"/>
      <c r="G203" s="77"/>
      <c r="H203" s="77"/>
      <c r="I203" s="77"/>
      <c r="J203" s="77"/>
      <c r="K203" s="77"/>
      <c r="L203" s="77"/>
      <c r="M203" s="77"/>
      <c r="N203" s="77"/>
      <c r="O203" s="109"/>
      <c r="P203" s="109"/>
      <c r="Q203" s="109"/>
      <c r="R203" s="77"/>
    </row>
    <row r="204" spans="1:18" ht="14.25" customHeight="1">
      <c r="A204" s="82" t="s">
        <v>735</v>
      </c>
      <c r="B204" s="116">
        <v>1</v>
      </c>
      <c r="C204" s="77" t="str">
        <f>+'E-ALL'!C7</f>
        <v>Production/Transmission  Ratio</v>
      </c>
      <c r="F204" s="77"/>
      <c r="G204" s="117">
        <f aca="true" t="shared" si="72" ref="G204:G209">VLOOKUP(B204,Allocators,6)</f>
        <v>1</v>
      </c>
      <c r="H204" s="117"/>
      <c r="I204" s="117"/>
      <c r="J204" s="117">
        <f aca="true" t="shared" si="73" ref="J204:J209">VLOOKUP(B204,Allocators,7)</f>
        <v>0.6459</v>
      </c>
      <c r="K204" s="117"/>
      <c r="L204" s="117"/>
      <c r="M204" s="117">
        <f aca="true" t="shared" si="74" ref="M204:M209">VLOOKUP(B204,Allocators,8)</f>
        <v>0.3541</v>
      </c>
      <c r="N204" s="117"/>
      <c r="O204" s="118"/>
      <c r="P204" s="118"/>
      <c r="Q204" s="118"/>
      <c r="R204" s="77"/>
    </row>
    <row r="205" spans="1:18" ht="14.25" customHeight="1">
      <c r="A205" s="82" t="s">
        <v>735</v>
      </c>
      <c r="B205" s="116">
        <v>2</v>
      </c>
      <c r="C205" s="77" t="str">
        <f>+'E-ALL'!C10</f>
        <v>Number of Customers</v>
      </c>
      <c r="F205" s="77"/>
      <c r="G205" s="117">
        <f t="shared" si="72"/>
        <v>1</v>
      </c>
      <c r="H205" s="117"/>
      <c r="I205" s="117"/>
      <c r="J205" s="117">
        <f t="shared" si="73"/>
        <v>0.65758</v>
      </c>
      <c r="K205" s="117"/>
      <c r="L205" s="117"/>
      <c r="M205" s="117">
        <f t="shared" si="74"/>
        <v>0.34242</v>
      </c>
      <c r="N205" s="77"/>
      <c r="O205" s="118"/>
      <c r="P205" s="118"/>
      <c r="Q205" s="109"/>
      <c r="R205" s="77"/>
    </row>
    <row r="206" spans="1:18" ht="14.25" customHeight="1">
      <c r="A206" s="82" t="s">
        <v>735</v>
      </c>
      <c r="B206" s="116">
        <v>3</v>
      </c>
      <c r="C206" s="77" t="str">
        <f>+'E-ALL'!C14</f>
        <v>Direct Distribution Operating Expense</v>
      </c>
      <c r="F206" s="77"/>
      <c r="G206" s="117">
        <f t="shared" si="72"/>
        <v>1</v>
      </c>
      <c r="H206" s="117"/>
      <c r="I206" s="117"/>
      <c r="J206" s="117">
        <f t="shared" si="73"/>
        <v>0.66821</v>
      </c>
      <c r="K206" s="117"/>
      <c r="L206" s="117"/>
      <c r="M206" s="117">
        <f t="shared" si="74"/>
        <v>0.33179</v>
      </c>
      <c r="N206" s="77"/>
      <c r="O206" s="118"/>
      <c r="P206" s="118"/>
      <c r="Q206" s="109"/>
      <c r="R206" s="77"/>
    </row>
    <row r="207" spans="1:18" ht="14.25" customHeight="1">
      <c r="A207" s="82" t="s">
        <v>735</v>
      </c>
      <c r="B207" s="116">
        <v>4</v>
      </c>
      <c r="C207" s="77" t="str">
        <f>+'E-ALL'!C18</f>
        <v>Jurisdictional 4-Factor Ratio</v>
      </c>
      <c r="F207" s="77"/>
      <c r="G207" s="117">
        <f t="shared" si="72"/>
        <v>1</v>
      </c>
      <c r="H207" s="117"/>
      <c r="I207" s="117"/>
      <c r="J207" s="117">
        <f t="shared" si="73"/>
        <v>0.65097</v>
      </c>
      <c r="K207" s="117"/>
      <c r="L207" s="117"/>
      <c r="M207" s="117">
        <f t="shared" si="74"/>
        <v>0.34903</v>
      </c>
      <c r="N207" s="77"/>
      <c r="O207" s="118"/>
      <c r="P207" s="118"/>
      <c r="Q207" s="109"/>
      <c r="R207" s="77"/>
    </row>
    <row r="208" spans="1:18" ht="14.25" customHeight="1">
      <c r="A208" s="82" t="s">
        <v>735</v>
      </c>
      <c r="B208" s="116">
        <v>12</v>
      </c>
      <c r="C208" s="77" t="str">
        <f>+'E-ALL'!C116</f>
        <v>Net Electric Plant</v>
      </c>
      <c r="F208" s="77"/>
      <c r="G208" s="117">
        <f t="shared" si="72"/>
        <v>1</v>
      </c>
      <c r="H208" s="117"/>
      <c r="I208" s="117"/>
      <c r="J208" s="117">
        <f t="shared" si="73"/>
        <v>0.63522</v>
      </c>
      <c r="K208" s="117"/>
      <c r="L208" s="117"/>
      <c r="M208" s="117">
        <f t="shared" si="74"/>
        <v>0.36478</v>
      </c>
      <c r="N208" s="77"/>
      <c r="O208" s="118"/>
      <c r="P208" s="118"/>
      <c r="Q208" s="109"/>
      <c r="R208" s="77"/>
    </row>
    <row r="209" spans="1:18" ht="14.25" customHeight="1">
      <c r="A209" s="82" t="s">
        <v>735</v>
      </c>
      <c r="B209" s="116">
        <v>99</v>
      </c>
      <c r="C209" s="77" t="str">
        <f>'E-ALL'!C128</f>
        <v>Not Allocated</v>
      </c>
      <c r="F209" s="77"/>
      <c r="G209" s="117">
        <f t="shared" si="72"/>
        <v>0</v>
      </c>
      <c r="H209" s="117"/>
      <c r="I209" s="117"/>
      <c r="J209" s="117">
        <f t="shared" si="73"/>
        <v>0</v>
      </c>
      <c r="K209" s="117"/>
      <c r="L209" s="117"/>
      <c r="M209" s="117">
        <f t="shared" si="74"/>
        <v>0</v>
      </c>
      <c r="N209" s="77"/>
      <c r="O209" s="118"/>
      <c r="P209" s="118"/>
      <c r="Q209" s="109"/>
      <c r="R209" s="77"/>
    </row>
    <row r="210" spans="1:18" ht="14.25" customHeight="1">
      <c r="A210" s="82"/>
      <c r="B210" s="116"/>
      <c r="C210" s="77"/>
      <c r="F210" s="77"/>
      <c r="G210" s="117"/>
      <c r="H210" s="117"/>
      <c r="I210" s="117"/>
      <c r="J210" s="117"/>
      <c r="K210" s="117"/>
      <c r="L210" s="117"/>
      <c r="M210" s="117"/>
      <c r="N210" s="77"/>
      <c r="O210" s="103"/>
      <c r="P210" s="103"/>
      <c r="Q210" s="103"/>
      <c r="R210" s="77"/>
    </row>
  </sheetData>
  <printOptions/>
  <pageMargins left="0.51" right="0.68" top="0.64" bottom="0.52" header="0.5" footer="0.5"/>
  <pageSetup fitToWidth="2" horizontalDpi="300" verticalDpi="300" orientation="landscape" scale="65" r:id="rId3"/>
  <headerFooter alignWithMargins="0">
    <oddHeader>&amp;LAVISTA UTILITIES&amp;CRESULTS OF OPERATIONS&amp;RRUN DATE: &amp;D</oddHeader>
    <oddFooter>&amp;CPage &amp;P</oddFooter>
  </headerFooter>
  <rowBreaks count="4" manualBreakCount="4">
    <brk id="45" max="255" man="1"/>
    <brk id="84" max="255" man="1"/>
    <brk id="126" max="255" man="1"/>
    <brk id="167" max="255" man="1"/>
  </rowBreaks>
  <legacyDrawing r:id="rId2"/>
</worksheet>
</file>

<file path=xl/worksheets/sheet10.xml><?xml version="1.0" encoding="utf-8"?>
<worksheet xmlns="http://schemas.openxmlformats.org/spreadsheetml/2006/main" xmlns:r="http://schemas.openxmlformats.org/officeDocument/2006/relationships">
  <sheetPr codeName="Sheet8">
    <pageSetUpPr fitToPage="1"/>
  </sheetPr>
  <dimension ref="A2:R34"/>
  <sheetViews>
    <sheetView workbookViewId="0" topLeftCell="A1">
      <pane xSplit="5" ySplit="6" topLeftCell="F7" activePane="bottomRight" state="frozen"/>
      <selection pane="topLeft" activeCell="H8" sqref="H8"/>
      <selection pane="topRight" activeCell="H8" sqref="H8"/>
      <selection pane="bottomLeft" activeCell="H8" sqref="H8"/>
      <selection pane="bottomRight" activeCell="F7" sqref="F7"/>
    </sheetView>
  </sheetViews>
  <sheetFormatPr defaultColWidth="9.00390625" defaultRowHeight="12.75"/>
  <cols>
    <col min="1" max="2" width="10.875" style="4" customWidth="1"/>
    <col min="3" max="14" width="15.875" style="4" customWidth="1"/>
    <col min="15" max="16384" width="9.375" style="4" customWidth="1"/>
  </cols>
  <sheetData>
    <row r="2" spans="1:8" ht="12.75">
      <c r="A2" s="6" t="s">
        <v>355</v>
      </c>
      <c r="B2" s="7"/>
      <c r="C2" s="8"/>
      <c r="D2" s="9"/>
      <c r="E2" s="10" t="s">
        <v>725</v>
      </c>
      <c r="F2" s="3"/>
      <c r="G2" s="3"/>
      <c r="H2" s="3"/>
    </row>
    <row r="3" spans="1:8" ht="12.75">
      <c r="A3" s="14" t="str">
        <f>tp_heading</f>
        <v>For Twelve Months Ended September 30, 2008</v>
      </c>
      <c r="D3" s="12"/>
      <c r="E3" s="13" t="str">
        <f>"E-FIT-"&amp;months&amp;rbcalc</f>
        <v>E-FIT-12A</v>
      </c>
      <c r="F3" s="3"/>
      <c r="G3" s="3"/>
      <c r="H3" s="3"/>
    </row>
    <row r="4" spans="1:8" ht="12.75">
      <c r="A4" s="16" t="str">
        <f>rbcalc_heading</f>
        <v>Average of Monthly Averages Basis</v>
      </c>
      <c r="B4" s="17"/>
      <c r="C4" s="18"/>
      <c r="D4" s="19"/>
      <c r="E4" s="20"/>
      <c r="F4" s="3"/>
      <c r="G4" s="3"/>
      <c r="H4" s="3"/>
    </row>
    <row r="5" spans="1:9" ht="12.75">
      <c r="A5" s="21" t="s">
        <v>2</v>
      </c>
      <c r="B5" s="22"/>
      <c r="C5" s="21" t="s">
        <v>844</v>
      </c>
      <c r="D5" s="18"/>
      <c r="E5" s="18"/>
      <c r="F5" s="21" t="s">
        <v>878</v>
      </c>
      <c r="G5" s="21" t="s">
        <v>861</v>
      </c>
      <c r="H5" s="21" t="s">
        <v>862</v>
      </c>
      <c r="I5" s="23"/>
    </row>
    <row r="6" spans="1:9" ht="12.75">
      <c r="A6" s="1"/>
      <c r="B6" s="2"/>
      <c r="F6" s="3"/>
      <c r="G6" s="3"/>
      <c r="H6" s="3"/>
      <c r="I6" s="26"/>
    </row>
    <row r="7" spans="2:11" ht="14.25" customHeight="1">
      <c r="B7" s="2"/>
      <c r="C7" s="3" t="s">
        <v>356</v>
      </c>
      <c r="F7" s="3"/>
      <c r="G7" s="3"/>
      <c r="H7" s="3"/>
      <c r="I7" s="26"/>
      <c r="J7" s="3"/>
      <c r="K7" s="3"/>
    </row>
    <row r="8" spans="1:11" ht="14.25" customHeight="1">
      <c r="A8" s="1" t="s">
        <v>737</v>
      </c>
      <c r="B8" s="2"/>
      <c r="C8" s="3" t="s">
        <v>357</v>
      </c>
      <c r="F8" s="3">
        <f>'Electric Operations - IS'!H26</f>
        <v>871907148</v>
      </c>
      <c r="G8" s="3">
        <f>'Electric Operations - IS'!K26</f>
        <v>571700512</v>
      </c>
      <c r="H8" s="3">
        <f>'Electric Operations - IS'!N26</f>
        <v>300206636</v>
      </c>
      <c r="I8" s="26"/>
      <c r="J8" s="3"/>
      <c r="K8" s="3"/>
    </row>
    <row r="9" spans="1:11" ht="14.25" customHeight="1">
      <c r="A9" s="1"/>
      <c r="B9" s="2"/>
      <c r="C9" s="3"/>
      <c r="F9" s="3"/>
      <c r="G9" s="3"/>
      <c r="H9" s="3"/>
      <c r="I9" s="26"/>
      <c r="J9" s="3"/>
      <c r="K9" s="3"/>
    </row>
    <row r="10" spans="1:11" ht="14.25" customHeight="1">
      <c r="A10" s="1" t="s">
        <v>737</v>
      </c>
      <c r="B10" s="2"/>
      <c r="C10" s="3" t="s">
        <v>358</v>
      </c>
      <c r="F10" s="3">
        <f>'Electric Operations - IS'!H84+'Electric Operations - IS'!H103+'Electric Operations - IS'!H150+'Electric Operations - IS'!H161+'Electric Operations - IS'!H167+'Electric Operations - IS'!H174+'Electric Operations - IS'!H189</f>
        <v>611551766</v>
      </c>
      <c r="G10" s="3">
        <f>'Electric Operations - IS'!K84+'Electric Operations - IS'!K103+'Electric Operations - IS'!K150+'Electric Operations - IS'!K161+'Electric Operations - IS'!K167+'Electric Operations - IS'!K174+'Electric Operations - IS'!K189</f>
        <v>395917387</v>
      </c>
      <c r="H10" s="3">
        <f>'Electric Operations - IS'!N84+'Electric Operations - IS'!N103+'Electric Operations - IS'!N150+'Electric Operations - IS'!N161+'Electric Operations - IS'!N167+'Electric Operations - IS'!N174+'Electric Operations - IS'!N189</f>
        <v>215634379</v>
      </c>
      <c r="I10" s="26"/>
      <c r="J10" s="3"/>
      <c r="K10" s="3"/>
    </row>
    <row r="11" spans="1:11" ht="14.25" customHeight="1">
      <c r="A11" s="1"/>
      <c r="B11" s="2"/>
      <c r="C11" s="3"/>
      <c r="F11" s="3"/>
      <c r="G11" s="3"/>
      <c r="H11" s="3"/>
      <c r="I11" s="26"/>
      <c r="J11" s="3"/>
      <c r="K11" s="3"/>
    </row>
    <row r="12" spans="1:11" ht="14.25" customHeight="1">
      <c r="A12" s="1" t="s">
        <v>737</v>
      </c>
      <c r="B12" s="2"/>
      <c r="C12" s="3" t="s">
        <v>359</v>
      </c>
      <c r="F12" s="3">
        <f>SUM('Electric Operations - IS'!H105:H123)+'Electric Operations - IS'!H151+'Electric Operations - IS'!H191+'Electric Operations - IS'!H192+'Electric Operations - IS'!H193</f>
        <v>68880762</v>
      </c>
      <c r="G12" s="3">
        <f>SUM('Electric Operations - IS'!K105:K123)+'Electric Operations - IS'!K151+'Electric Operations - IS'!K191+'Electric Operations - IS'!K192+'Electric Operations - IS'!K193</f>
        <v>45295232</v>
      </c>
      <c r="H12" s="3">
        <f>SUM('Electric Operations - IS'!N105:N123)+'Electric Operations - IS'!N151+'Electric Operations - IS'!N191+'Electric Operations - IS'!N192+'Electric Operations - IS'!N193</f>
        <v>23585530</v>
      </c>
      <c r="I12" s="26"/>
      <c r="J12" s="3"/>
      <c r="K12" s="3"/>
    </row>
    <row r="13" spans="1:11" ht="14.25" customHeight="1">
      <c r="A13" s="1"/>
      <c r="B13" s="2"/>
      <c r="C13" s="3"/>
      <c r="F13" s="3"/>
      <c r="G13" s="3"/>
      <c r="H13" s="3"/>
      <c r="I13" s="26"/>
      <c r="J13" s="3"/>
      <c r="K13" s="3"/>
    </row>
    <row r="14" spans="1:11" ht="14.25" customHeight="1">
      <c r="A14" s="1" t="s">
        <v>749</v>
      </c>
      <c r="B14" s="2"/>
      <c r="C14" s="3" t="s">
        <v>360</v>
      </c>
      <c r="F14" s="3">
        <f>'E-OTX'!H24</f>
        <v>51186661</v>
      </c>
      <c r="G14" s="3">
        <f>'E-OTX'!K24</f>
        <v>42120860</v>
      </c>
      <c r="H14" s="3">
        <f>'E-OTX'!N24</f>
        <v>9065801</v>
      </c>
      <c r="I14" s="26"/>
      <c r="J14" s="3"/>
      <c r="K14" s="3"/>
    </row>
    <row r="15" spans="1:11" ht="14.25" customHeight="1">
      <c r="A15" s="1"/>
      <c r="B15" s="2"/>
      <c r="C15" s="3" t="s">
        <v>361</v>
      </c>
      <c r="F15" s="35">
        <f>F8-F10-F12-F14</f>
        <v>140287959</v>
      </c>
      <c r="G15" s="35">
        <f>G8-G10-G12-G14</f>
        <v>88367033</v>
      </c>
      <c r="H15" s="35">
        <f>H8-H10-H12-H14</f>
        <v>51920926</v>
      </c>
      <c r="I15" s="26"/>
      <c r="J15" s="3"/>
      <c r="K15" s="3"/>
    </row>
    <row r="16" spans="1:11" ht="14.25" customHeight="1">
      <c r="A16" s="1"/>
      <c r="B16" s="25"/>
      <c r="C16" s="3"/>
      <c r="F16" s="3"/>
      <c r="G16" s="3"/>
      <c r="H16" s="3"/>
      <c r="I16" s="26"/>
      <c r="J16" s="3"/>
      <c r="K16" s="3"/>
    </row>
    <row r="17" spans="1:11" ht="14.25" customHeight="1">
      <c r="A17" s="1" t="s">
        <v>766</v>
      </c>
      <c r="B17" s="29"/>
      <c r="C17" s="3" t="str">
        <f>IF(E3="E-FIT-1A","Less: Monthly Interest Expense","Less: Interest Expense")</f>
        <v>Less: Interest Expense</v>
      </c>
      <c r="F17" s="3">
        <f>IF($E3="E-FIT-1A",ROUND(+'E-INT'!E23/12,0),+'E-INT'!E23)</f>
        <v>57519677</v>
      </c>
      <c r="G17" s="3">
        <f>IF($E3="E-FIT-1A",ROUND(+'E-INT'!F23/12,0),+'E-INT'!F23)</f>
        <v>32792964</v>
      </c>
      <c r="H17" s="3">
        <f>IF($E3="E-FIT-1A",ROUND(+'E-INT'!G23/12,0),+'E-INT'!G23)</f>
        <v>24726713</v>
      </c>
      <c r="I17" s="26"/>
      <c r="J17" s="3"/>
      <c r="K17" s="3"/>
    </row>
    <row r="18" spans="1:11" ht="14.25" customHeight="1">
      <c r="A18" s="1" t="s">
        <v>745</v>
      </c>
      <c r="B18" s="25"/>
      <c r="C18" s="3" t="s">
        <v>362</v>
      </c>
      <c r="F18" s="3">
        <f>'E-SCM'!H84</f>
        <v>63699354</v>
      </c>
      <c r="G18" s="3">
        <f>'E-SCM'!K84</f>
        <v>45243618</v>
      </c>
      <c r="H18" s="3">
        <f>'E-SCM'!N84</f>
        <v>18455736</v>
      </c>
      <c r="I18" s="26"/>
      <c r="J18" s="3"/>
      <c r="K18" s="3"/>
    </row>
    <row r="19" spans="1:11" ht="14.25" customHeight="1">
      <c r="A19" s="1" t="s">
        <v>745</v>
      </c>
      <c r="B19" s="25"/>
      <c r="C19" s="3" t="s">
        <v>363</v>
      </c>
      <c r="F19" s="3">
        <f>'E-SCM'!H100</f>
        <v>88475748</v>
      </c>
      <c r="G19" s="3">
        <f>'E-SCM'!K100</f>
        <v>50150665</v>
      </c>
      <c r="H19" s="3">
        <f>'E-SCM'!N100</f>
        <v>38325083</v>
      </c>
      <c r="I19" s="26"/>
      <c r="J19" s="3"/>
      <c r="K19" s="3"/>
    </row>
    <row r="20" spans="1:18" ht="14.25" customHeight="1">
      <c r="A20" s="1"/>
      <c r="B20" s="25"/>
      <c r="C20" s="3" t="s">
        <v>364</v>
      </c>
      <c r="F20" s="35">
        <f>F15-F17+F18-F19</f>
        <v>57991888</v>
      </c>
      <c r="G20" s="35">
        <f>G15-G17+G18-G19</f>
        <v>50667022</v>
      </c>
      <c r="H20" s="35">
        <f>H15-H17+H18-H19</f>
        <v>7324866</v>
      </c>
      <c r="I20" s="26"/>
      <c r="J20" s="3"/>
      <c r="K20" s="3"/>
      <c r="L20" s="3"/>
      <c r="M20" s="3"/>
      <c r="N20" s="3"/>
      <c r="R20" s="3"/>
    </row>
    <row r="21" spans="1:18" ht="14.25" customHeight="1">
      <c r="A21" s="1"/>
      <c r="B21" s="25"/>
      <c r="C21" s="3"/>
      <c r="F21" s="26"/>
      <c r="G21" s="26"/>
      <c r="H21" s="26"/>
      <c r="I21" s="26"/>
      <c r="J21" s="3"/>
      <c r="K21" s="3"/>
      <c r="L21" s="3"/>
      <c r="M21" s="3"/>
      <c r="N21" s="3"/>
      <c r="R21" s="3"/>
    </row>
    <row r="22" spans="1:18" ht="14.25" customHeight="1">
      <c r="A22" s="1"/>
      <c r="B22" s="25"/>
      <c r="C22" s="3" t="s">
        <v>767</v>
      </c>
      <c r="F22" s="67">
        <v>0.35</v>
      </c>
      <c r="G22" s="67">
        <v>0.35</v>
      </c>
      <c r="H22" s="67">
        <v>0.35</v>
      </c>
      <c r="I22" s="31"/>
      <c r="J22" s="3"/>
      <c r="K22" s="3"/>
      <c r="L22" s="3"/>
      <c r="M22" s="3"/>
      <c r="N22" s="3"/>
      <c r="R22" s="3"/>
    </row>
    <row r="23" spans="1:18" ht="14.25" customHeight="1">
      <c r="A23" s="1"/>
      <c r="B23" s="25"/>
      <c r="C23" s="3" t="s">
        <v>768</v>
      </c>
      <c r="F23" s="35">
        <f>+G23+H23</f>
        <v>20297161</v>
      </c>
      <c r="G23" s="35">
        <f>ROUND(G20*G22,0)</f>
        <v>17733458</v>
      </c>
      <c r="H23" s="35">
        <f>ROUND(H20*H22,0)</f>
        <v>2563703</v>
      </c>
      <c r="I23" s="31"/>
      <c r="J23" s="3"/>
      <c r="K23" s="3"/>
      <c r="L23" s="3"/>
      <c r="M23" s="3"/>
      <c r="N23" s="3"/>
      <c r="R23" s="3"/>
    </row>
    <row r="24" spans="1:18" ht="14.25" customHeight="1">
      <c r="A24" s="1"/>
      <c r="B24" s="25"/>
      <c r="C24" s="3"/>
      <c r="F24" s="67"/>
      <c r="G24" s="67"/>
      <c r="H24" s="67"/>
      <c r="I24" s="31"/>
      <c r="J24" s="3"/>
      <c r="K24" s="3"/>
      <c r="L24" s="3"/>
      <c r="M24" s="3"/>
      <c r="N24" s="3"/>
      <c r="R24" s="3"/>
    </row>
    <row r="25" spans="1:18" ht="14.25" customHeight="1">
      <c r="A25" s="1">
        <v>1</v>
      </c>
      <c r="B25" s="25"/>
      <c r="C25" s="3" t="s">
        <v>216</v>
      </c>
      <c r="F25" s="68">
        <f>IF(E$3="E-FIT-1A",+ProdTaxCredit!E45,ProdTaxCredit!E47)</f>
        <v>-1508534</v>
      </c>
      <c r="G25" s="68">
        <f>ROUND(F25*G32,0)</f>
        <v>-974362</v>
      </c>
      <c r="H25" s="68">
        <f>ROUND(F25*H32,0)</f>
        <v>-534172</v>
      </c>
      <c r="I25" s="3" t="str">
        <f>IF(H25+G25-F25=0," ","ERROR")</f>
        <v> </v>
      </c>
      <c r="J25" s="3"/>
      <c r="K25" s="3"/>
      <c r="L25" s="3"/>
      <c r="M25" s="3"/>
      <c r="N25" s="3"/>
      <c r="R25" s="3"/>
    </row>
    <row r="26" spans="1:18" ht="14.25" customHeight="1">
      <c r="A26" s="1"/>
      <c r="B26" s="24"/>
      <c r="C26" s="3" t="s">
        <v>217</v>
      </c>
      <c r="F26" s="35">
        <f>+G26+H26</f>
        <v>18788627</v>
      </c>
      <c r="G26" s="35">
        <f>+G23+G25</f>
        <v>16759096</v>
      </c>
      <c r="H26" s="35">
        <f>+H23+H25</f>
        <v>2029531</v>
      </c>
      <c r="I26" s="26"/>
      <c r="J26" s="3"/>
      <c r="K26" s="3"/>
      <c r="L26" s="3"/>
      <c r="M26" s="3"/>
      <c r="N26" s="3"/>
      <c r="R26" s="3"/>
    </row>
    <row r="27" spans="1:18" ht="14.25" customHeight="1">
      <c r="A27" s="1"/>
      <c r="B27" s="25"/>
      <c r="C27" s="3"/>
      <c r="F27" s="3"/>
      <c r="G27" s="3"/>
      <c r="H27" s="3"/>
      <c r="I27" s="26"/>
      <c r="J27" s="3"/>
      <c r="K27" s="3"/>
      <c r="L27" s="3"/>
      <c r="M27" s="3"/>
      <c r="N27" s="3"/>
      <c r="R27" s="3"/>
    </row>
    <row r="28" spans="1:18" ht="14.25" customHeight="1">
      <c r="A28" s="1" t="s">
        <v>747</v>
      </c>
      <c r="B28" s="25"/>
      <c r="C28" s="3" t="s">
        <v>365</v>
      </c>
      <c r="F28" s="3">
        <f>'E-DTE'!F18</f>
        <v>10648577</v>
      </c>
      <c r="G28" s="3">
        <f>'E-DTE'!G18</f>
        <v>3070369</v>
      </c>
      <c r="H28" s="3">
        <f>'E-DTE'!H18</f>
        <v>7578208</v>
      </c>
      <c r="I28" s="26"/>
      <c r="J28" s="3"/>
      <c r="K28" s="3"/>
      <c r="L28" s="3"/>
      <c r="M28" s="3"/>
      <c r="N28" s="3"/>
      <c r="R28" s="3"/>
    </row>
    <row r="29" spans="1:18" ht="14.25" customHeight="1">
      <c r="A29" s="1"/>
      <c r="B29" s="2"/>
      <c r="C29" s="3" t="s">
        <v>933</v>
      </c>
      <c r="F29" s="27">
        <f>SUM(F26:F28)</f>
        <v>29437204</v>
      </c>
      <c r="G29" s="27">
        <f>SUM(G26:G28)</f>
        <v>19829465</v>
      </c>
      <c r="H29" s="27">
        <f>SUM(H26:H28)</f>
        <v>9607739</v>
      </c>
      <c r="I29" s="3" t="str">
        <f>IF(H29+G29-F29=0," ","ERROR")</f>
        <v> </v>
      </c>
      <c r="J29" s="3"/>
      <c r="K29" s="3"/>
      <c r="L29" s="3"/>
      <c r="M29" s="3"/>
      <c r="N29" s="3"/>
      <c r="R29" s="3"/>
    </row>
    <row r="30" spans="1:18" ht="14.25" customHeight="1">
      <c r="A30" s="1"/>
      <c r="B30" s="2"/>
      <c r="C30" s="3"/>
      <c r="F30" s="3"/>
      <c r="G30" s="3"/>
      <c r="H30" s="3"/>
      <c r="I30" s="26"/>
      <c r="J30" s="3"/>
      <c r="K30" s="3"/>
      <c r="L30" s="3"/>
      <c r="M30" s="3"/>
      <c r="N30" s="3"/>
      <c r="R30" s="3"/>
    </row>
    <row r="31" spans="1:18" ht="14.25" customHeight="1">
      <c r="A31" s="3" t="s">
        <v>341</v>
      </c>
      <c r="B31" s="2"/>
      <c r="C31" s="3"/>
      <c r="F31" s="3"/>
      <c r="G31" s="3"/>
      <c r="H31" s="3"/>
      <c r="I31" s="3"/>
      <c r="J31" s="3"/>
      <c r="K31" s="3"/>
      <c r="L31" s="3"/>
      <c r="M31" s="3"/>
      <c r="N31" s="3"/>
      <c r="R31" s="3"/>
    </row>
    <row r="32" spans="1:18" ht="14.25" customHeight="1">
      <c r="A32" s="1" t="s">
        <v>735</v>
      </c>
      <c r="B32" s="29">
        <v>1</v>
      </c>
      <c r="C32" s="3" t="str">
        <f>+'E-ALL'!C7</f>
        <v>Production/Transmission  Ratio</v>
      </c>
      <c r="F32" s="30">
        <f>VLOOKUP(B32,Allocators,6)</f>
        <v>1</v>
      </c>
      <c r="G32" s="30">
        <f>VLOOKUP(B32,Allocators,7)</f>
        <v>0.6459</v>
      </c>
      <c r="H32" s="30">
        <f>VLOOKUP(B32,Allocators,8)</f>
        <v>0.3541</v>
      </c>
      <c r="I32" s="3"/>
      <c r="J32" s="3"/>
      <c r="K32" s="3"/>
      <c r="L32" s="3"/>
      <c r="M32" s="3"/>
      <c r="N32" s="3"/>
      <c r="R32" s="3"/>
    </row>
    <row r="33" spans="1:18" ht="14.25" customHeight="1">
      <c r="A33" s="1" t="s">
        <v>735</v>
      </c>
      <c r="B33" s="29">
        <v>99</v>
      </c>
      <c r="C33" s="3" t="str">
        <f>'E-ALL'!C128</f>
        <v>Not Allocated</v>
      </c>
      <c r="F33" s="30">
        <f>VLOOKUP(B33,Allocators,6)</f>
        <v>0</v>
      </c>
      <c r="G33" s="30">
        <f>VLOOKUP(B33,Allocators,7)</f>
        <v>0</v>
      </c>
      <c r="H33" s="30">
        <f>VLOOKUP(B33,Allocators,8)</f>
        <v>0</v>
      </c>
      <c r="I33" s="30"/>
      <c r="K33" s="30"/>
      <c r="L33" s="30"/>
      <c r="N33" s="30"/>
      <c r="R33" s="3"/>
    </row>
    <row r="34" spans="1:18" ht="14.25" customHeight="1">
      <c r="A34" s="1"/>
      <c r="B34" s="2"/>
      <c r="C34" s="3"/>
      <c r="F34" s="3"/>
      <c r="G34" s="3"/>
      <c r="H34" s="3"/>
      <c r="I34" s="3"/>
      <c r="J34" s="3"/>
      <c r="K34" s="3"/>
      <c r="L34" s="3"/>
      <c r="M34" s="3"/>
      <c r="N34" s="3"/>
      <c r="R34" s="3"/>
    </row>
  </sheetData>
  <printOptions/>
  <pageMargins left="0.75" right="0.75" top="1" bottom="1" header="0.5" footer="0.5"/>
  <pageSetup fitToHeight="1" fitToWidth="1" horizontalDpi="300" verticalDpi="300" orientation="landscape" scale="92" r:id="rId1"/>
  <headerFooter alignWithMargins="0">
    <oddHeader>&amp;LAVISTA UTILITIES&amp;CRESULTS OF OPERATIONS&amp;RRUN DATE: &amp;D</oddHeader>
    <oddFooter>&amp;CPage &amp;P</oddFooter>
  </headerFooter>
</worksheet>
</file>

<file path=xl/worksheets/sheet11.xml><?xml version="1.0" encoding="utf-8"?>
<worksheet xmlns="http://schemas.openxmlformats.org/spreadsheetml/2006/main" xmlns:r="http://schemas.openxmlformats.org/officeDocument/2006/relationships">
  <sheetPr codeName="Sheet9">
    <pageSetUpPr fitToPage="1"/>
  </sheetPr>
  <dimension ref="A1:O111"/>
  <sheetViews>
    <sheetView workbookViewId="0" topLeftCell="A1">
      <pane xSplit="5" ySplit="7" topLeftCell="F8" activePane="bottomRight" state="frozen"/>
      <selection pane="topLeft" activeCell="H8" sqref="H8"/>
      <selection pane="topRight" activeCell="H8" sqref="H8"/>
      <selection pane="bottomLeft" activeCell="H8" sqref="H8"/>
      <selection pane="bottomRight" activeCell="F8" sqref="F8"/>
    </sheetView>
  </sheetViews>
  <sheetFormatPr defaultColWidth="9.00390625" defaultRowHeight="12.75"/>
  <cols>
    <col min="1" max="1" width="9.375" style="84" customWidth="1"/>
    <col min="2" max="2" width="9.875" style="84" customWidth="1"/>
    <col min="3" max="3" width="15.875" style="84" customWidth="1"/>
    <col min="4" max="4" width="14.875" style="84" customWidth="1"/>
    <col min="5" max="5" width="15.50390625" style="84" bestFit="1" customWidth="1"/>
    <col min="6" max="14" width="15.375" style="84" customWidth="1"/>
    <col min="15" max="15" width="7.625" style="84" customWidth="1"/>
    <col min="16" max="16384" width="9.375" style="84" customWidth="1"/>
  </cols>
  <sheetData>
    <row r="1" spans="1:14" ht="14.25">
      <c r="A1" s="82"/>
      <c r="B1" s="83"/>
      <c r="C1" s="77"/>
      <c r="F1" s="77"/>
      <c r="G1" s="77"/>
      <c r="H1" s="77"/>
      <c r="I1" s="77"/>
      <c r="J1" s="77"/>
      <c r="K1" s="77"/>
      <c r="L1" s="77"/>
      <c r="M1" s="77"/>
      <c r="N1" s="77"/>
    </row>
    <row r="2" spans="1:14" ht="14.25">
      <c r="A2" s="85" t="s">
        <v>366</v>
      </c>
      <c r="B2" s="86"/>
      <c r="C2" s="87"/>
      <c r="D2" s="88"/>
      <c r="E2" s="89" t="s">
        <v>725</v>
      </c>
      <c r="F2" s="77"/>
      <c r="G2" s="90" t="str">
        <f>IF(H$84=0,+M84+J84-G84," ")</f>
        <v> </v>
      </c>
      <c r="H2" s="90" t="str">
        <f>IF(H$84=0,+#REF!+#REF!-#REF!," ")</f>
        <v> </v>
      </c>
      <c r="I2" s="77"/>
      <c r="J2" s="77"/>
      <c r="K2" s="77"/>
      <c r="L2" s="77"/>
      <c r="M2" s="77"/>
      <c r="N2" s="77"/>
    </row>
    <row r="3" spans="1:14" ht="14.25">
      <c r="A3" s="91" t="str">
        <f>tp_heading</f>
        <v>For Twelve Months Ended September 30, 2008</v>
      </c>
      <c r="D3" s="92"/>
      <c r="E3" s="93" t="str">
        <f>"E-SCM-"&amp;months&amp;rbcalc</f>
        <v>E-SCM-12A</v>
      </c>
      <c r="F3" s="77"/>
      <c r="G3" s="77"/>
      <c r="H3" s="77"/>
      <c r="I3" s="77"/>
      <c r="J3" s="77"/>
      <c r="K3" s="77"/>
      <c r="L3" s="77"/>
      <c r="M3" s="77"/>
      <c r="N3" s="77"/>
    </row>
    <row r="4" spans="1:14" ht="14.25">
      <c r="A4" s="94" t="str">
        <f>rbcalc_heading</f>
        <v>Average of Monthly Averages Basis</v>
      </c>
      <c r="B4" s="95"/>
      <c r="C4" s="96"/>
      <c r="D4" s="97"/>
      <c r="E4" s="98"/>
      <c r="F4" s="77" t="s">
        <v>921</v>
      </c>
      <c r="G4" s="77"/>
      <c r="H4" s="77"/>
      <c r="I4" s="77" t="s">
        <v>0</v>
      </c>
      <c r="J4" s="77"/>
      <c r="K4" s="77"/>
      <c r="L4" s="77" t="s">
        <v>570</v>
      </c>
      <c r="M4" s="77"/>
      <c r="N4" s="77"/>
    </row>
    <row r="5" spans="1:14" ht="14.25">
      <c r="A5" s="99" t="s">
        <v>2</v>
      </c>
      <c r="B5" s="100"/>
      <c r="C5" s="99" t="s">
        <v>844</v>
      </c>
      <c r="D5" s="96"/>
      <c r="E5" s="96"/>
      <c r="F5" s="99" t="s">
        <v>3</v>
      </c>
      <c r="G5" s="99" t="s">
        <v>4</v>
      </c>
      <c r="H5" s="99" t="s">
        <v>891</v>
      </c>
      <c r="I5" s="99" t="s">
        <v>3</v>
      </c>
      <c r="J5" s="99" t="s">
        <v>4</v>
      </c>
      <c r="K5" s="99" t="s">
        <v>891</v>
      </c>
      <c r="L5" s="99" t="s">
        <v>3</v>
      </c>
      <c r="M5" s="99" t="s">
        <v>4</v>
      </c>
      <c r="N5" s="99" t="s">
        <v>891</v>
      </c>
    </row>
    <row r="6" spans="1:14" ht="14.25">
      <c r="A6" s="101"/>
      <c r="B6" s="102"/>
      <c r="C6" s="101"/>
      <c r="D6" s="103"/>
      <c r="E6" s="103"/>
      <c r="F6" s="101"/>
      <c r="G6" s="101"/>
      <c r="H6" s="239"/>
      <c r="I6" s="101"/>
      <c r="J6" s="101"/>
      <c r="K6" s="239"/>
      <c r="L6" s="101"/>
      <c r="M6" s="101"/>
      <c r="N6" s="101"/>
    </row>
    <row r="7" spans="1:14" ht="16.5" customHeight="1">
      <c r="A7" s="82"/>
      <c r="B7" s="83"/>
      <c r="C7" s="84" t="s">
        <v>367</v>
      </c>
      <c r="F7" s="77"/>
      <c r="G7" s="77"/>
      <c r="H7" s="78"/>
      <c r="I7" s="77"/>
      <c r="J7" s="77"/>
      <c r="K7" s="78"/>
      <c r="L7" s="77"/>
      <c r="M7" s="77"/>
      <c r="N7" s="77"/>
    </row>
    <row r="8" spans="1:15" ht="16.5" customHeight="1">
      <c r="A8" s="82">
        <v>12</v>
      </c>
      <c r="B8" s="116">
        <v>997001</v>
      </c>
      <c r="C8" s="77" t="s">
        <v>702</v>
      </c>
      <c r="F8" s="77">
        <f>I8+L8</f>
        <v>0</v>
      </c>
      <c r="G8" s="77">
        <f>-Data!H153</f>
        <v>6319513</v>
      </c>
      <c r="H8" s="78">
        <f>F8+G8</f>
        <v>6319513</v>
      </c>
      <c r="I8" s="77">
        <v>0</v>
      </c>
      <c r="J8" s="77">
        <f aca="true" t="shared" si="0" ref="J8:J13">G8*VLOOKUP(A8,Allocators,7)</f>
        <v>4014281</v>
      </c>
      <c r="K8" s="78">
        <f>I8+J8</f>
        <v>4014281</v>
      </c>
      <c r="L8" s="77">
        <v>0</v>
      </c>
      <c r="M8" s="77">
        <f aca="true" t="shared" si="1" ref="M8:M13">G8*VLOOKUP(A8,Allocators,8)</f>
        <v>2305232</v>
      </c>
      <c r="N8" s="77">
        <f>L8+M8</f>
        <v>2305232</v>
      </c>
      <c r="O8" s="77" t="str">
        <f aca="true" t="shared" si="2" ref="O8:O40">IF(H8-K8-N8=0," ",+H8-K8-N8)</f>
        <v> </v>
      </c>
    </row>
    <row r="9" spans="1:15" ht="16.5" customHeight="1">
      <c r="A9" s="82">
        <v>2</v>
      </c>
      <c r="B9" s="116">
        <v>997002</v>
      </c>
      <c r="C9" s="77" t="s">
        <v>310</v>
      </c>
      <c r="F9" s="77">
        <f aca="true" t="shared" si="3" ref="F9:F15">I9+L9</f>
        <v>0</v>
      </c>
      <c r="G9" s="77">
        <f>-Data!H154</f>
        <v>160500</v>
      </c>
      <c r="H9" s="78">
        <f aca="true" t="shared" si="4" ref="H9:H15">F9+G9</f>
        <v>160500</v>
      </c>
      <c r="I9" s="77">
        <v>0</v>
      </c>
      <c r="J9" s="77">
        <f t="shared" si="0"/>
        <v>105542</v>
      </c>
      <c r="K9" s="78">
        <f aca="true" t="shared" si="5" ref="K9:K15">I9+J9</f>
        <v>105542</v>
      </c>
      <c r="L9" s="77">
        <v>0</v>
      </c>
      <c r="M9" s="77">
        <f t="shared" si="1"/>
        <v>54958</v>
      </c>
      <c r="N9" s="77">
        <f aca="true" t="shared" si="6" ref="N9:N15">L9+M9</f>
        <v>54958</v>
      </c>
      <c r="O9" s="77" t="str">
        <f t="shared" si="2"/>
        <v> </v>
      </c>
    </row>
    <row r="10" spans="1:15" ht="16.5" customHeight="1">
      <c r="A10" s="82">
        <v>12</v>
      </c>
      <c r="B10" s="116">
        <v>997003</v>
      </c>
      <c r="C10" s="77" t="s">
        <v>699</v>
      </c>
      <c r="F10" s="77">
        <f t="shared" si="3"/>
        <v>0</v>
      </c>
      <c r="G10" s="77">
        <f>-Data!H155</f>
        <v>-293034</v>
      </c>
      <c r="H10" s="78">
        <f t="shared" si="4"/>
        <v>-293034</v>
      </c>
      <c r="I10" s="77">
        <v>0</v>
      </c>
      <c r="J10" s="77">
        <f t="shared" si="0"/>
        <v>-186141</v>
      </c>
      <c r="K10" s="78">
        <f t="shared" si="5"/>
        <v>-186141</v>
      </c>
      <c r="L10" s="77">
        <v>0</v>
      </c>
      <c r="M10" s="77">
        <f t="shared" si="1"/>
        <v>-106893</v>
      </c>
      <c r="N10" s="77">
        <f t="shared" si="6"/>
        <v>-106893</v>
      </c>
      <c r="O10" s="77" t="str">
        <f t="shared" si="2"/>
        <v> </v>
      </c>
    </row>
    <row r="11" spans="1:15" ht="16.5" customHeight="1">
      <c r="A11" s="82">
        <v>99</v>
      </c>
      <c r="B11" s="116">
        <v>997004</v>
      </c>
      <c r="C11" s="77" t="s">
        <v>189</v>
      </c>
      <c r="F11" s="77">
        <f>I11+L11</f>
        <v>-103624</v>
      </c>
      <c r="G11" s="77">
        <v>0</v>
      </c>
      <c r="H11" s="78">
        <f>F11+G11</f>
        <v>-103624</v>
      </c>
      <c r="I11" s="77">
        <v>0</v>
      </c>
      <c r="J11" s="77">
        <f t="shared" si="0"/>
        <v>0</v>
      </c>
      <c r="K11" s="78">
        <f>I11+J11</f>
        <v>0</v>
      </c>
      <c r="L11" s="77">
        <f>-Data!H156</f>
        <v>-103624</v>
      </c>
      <c r="M11" s="77">
        <f t="shared" si="1"/>
        <v>0</v>
      </c>
      <c r="N11" s="77">
        <f>L11+M11</f>
        <v>-103624</v>
      </c>
      <c r="O11" s="77" t="str">
        <f>IF(H11-K11-N11=0," ",+H11-K11-N11)</f>
        <v> </v>
      </c>
    </row>
    <row r="12" spans="1:15" ht="16.5" customHeight="1">
      <c r="A12" s="82">
        <v>4</v>
      </c>
      <c r="B12" s="116">
        <v>997005</v>
      </c>
      <c r="C12" s="77" t="s">
        <v>682</v>
      </c>
      <c r="F12" s="77">
        <f t="shared" si="3"/>
        <v>0</v>
      </c>
      <c r="G12" s="77">
        <f>-Data!H157</f>
        <v>-1149089</v>
      </c>
      <c r="H12" s="78">
        <f t="shared" si="4"/>
        <v>-1149089</v>
      </c>
      <c r="I12" s="77">
        <v>0</v>
      </c>
      <c r="J12" s="77">
        <f t="shared" si="0"/>
        <v>-748022</v>
      </c>
      <c r="K12" s="78">
        <f t="shared" si="5"/>
        <v>-748022</v>
      </c>
      <c r="L12" s="77">
        <v>0</v>
      </c>
      <c r="M12" s="77">
        <f t="shared" si="1"/>
        <v>-401067</v>
      </c>
      <c r="N12" s="77">
        <f t="shared" si="6"/>
        <v>-401067</v>
      </c>
      <c r="O12" s="77" t="str">
        <f t="shared" si="2"/>
        <v> </v>
      </c>
    </row>
    <row r="13" spans="1:15" ht="16.5" customHeight="1">
      <c r="A13" s="82">
        <v>4</v>
      </c>
      <c r="B13" s="116">
        <v>997006</v>
      </c>
      <c r="C13" s="77" t="s">
        <v>683</v>
      </c>
      <c r="F13" s="77">
        <f t="shared" si="3"/>
        <v>0</v>
      </c>
      <c r="G13" s="77">
        <f>-Data!H158</f>
        <v>0</v>
      </c>
      <c r="H13" s="78">
        <f t="shared" si="4"/>
        <v>0</v>
      </c>
      <c r="I13" s="77">
        <v>0</v>
      </c>
      <c r="J13" s="77">
        <f t="shared" si="0"/>
        <v>0</v>
      </c>
      <c r="K13" s="78">
        <f t="shared" si="5"/>
        <v>0</v>
      </c>
      <c r="L13" s="77">
        <v>0</v>
      </c>
      <c r="M13" s="77">
        <f t="shared" si="1"/>
        <v>0</v>
      </c>
      <c r="N13" s="77">
        <f t="shared" si="6"/>
        <v>0</v>
      </c>
      <c r="O13" s="77" t="str">
        <f t="shared" si="2"/>
        <v> </v>
      </c>
    </row>
    <row r="14" spans="1:15" ht="16.5" customHeight="1">
      <c r="A14" s="82">
        <v>99</v>
      </c>
      <c r="B14" s="116">
        <v>997007</v>
      </c>
      <c r="C14" s="77" t="s">
        <v>700</v>
      </c>
      <c r="F14" s="77">
        <f t="shared" si="3"/>
        <v>-5557383</v>
      </c>
      <c r="G14" s="77">
        <v>0</v>
      </c>
      <c r="H14" s="78">
        <f t="shared" si="4"/>
        <v>-5557383</v>
      </c>
      <c r="I14" s="77">
        <v>0</v>
      </c>
      <c r="J14" s="77">
        <v>0</v>
      </c>
      <c r="K14" s="78">
        <f t="shared" si="5"/>
        <v>0</v>
      </c>
      <c r="L14" s="77">
        <f>-Data!H159</f>
        <v>-5557383</v>
      </c>
      <c r="M14" s="77">
        <v>0</v>
      </c>
      <c r="N14" s="77">
        <f t="shared" si="6"/>
        <v>-5557383</v>
      </c>
      <c r="O14" s="77" t="str">
        <f t="shared" si="2"/>
        <v> </v>
      </c>
    </row>
    <row r="15" spans="1:15" ht="16.5" customHeight="1">
      <c r="A15" s="82">
        <v>99</v>
      </c>
      <c r="B15" s="116">
        <v>997008</v>
      </c>
      <c r="C15" s="77" t="s">
        <v>107</v>
      </c>
      <c r="F15" s="77">
        <f t="shared" si="3"/>
        <v>1280292</v>
      </c>
      <c r="G15" s="77">
        <v>0</v>
      </c>
      <c r="H15" s="78">
        <f t="shared" si="4"/>
        <v>1280292</v>
      </c>
      <c r="I15" s="77">
        <v>0</v>
      </c>
      <c r="J15" s="77">
        <f>G15*VLOOKUP(A15,Allocators,7)</f>
        <v>0</v>
      </c>
      <c r="K15" s="78">
        <f t="shared" si="5"/>
        <v>0</v>
      </c>
      <c r="L15" s="77">
        <f>-Data!H160</f>
        <v>1280292</v>
      </c>
      <c r="M15" s="77">
        <f>G15*VLOOKUP(A15,Allocators,8)</f>
        <v>0</v>
      </c>
      <c r="N15" s="77">
        <f t="shared" si="6"/>
        <v>1280292</v>
      </c>
      <c r="O15" s="77" t="str">
        <f t="shared" si="2"/>
        <v> </v>
      </c>
    </row>
    <row r="16" spans="1:15" ht="16.5" customHeight="1">
      <c r="A16" s="82">
        <v>1</v>
      </c>
      <c r="B16" s="116">
        <v>997009</v>
      </c>
      <c r="C16" s="77" t="s">
        <v>701</v>
      </c>
      <c r="F16" s="77">
        <f aca="true" t="shared" si="7" ref="F16:F23">I16+L16</f>
        <v>0</v>
      </c>
      <c r="G16" s="77">
        <f>-Data!H161</f>
        <v>-33828</v>
      </c>
      <c r="H16" s="78">
        <f aca="true" t="shared" si="8" ref="H16:H40">F16+G16</f>
        <v>-33828</v>
      </c>
      <c r="I16" s="77">
        <v>0</v>
      </c>
      <c r="J16" s="77">
        <f>G16*VLOOKUP(A16,Allocators,7)</f>
        <v>-21850</v>
      </c>
      <c r="K16" s="78">
        <f aca="true" t="shared" si="9" ref="K16:K40">I16+J16</f>
        <v>-21850</v>
      </c>
      <c r="L16" s="77">
        <v>0</v>
      </c>
      <c r="M16" s="77">
        <f>G16*VLOOKUP(A16,Allocators,8)</f>
        <v>-11978</v>
      </c>
      <c r="N16" s="77">
        <f aca="true" t="shared" si="10" ref="N16:N40">L16+M16</f>
        <v>-11978</v>
      </c>
      <c r="O16" s="77" t="str">
        <f t="shared" si="2"/>
        <v> </v>
      </c>
    </row>
    <row r="17" spans="1:15" ht="16.5" customHeight="1">
      <c r="A17" s="82">
        <v>1</v>
      </c>
      <c r="B17" s="116">
        <v>997012</v>
      </c>
      <c r="C17" s="77" t="s">
        <v>186</v>
      </c>
      <c r="F17" s="77">
        <f t="shared" si="7"/>
        <v>0</v>
      </c>
      <c r="G17" s="77">
        <f>-Data!H162</f>
        <v>-68575</v>
      </c>
      <c r="H17" s="78">
        <f>F17+G17</f>
        <v>-68575</v>
      </c>
      <c r="I17" s="77">
        <v>0</v>
      </c>
      <c r="J17" s="77">
        <f>G17*VLOOKUP(A17,Allocators,7)</f>
        <v>-44293</v>
      </c>
      <c r="K17" s="78">
        <f>I17+J17</f>
        <v>-44293</v>
      </c>
      <c r="L17" s="77">
        <v>0</v>
      </c>
      <c r="M17" s="77">
        <f>G17*VLOOKUP(A17,Allocators,8)</f>
        <v>-24282</v>
      </c>
      <c r="N17" s="77">
        <f>L17+M17</f>
        <v>-24282</v>
      </c>
      <c r="O17" s="77" t="str">
        <f>IF(H17-K17-N17=0," ",+H17-K17-N17)</f>
        <v> </v>
      </c>
    </row>
    <row r="18" spans="1:15" ht="16.5" customHeight="1">
      <c r="A18" s="82">
        <v>4</v>
      </c>
      <c r="B18" s="116">
        <v>997015</v>
      </c>
      <c r="C18" s="77" t="s">
        <v>680</v>
      </c>
      <c r="F18" s="77">
        <f t="shared" si="7"/>
        <v>0</v>
      </c>
      <c r="G18" s="77">
        <f>-+Data!H163</f>
        <v>213596</v>
      </c>
      <c r="H18" s="78">
        <f t="shared" si="8"/>
        <v>213596</v>
      </c>
      <c r="I18" s="77">
        <v>0</v>
      </c>
      <c r="J18" s="77">
        <f aca="true" t="shared" si="11" ref="J18:J27">G18*VLOOKUP(A18,Allocators,7)</f>
        <v>139045</v>
      </c>
      <c r="K18" s="78">
        <f t="shared" si="9"/>
        <v>139045</v>
      </c>
      <c r="L18" s="77">
        <v>0</v>
      </c>
      <c r="M18" s="77">
        <f aca="true" t="shared" si="12" ref="M18:M27">G18*VLOOKUP(A18,Allocators,8)</f>
        <v>74551</v>
      </c>
      <c r="N18" s="77">
        <f t="shared" si="10"/>
        <v>74551</v>
      </c>
      <c r="O18" s="77" t="str">
        <f t="shared" si="2"/>
        <v> </v>
      </c>
    </row>
    <row r="19" spans="1:15" ht="16.5" customHeight="1">
      <c r="A19" s="82">
        <v>12</v>
      </c>
      <c r="B19" s="116">
        <v>997016</v>
      </c>
      <c r="C19" s="77" t="s">
        <v>201</v>
      </c>
      <c r="F19" s="77">
        <f t="shared" si="7"/>
        <v>0</v>
      </c>
      <c r="G19" s="77">
        <f>-Data!H164</f>
        <v>3434804</v>
      </c>
      <c r="H19" s="78">
        <f t="shared" si="8"/>
        <v>3434804</v>
      </c>
      <c r="I19" s="77">
        <v>0</v>
      </c>
      <c r="J19" s="77">
        <f t="shared" si="11"/>
        <v>2181856</v>
      </c>
      <c r="K19" s="78">
        <f t="shared" si="9"/>
        <v>2181856</v>
      </c>
      <c r="L19" s="77">
        <v>0</v>
      </c>
      <c r="M19" s="77">
        <f t="shared" si="12"/>
        <v>1252948</v>
      </c>
      <c r="N19" s="77">
        <f t="shared" si="10"/>
        <v>1252948</v>
      </c>
      <c r="O19" s="77" t="str">
        <f t="shared" si="2"/>
        <v> </v>
      </c>
    </row>
    <row r="20" spans="1:15" ht="16.5" customHeight="1">
      <c r="A20" s="82">
        <v>99</v>
      </c>
      <c r="B20" s="116">
        <v>997017</v>
      </c>
      <c r="C20" s="77" t="s">
        <v>368</v>
      </c>
      <c r="F20" s="77">
        <f t="shared" si="7"/>
        <v>2450030</v>
      </c>
      <c r="G20" s="77">
        <v>0</v>
      </c>
      <c r="H20" s="78">
        <f>F20+G20</f>
        <v>2450030</v>
      </c>
      <c r="I20" s="77">
        <f>-Data!H165</f>
        <v>2450030</v>
      </c>
      <c r="J20" s="77">
        <f>G20*VLOOKUP(A20,Allocators,7)</f>
        <v>0</v>
      </c>
      <c r="K20" s="78">
        <f>I20+J20</f>
        <v>2450030</v>
      </c>
      <c r="L20" s="77">
        <f>-Data!K165</f>
        <v>0</v>
      </c>
      <c r="M20" s="77">
        <f>G20*VLOOKUP(A20,Allocators,8)</f>
        <v>0</v>
      </c>
      <c r="N20" s="77">
        <f>L20+M20</f>
        <v>0</v>
      </c>
      <c r="O20" s="77" t="str">
        <f>IF(H20-K20-N20=0," ",+H20-K20-N20)</f>
        <v> </v>
      </c>
    </row>
    <row r="21" spans="1:15" ht="16.5" customHeight="1">
      <c r="A21" s="82">
        <v>99</v>
      </c>
      <c r="B21" s="116">
        <v>997018</v>
      </c>
      <c r="C21" s="77" t="s">
        <v>603</v>
      </c>
      <c r="F21" s="77">
        <f t="shared" si="7"/>
        <v>-2734257</v>
      </c>
      <c r="G21" s="77">
        <v>0</v>
      </c>
      <c r="H21" s="78">
        <f t="shared" si="8"/>
        <v>-2734257</v>
      </c>
      <c r="I21" s="77">
        <f>-Data!J166</f>
        <v>-1578925</v>
      </c>
      <c r="J21" s="77">
        <v>0</v>
      </c>
      <c r="K21" s="78">
        <f t="shared" si="9"/>
        <v>-1578925</v>
      </c>
      <c r="L21" s="77">
        <f>-Data!K166</f>
        <v>-1155332</v>
      </c>
      <c r="M21" s="77">
        <v>0</v>
      </c>
      <c r="N21" s="77">
        <f t="shared" si="10"/>
        <v>-1155332</v>
      </c>
      <c r="O21" s="77" t="str">
        <f t="shared" si="2"/>
        <v> </v>
      </c>
    </row>
    <row r="22" spans="1:15" ht="16.5" customHeight="1">
      <c r="A22" s="82">
        <v>4</v>
      </c>
      <c r="B22" s="116">
        <v>997018</v>
      </c>
      <c r="C22" s="77" t="s">
        <v>603</v>
      </c>
      <c r="F22" s="77"/>
      <c r="G22" s="77">
        <f>-Data!I166</f>
        <v>320000</v>
      </c>
      <c r="H22" s="78">
        <f t="shared" si="8"/>
        <v>320000</v>
      </c>
      <c r="I22" s="77">
        <v>0</v>
      </c>
      <c r="J22" s="77">
        <f>G22*VLOOKUP(A22,Allocators,7)</f>
        <v>208310</v>
      </c>
      <c r="K22" s="78">
        <f>I22+J22</f>
        <v>208310</v>
      </c>
      <c r="L22" s="77">
        <v>0</v>
      </c>
      <c r="M22" s="77">
        <f>G22*VLOOKUP(A22,Allocators,8)</f>
        <v>111690</v>
      </c>
      <c r="N22" s="77">
        <f>L22+M22</f>
        <v>111690</v>
      </c>
      <c r="O22" s="77" t="str">
        <f t="shared" si="2"/>
        <v> </v>
      </c>
    </row>
    <row r="23" spans="1:15" ht="16.5" customHeight="1">
      <c r="A23" s="82">
        <v>1</v>
      </c>
      <c r="B23" s="116">
        <v>997019</v>
      </c>
      <c r="C23" s="77" t="s">
        <v>200</v>
      </c>
      <c r="F23" s="77">
        <f t="shared" si="7"/>
        <v>138890</v>
      </c>
      <c r="G23" s="77">
        <f>-Data!I167</f>
        <v>0</v>
      </c>
      <c r="H23" s="78">
        <f>F23+G23</f>
        <v>138890</v>
      </c>
      <c r="I23" s="77">
        <f>-Data!J167</f>
        <v>83340</v>
      </c>
      <c r="J23" s="77">
        <f>G23*VLOOKUP(A23,Allocators,7)</f>
        <v>0</v>
      </c>
      <c r="K23" s="78">
        <f>I23+J23</f>
        <v>83340</v>
      </c>
      <c r="L23" s="77">
        <f>-Data!K167</f>
        <v>55550</v>
      </c>
      <c r="M23" s="77">
        <f>G23*VLOOKUP(A23,Allocators,8)</f>
        <v>0</v>
      </c>
      <c r="N23" s="77">
        <f>L23+M23</f>
        <v>55550</v>
      </c>
      <c r="O23" s="77" t="str">
        <f>IF(H23-K23-N23=0," ",+H23-K23-N23)</f>
        <v> </v>
      </c>
    </row>
    <row r="24" spans="1:15" ht="16.5" customHeight="1">
      <c r="A24" s="82">
        <v>4</v>
      </c>
      <c r="B24" s="116">
        <v>997020</v>
      </c>
      <c r="C24" s="77" t="s">
        <v>681</v>
      </c>
      <c r="F24" s="77">
        <f>I24+L24</f>
        <v>0</v>
      </c>
      <c r="G24" s="77">
        <f>-+Data!H168</f>
        <v>-1629179</v>
      </c>
      <c r="H24" s="78">
        <f t="shared" si="8"/>
        <v>-1629179</v>
      </c>
      <c r="I24" s="77">
        <v>0</v>
      </c>
      <c r="J24" s="77">
        <f t="shared" si="11"/>
        <v>-1060547</v>
      </c>
      <c r="K24" s="78">
        <f t="shared" si="9"/>
        <v>-1060547</v>
      </c>
      <c r="L24" s="77">
        <v>0</v>
      </c>
      <c r="M24" s="77">
        <f t="shared" si="12"/>
        <v>-568632</v>
      </c>
      <c r="N24" s="77">
        <f t="shared" si="10"/>
        <v>-568632</v>
      </c>
      <c r="O24" s="77" t="str">
        <f t="shared" si="2"/>
        <v> </v>
      </c>
    </row>
    <row r="25" spans="1:15" ht="16.5" customHeight="1">
      <c r="A25" s="82">
        <v>99</v>
      </c>
      <c r="B25" s="116">
        <v>997021</v>
      </c>
      <c r="C25" s="77" t="s">
        <v>208</v>
      </c>
      <c r="F25" s="77">
        <f>I25+L25</f>
        <v>1018612</v>
      </c>
      <c r="G25" s="77">
        <v>0</v>
      </c>
      <c r="H25" s="78">
        <f>F25+G25</f>
        <v>1018612</v>
      </c>
      <c r="I25" s="77">
        <f>-Data!J169</f>
        <v>785184</v>
      </c>
      <c r="J25" s="77">
        <v>0</v>
      </c>
      <c r="K25" s="78">
        <f>I25+J25</f>
        <v>785184</v>
      </c>
      <c r="L25" s="77">
        <f>-Data!K169</f>
        <v>233428</v>
      </c>
      <c r="M25" s="77">
        <v>0</v>
      </c>
      <c r="N25" s="77">
        <f>L25+M25</f>
        <v>233428</v>
      </c>
      <c r="O25" s="77" t="str">
        <f>IF(H25-K25-N25=0," ",+H25-K25-N25)</f>
        <v> </v>
      </c>
    </row>
    <row r="26" spans="1:15" ht="16.5" customHeight="1">
      <c r="A26" s="82">
        <v>4</v>
      </c>
      <c r="B26" s="116">
        <v>997022</v>
      </c>
      <c r="C26" s="77" t="s">
        <v>684</v>
      </c>
      <c r="F26" s="77">
        <f>I26+L26</f>
        <v>0</v>
      </c>
      <c r="G26" s="77">
        <f>-+Data!H170</f>
        <v>0</v>
      </c>
      <c r="H26" s="78">
        <f t="shared" si="8"/>
        <v>0</v>
      </c>
      <c r="I26" s="77">
        <v>0</v>
      </c>
      <c r="J26" s="77">
        <f t="shared" si="11"/>
        <v>0</v>
      </c>
      <c r="K26" s="78">
        <f t="shared" si="9"/>
        <v>0</v>
      </c>
      <c r="L26" s="77">
        <v>0</v>
      </c>
      <c r="M26" s="77">
        <f t="shared" si="12"/>
        <v>0</v>
      </c>
      <c r="N26" s="77">
        <f t="shared" si="10"/>
        <v>0</v>
      </c>
      <c r="O26" s="77" t="str">
        <f t="shared" si="2"/>
        <v> </v>
      </c>
    </row>
    <row r="27" spans="1:15" ht="16.5" customHeight="1">
      <c r="A27" s="82">
        <v>1</v>
      </c>
      <c r="B27" s="116">
        <v>997023</v>
      </c>
      <c r="C27" s="77" t="s">
        <v>606</v>
      </c>
      <c r="F27" s="77">
        <f>-Data!H171</f>
        <v>0</v>
      </c>
      <c r="G27" s="77">
        <v>0</v>
      </c>
      <c r="H27" s="78">
        <f t="shared" si="8"/>
        <v>0</v>
      </c>
      <c r="I27" s="77">
        <v>0</v>
      </c>
      <c r="J27" s="77">
        <f t="shared" si="11"/>
        <v>0</v>
      </c>
      <c r="K27" s="78">
        <f t="shared" si="9"/>
        <v>0</v>
      </c>
      <c r="L27" s="77">
        <f>+F27</f>
        <v>0</v>
      </c>
      <c r="M27" s="77">
        <f t="shared" si="12"/>
        <v>0</v>
      </c>
      <c r="N27" s="77">
        <f t="shared" si="10"/>
        <v>0</v>
      </c>
      <c r="O27" s="77" t="str">
        <f t="shared" si="2"/>
        <v> </v>
      </c>
    </row>
    <row r="28" spans="1:15" ht="16.5" customHeight="1">
      <c r="A28" s="82">
        <v>99</v>
      </c>
      <c r="B28" s="116">
        <v>997024</v>
      </c>
      <c r="C28" s="77" t="s">
        <v>226</v>
      </c>
      <c r="F28" s="77">
        <f>I28+L28</f>
        <v>-135088</v>
      </c>
      <c r="G28" s="77">
        <v>0</v>
      </c>
      <c r="H28" s="78">
        <f>F28+G28</f>
        <v>-135088</v>
      </c>
      <c r="I28" s="77">
        <f>-+Data!J172</f>
        <v>-135088</v>
      </c>
      <c r="J28" s="77">
        <f>G28*VLOOKUP(A28,Allocators,7)</f>
        <v>0</v>
      </c>
      <c r="K28" s="78">
        <f>I28+J28</f>
        <v>-135088</v>
      </c>
      <c r="L28" s="77">
        <f>-Data!K172</f>
        <v>0</v>
      </c>
      <c r="M28" s="77">
        <v>0</v>
      </c>
      <c r="N28" s="77">
        <f>L28+M28</f>
        <v>0</v>
      </c>
      <c r="O28" s="77" t="str">
        <f>IF(H28-K28-N28=0," ",+H28-K28-N28)</f>
        <v> </v>
      </c>
    </row>
    <row r="29" spans="1:15" ht="16.5" customHeight="1">
      <c r="A29" s="82">
        <v>1</v>
      </c>
      <c r="B29" s="116">
        <v>997025</v>
      </c>
      <c r="C29" s="77" t="s">
        <v>604</v>
      </c>
      <c r="F29" s="77">
        <f aca="true" t="shared" si="13" ref="F29:F40">I29+L29</f>
        <v>0</v>
      </c>
      <c r="G29" s="77">
        <f>-Data!H173</f>
        <v>-326610</v>
      </c>
      <c r="H29" s="78">
        <f t="shared" si="8"/>
        <v>-326610</v>
      </c>
      <c r="I29" s="77">
        <v>0</v>
      </c>
      <c r="J29" s="77">
        <f>G29*VLOOKUP(A29,Allocators,7)</f>
        <v>-210957</v>
      </c>
      <c r="K29" s="78">
        <f t="shared" si="9"/>
        <v>-210957</v>
      </c>
      <c r="L29" s="77">
        <v>0</v>
      </c>
      <c r="M29" s="77">
        <f>G29*VLOOKUP(A29,Allocators,8)</f>
        <v>-115653</v>
      </c>
      <c r="N29" s="77">
        <f t="shared" si="10"/>
        <v>-115653</v>
      </c>
      <c r="O29" s="77" t="str">
        <f t="shared" si="2"/>
        <v> </v>
      </c>
    </row>
    <row r="30" spans="1:15" ht="16.5" customHeight="1">
      <c r="A30" s="82">
        <v>99</v>
      </c>
      <c r="B30" s="116">
        <v>997028</v>
      </c>
      <c r="C30" s="77" t="s">
        <v>248</v>
      </c>
      <c r="F30" s="77">
        <f>I30+L30</f>
        <v>229014</v>
      </c>
      <c r="G30" s="77">
        <v>0</v>
      </c>
      <c r="H30" s="78">
        <f>F30+G30</f>
        <v>229014</v>
      </c>
      <c r="I30" s="77">
        <f>-+Data!J174</f>
        <v>158211</v>
      </c>
      <c r="J30" s="77">
        <v>0</v>
      </c>
      <c r="K30" s="78">
        <f>I30+J30</f>
        <v>158211</v>
      </c>
      <c r="L30" s="77">
        <f>-+Data!K174</f>
        <v>70803</v>
      </c>
      <c r="M30" s="77">
        <v>0</v>
      </c>
      <c r="N30" s="77">
        <f>L30+M30</f>
        <v>70803</v>
      </c>
      <c r="O30" s="77" t="str">
        <f>IF(H30-K30-N30=0," ",+H30-K30-N30)</f>
        <v> </v>
      </c>
    </row>
    <row r="31" spans="1:15" ht="16.5" customHeight="1">
      <c r="A31" s="82">
        <v>99</v>
      </c>
      <c r="B31" s="116">
        <v>997029</v>
      </c>
      <c r="C31" s="77" t="s">
        <v>315</v>
      </c>
      <c r="F31" s="77">
        <f>I31+L31</f>
        <v>339358</v>
      </c>
      <c r="G31" s="77">
        <v>0</v>
      </c>
      <c r="H31" s="78">
        <f>F31+G31</f>
        <v>339358</v>
      </c>
      <c r="I31" s="77">
        <f>-+Data!J175</f>
        <v>250573</v>
      </c>
      <c r="J31" s="77">
        <v>0</v>
      </c>
      <c r="K31" s="78">
        <f>I31+J31</f>
        <v>250573</v>
      </c>
      <c r="L31" s="77">
        <f>-+Data!K175</f>
        <v>88785</v>
      </c>
      <c r="M31" s="77">
        <v>0</v>
      </c>
      <c r="N31" s="77">
        <f>L31+M31</f>
        <v>88785</v>
      </c>
      <c r="O31" s="77" t="str">
        <f>IF(H31-K31-N31=0," ",+H31-K31-N31)</f>
        <v> </v>
      </c>
    </row>
    <row r="32" spans="1:15" ht="16.5" customHeight="1">
      <c r="A32" s="82">
        <v>12</v>
      </c>
      <c r="B32" s="116">
        <v>997032</v>
      </c>
      <c r="C32" s="77" t="s">
        <v>12</v>
      </c>
      <c r="F32" s="77">
        <f>I32+L32</f>
        <v>0</v>
      </c>
      <c r="G32" s="77">
        <f>-Data!H176</f>
        <v>-11080234</v>
      </c>
      <c r="H32" s="78">
        <f>F32+G32</f>
        <v>-11080234</v>
      </c>
      <c r="I32" s="77">
        <v>0</v>
      </c>
      <c r="J32" s="77">
        <f>G32*VLOOKUP(A32,Allocators,7)</f>
        <v>-7038386</v>
      </c>
      <c r="K32" s="78">
        <f>I32+J32</f>
        <v>-7038386</v>
      </c>
      <c r="L32" s="77">
        <v>0</v>
      </c>
      <c r="M32" s="77">
        <f>G32*VLOOKUP(A32,Allocators,8)</f>
        <v>-4041848</v>
      </c>
      <c r="N32" s="77">
        <f>L32+M32</f>
        <v>-4041848</v>
      </c>
      <c r="O32" s="77" t="str">
        <f t="shared" si="2"/>
        <v> </v>
      </c>
    </row>
    <row r="33" spans="1:15" ht="16.5" customHeight="1">
      <c r="A33" s="82">
        <v>99</v>
      </c>
      <c r="B33" s="116">
        <v>997033</v>
      </c>
      <c r="C33" s="77" t="s">
        <v>605</v>
      </c>
      <c r="F33" s="77">
        <f t="shared" si="13"/>
        <v>6016517</v>
      </c>
      <c r="G33" s="77">
        <v>0</v>
      </c>
      <c r="H33" s="78">
        <f t="shared" si="8"/>
        <v>6016517</v>
      </c>
      <c r="I33" s="77">
        <f>-Data!J177</f>
        <v>4145039</v>
      </c>
      <c r="J33" s="77">
        <v>0</v>
      </c>
      <c r="K33" s="78">
        <f t="shared" si="9"/>
        <v>4145039</v>
      </c>
      <c r="L33" s="77">
        <f>-Data!K177</f>
        <v>1871478</v>
      </c>
      <c r="M33" s="77">
        <v>0</v>
      </c>
      <c r="N33" s="77">
        <f t="shared" si="10"/>
        <v>1871478</v>
      </c>
      <c r="O33" s="77" t="str">
        <f t="shared" si="2"/>
        <v> </v>
      </c>
    </row>
    <row r="34" spans="1:15" ht="16.5" customHeight="1">
      <c r="A34" s="82">
        <v>99</v>
      </c>
      <c r="B34" s="116">
        <v>997034</v>
      </c>
      <c r="C34" s="77" t="s">
        <v>110</v>
      </c>
      <c r="F34" s="77">
        <f>I34+L34</f>
        <v>-7255782</v>
      </c>
      <c r="G34" s="77">
        <v>0</v>
      </c>
      <c r="H34" s="78">
        <f>F34+G34</f>
        <v>-7255782</v>
      </c>
      <c r="I34" s="77">
        <f>-Data!J178</f>
        <v>-4739334</v>
      </c>
      <c r="J34" s="77">
        <v>0</v>
      </c>
      <c r="K34" s="78">
        <f>I34+J34</f>
        <v>-4739334</v>
      </c>
      <c r="L34" s="77">
        <f>-Data!K178</f>
        <v>-2516448</v>
      </c>
      <c r="M34" s="77">
        <v>0</v>
      </c>
      <c r="N34" s="77">
        <f>L34+M34</f>
        <v>-2516448</v>
      </c>
      <c r="O34" s="77" t="str">
        <f>IF(H34-K34-N34=0," ",+H34-K34-N34)</f>
        <v> </v>
      </c>
    </row>
    <row r="35" spans="1:15" ht="16.5" customHeight="1">
      <c r="A35" s="82">
        <v>1</v>
      </c>
      <c r="B35" s="116">
        <v>997038</v>
      </c>
      <c r="C35" s="77" t="s">
        <v>687</v>
      </c>
      <c r="F35" s="77">
        <f t="shared" si="13"/>
        <v>0</v>
      </c>
      <c r="G35" s="77">
        <f>-Data!H180</f>
        <v>0</v>
      </c>
      <c r="H35" s="78">
        <f t="shared" si="8"/>
        <v>0</v>
      </c>
      <c r="I35" s="77">
        <v>0</v>
      </c>
      <c r="J35" s="77">
        <f>G35*VLOOKUP(A35,Allocators,7)</f>
        <v>0</v>
      </c>
      <c r="K35" s="78">
        <f t="shared" si="9"/>
        <v>0</v>
      </c>
      <c r="L35" s="77">
        <v>0</v>
      </c>
      <c r="M35" s="77">
        <f>G35*VLOOKUP(A35,Allocators,8)</f>
        <v>0</v>
      </c>
      <c r="N35" s="77">
        <f t="shared" si="10"/>
        <v>0</v>
      </c>
      <c r="O35" s="77" t="str">
        <f t="shared" si="2"/>
        <v> </v>
      </c>
    </row>
    <row r="36" spans="1:15" ht="16.5" customHeight="1">
      <c r="A36" s="82">
        <v>99</v>
      </c>
      <c r="B36" s="116">
        <v>997040</v>
      </c>
      <c r="C36" s="77" t="s">
        <v>673</v>
      </c>
      <c r="F36" s="77">
        <f>I36+L36</f>
        <v>0</v>
      </c>
      <c r="G36" s="77">
        <v>0</v>
      </c>
      <c r="H36" s="78">
        <f>F36+G36</f>
        <v>0</v>
      </c>
      <c r="I36" s="77">
        <v>0</v>
      </c>
      <c r="J36" s="77">
        <f>G36*VLOOKUP(A36,Allocators,7)</f>
        <v>0</v>
      </c>
      <c r="K36" s="78">
        <f>I36+J36</f>
        <v>0</v>
      </c>
      <c r="L36" s="77">
        <f>-Data!K182</f>
        <v>0</v>
      </c>
      <c r="M36" s="77">
        <f>G36*VLOOKUP(A36,Allocators,8)</f>
        <v>0</v>
      </c>
      <c r="N36" s="77">
        <f>L36+M36</f>
        <v>0</v>
      </c>
      <c r="O36" s="77" t="str">
        <f>IF(H36-K36-N36=0," ",+H36-K36-N36)</f>
        <v> </v>
      </c>
    </row>
    <row r="37" spans="1:15" ht="16.5" customHeight="1">
      <c r="A37" s="82">
        <v>2</v>
      </c>
      <c r="B37" s="116">
        <v>997066</v>
      </c>
      <c r="C37" s="77" t="s">
        <v>703</v>
      </c>
      <c r="F37" s="77">
        <f t="shared" si="13"/>
        <v>0</v>
      </c>
      <c r="G37" s="77">
        <f>-Data!H198</f>
        <v>1377583</v>
      </c>
      <c r="H37" s="78">
        <f t="shared" si="8"/>
        <v>1377583</v>
      </c>
      <c r="I37" s="77">
        <v>0</v>
      </c>
      <c r="J37" s="77">
        <f>G37*VLOOKUP(A37,Allocators,7)</f>
        <v>905871</v>
      </c>
      <c r="K37" s="78">
        <f t="shared" si="9"/>
        <v>905871</v>
      </c>
      <c r="L37" s="77">
        <f>Data!K198</f>
        <v>0</v>
      </c>
      <c r="M37" s="77">
        <f>G37*VLOOKUP(A37,Allocators,8)</f>
        <v>471712</v>
      </c>
      <c r="N37" s="77">
        <f t="shared" si="10"/>
        <v>471712</v>
      </c>
      <c r="O37" s="77" t="str">
        <f t="shared" si="2"/>
        <v> </v>
      </c>
    </row>
    <row r="38" spans="1:15" ht="16.5" customHeight="1">
      <c r="A38" s="82">
        <v>99</v>
      </c>
      <c r="B38" s="116">
        <v>997064</v>
      </c>
      <c r="C38" s="77" t="s">
        <v>934</v>
      </c>
      <c r="F38" s="77">
        <f t="shared" si="13"/>
        <v>0</v>
      </c>
      <c r="G38" s="77">
        <v>0</v>
      </c>
      <c r="H38" s="78">
        <f t="shared" si="8"/>
        <v>0</v>
      </c>
      <c r="I38" s="77">
        <f>-Data!J196</f>
        <v>0</v>
      </c>
      <c r="J38" s="77">
        <f>G38*VLOOKUP(A38,Allocators,7)</f>
        <v>0</v>
      </c>
      <c r="K38" s="78">
        <f t="shared" si="9"/>
        <v>0</v>
      </c>
      <c r="L38" s="77">
        <f>-Data!K196</f>
        <v>0</v>
      </c>
      <c r="M38" s="77">
        <f>G38*VLOOKUP(A38,Allocators,8)</f>
        <v>0</v>
      </c>
      <c r="N38" s="77">
        <f t="shared" si="10"/>
        <v>0</v>
      </c>
      <c r="O38" s="77" t="str">
        <f t="shared" si="2"/>
        <v> </v>
      </c>
    </row>
    <row r="39" spans="1:15" ht="16.5" customHeight="1">
      <c r="A39" s="82">
        <v>99</v>
      </c>
      <c r="B39" s="116">
        <v>997065</v>
      </c>
      <c r="C39" s="77" t="s">
        <v>202</v>
      </c>
      <c r="F39" s="77">
        <f>I39+L39</f>
        <v>-107820</v>
      </c>
      <c r="G39" s="77">
        <v>0</v>
      </c>
      <c r="H39" s="78">
        <f>F39+G39</f>
        <v>-107820</v>
      </c>
      <c r="I39" s="77">
        <f>-+Data!J197</f>
        <v>64349</v>
      </c>
      <c r="J39" s="77">
        <v>0</v>
      </c>
      <c r="K39" s="78">
        <f>I39+J39</f>
        <v>64349</v>
      </c>
      <c r="L39" s="77">
        <f>-+Data!K197</f>
        <v>-172169</v>
      </c>
      <c r="M39" s="77">
        <v>0</v>
      </c>
      <c r="N39" s="77">
        <f>L39+M39</f>
        <v>-172169</v>
      </c>
      <c r="O39" s="77" t="str">
        <f>IF(H39-K39-N39=0," ",+H39-K39-N39)</f>
        <v> </v>
      </c>
    </row>
    <row r="40" spans="1:15" ht="16.5" customHeight="1">
      <c r="A40" s="82" t="s">
        <v>737</v>
      </c>
      <c r="B40" s="105">
        <v>997000</v>
      </c>
      <c r="C40" s="77" t="s">
        <v>21</v>
      </c>
      <c r="F40" s="77">
        <f t="shared" si="13"/>
        <v>25037127</v>
      </c>
      <c r="G40" s="77">
        <f>+J40+M40</f>
        <v>45838021</v>
      </c>
      <c r="H40" s="78">
        <f t="shared" si="8"/>
        <v>70875148</v>
      </c>
      <c r="I40" s="77">
        <f>'Electric Operations - IS'!I105+'Electric Operations - IS'!I106+'Electric Operations - IS'!I107+'Electric Operations - IS'!I108+'Electric Operations - IS'!I110+'Electric Operations - IS'!I111+'Electric Operations - IS'!I112+'Electric Operations - IS'!I113+'Electric Operations - IS'!I151+'Electric Operations - IS'!I191+'Electric Operations - IS'!I192+'Electric Operations - IS'!I193</f>
        <v>15863649</v>
      </c>
      <c r="J40" s="77">
        <f>'Electric Operations - IS'!J105+'Electric Operations - IS'!J106+'Electric Operations - IS'!J107+'Electric Operations - IS'!J108+'Electric Operations - IS'!J110+'Electric Operations - IS'!J111+'Electric Operations - IS'!J112+'Electric Operations - IS'!J113+'Electric Operations - IS'!J151+'Electric Operations - IS'!J191+'Electric Operations - IS'!J192+'Electric Operations - IS'!J193</f>
        <v>29651881</v>
      </c>
      <c r="K40" s="78">
        <f t="shared" si="9"/>
        <v>45515530</v>
      </c>
      <c r="L40" s="77">
        <f>'Electric Operations - IS'!L105+'Electric Operations - IS'!L106+'Electric Operations - IS'!L107+'Electric Operations - IS'!L108+'Electric Operations - IS'!L110+'Electric Operations - IS'!L111+'Electric Operations - IS'!L112+'Electric Operations - IS'!L113+'Electric Operations - IS'!L151+'Electric Operations - IS'!L191+'Electric Operations - IS'!L192+'Electric Operations - IS'!L193</f>
        <v>9173478</v>
      </c>
      <c r="M40" s="77">
        <f>'Electric Operations - IS'!M105+'Electric Operations - IS'!M106+'Electric Operations - IS'!M107+'Electric Operations - IS'!M108+'Electric Operations - IS'!M110+'Electric Operations - IS'!M111+'Electric Operations - IS'!M112+'Electric Operations - IS'!M113+'Electric Operations - IS'!M151+'Electric Operations - IS'!M191+'Electric Operations - IS'!M192+'Electric Operations - IS'!M193</f>
        <v>16186140</v>
      </c>
      <c r="N40" s="77">
        <f t="shared" si="10"/>
        <v>25359618</v>
      </c>
      <c r="O40" s="77" t="str">
        <f t="shared" si="2"/>
        <v> </v>
      </c>
    </row>
    <row r="41" spans="1:15" ht="16.5" customHeight="1" hidden="1">
      <c r="A41" s="82"/>
      <c r="B41" s="106"/>
      <c r="C41" s="77"/>
      <c r="F41" s="77"/>
      <c r="G41" s="77"/>
      <c r="H41" s="78"/>
      <c r="I41" s="77"/>
      <c r="J41" s="77"/>
      <c r="K41" s="78"/>
      <c r="L41" s="77"/>
      <c r="M41" s="77"/>
      <c r="N41" s="77"/>
      <c r="O41" s="77"/>
    </row>
    <row r="42" spans="2:15" ht="16.5" customHeight="1" hidden="1">
      <c r="B42" s="240">
        <f>+Data!C46</f>
        <v>403</v>
      </c>
      <c r="F42" s="77"/>
      <c r="G42" s="78"/>
      <c r="H42" s="78">
        <f>+Data!H46</f>
        <v>10611357</v>
      </c>
      <c r="I42" s="78"/>
      <c r="K42" s="78"/>
      <c r="L42" s="78">
        <f>+Data!K46</f>
        <v>0</v>
      </c>
      <c r="M42" s="77"/>
      <c r="N42" s="77"/>
      <c r="O42" s="77"/>
    </row>
    <row r="43" spans="1:15" ht="16.5" customHeight="1" hidden="1">
      <c r="A43" s="82"/>
      <c r="B43" s="240">
        <f>+Data!C47</f>
        <v>403</v>
      </c>
      <c r="F43" s="77"/>
      <c r="G43" s="78"/>
      <c r="H43" s="78">
        <f>+Data!H47</f>
        <v>7082010</v>
      </c>
      <c r="I43" s="78"/>
      <c r="K43" s="78"/>
      <c r="L43" s="78">
        <f>+Data!K47</f>
        <v>0</v>
      </c>
      <c r="M43" s="77"/>
      <c r="N43" s="77"/>
      <c r="O43" s="77"/>
    </row>
    <row r="44" spans="1:15" ht="16.5" customHeight="1" hidden="1">
      <c r="A44" s="82"/>
      <c r="B44" s="240">
        <f>+Data!C48</f>
        <v>403</v>
      </c>
      <c r="F44" s="77"/>
      <c r="G44" s="78"/>
      <c r="H44" s="78">
        <f>+Data!H48</f>
        <v>9229052</v>
      </c>
      <c r="I44" s="78"/>
      <c r="K44" s="78"/>
      <c r="L44" s="78">
        <f>+Data!K48</f>
        <v>0</v>
      </c>
      <c r="M44" s="77"/>
      <c r="N44" s="77"/>
      <c r="O44" s="77"/>
    </row>
    <row r="45" spans="1:15" ht="16.5" customHeight="1" hidden="1">
      <c r="A45" s="82"/>
      <c r="B45" s="240">
        <f>+Data!C49</f>
        <v>403</v>
      </c>
      <c r="F45" s="77"/>
      <c r="G45" s="78"/>
      <c r="H45" s="78">
        <f>+Data!H49</f>
        <v>9593340</v>
      </c>
      <c r="I45" s="78"/>
      <c r="K45" s="78"/>
      <c r="L45" s="78">
        <f>+Data!K49</f>
        <v>0</v>
      </c>
      <c r="M45" s="77"/>
      <c r="N45" s="77"/>
      <c r="O45" s="77"/>
    </row>
    <row r="46" spans="1:15" ht="16.5" customHeight="1" hidden="1">
      <c r="A46" s="82"/>
      <c r="B46" s="240">
        <f>+Data!C61</f>
        <v>404</v>
      </c>
      <c r="F46" s="77"/>
      <c r="G46" s="78"/>
      <c r="H46" s="78">
        <f>+Data!H61</f>
        <v>90934</v>
      </c>
      <c r="I46" s="78"/>
      <c r="K46" s="78"/>
      <c r="L46" s="78">
        <f>+Data!K50</f>
        <v>8350890</v>
      </c>
      <c r="M46" s="77"/>
      <c r="N46" s="77"/>
      <c r="O46" s="77"/>
    </row>
    <row r="47" spans="1:15" ht="16.5" customHeight="1" hidden="1">
      <c r="A47" s="82"/>
      <c r="B47" s="240">
        <f>+Data!C62</f>
        <v>404</v>
      </c>
      <c r="F47" s="77"/>
      <c r="G47" s="78"/>
      <c r="H47" s="78">
        <f>+Data!H62</f>
        <v>337758</v>
      </c>
      <c r="I47" s="78"/>
      <c r="K47" s="78"/>
      <c r="L47" s="78">
        <f>+Data!K51</f>
        <v>196147</v>
      </c>
      <c r="M47" s="77"/>
      <c r="N47" s="77"/>
      <c r="O47" s="77"/>
    </row>
    <row r="48" spans="1:15" ht="16.5" customHeight="1" hidden="1">
      <c r="A48" s="82"/>
      <c r="B48" s="240">
        <f>+Data!C85</f>
        <v>406</v>
      </c>
      <c r="F48" s="77"/>
      <c r="G48" s="78"/>
      <c r="H48" s="78">
        <f>+Data!H85</f>
        <v>99047</v>
      </c>
      <c r="I48" s="78"/>
      <c r="K48" s="78"/>
      <c r="L48" s="78">
        <f>+Data!K55</f>
        <v>13277</v>
      </c>
      <c r="M48" s="77"/>
      <c r="N48" s="77"/>
      <c r="O48" s="77"/>
    </row>
    <row r="49" spans="1:15" ht="16.5" customHeight="1" hidden="1">
      <c r="A49" s="82"/>
      <c r="B49" s="240">
        <f>+Data!C63</f>
        <v>404</v>
      </c>
      <c r="F49" s="77"/>
      <c r="G49" s="78"/>
      <c r="H49" s="78">
        <f>+Data!H63</f>
        <v>0</v>
      </c>
      <c r="I49" s="78"/>
      <c r="K49" s="78"/>
      <c r="L49" s="78">
        <f>+Data!K61</f>
        <v>0</v>
      </c>
      <c r="M49" s="77"/>
      <c r="N49" s="77"/>
      <c r="O49" s="77"/>
    </row>
    <row r="50" spans="1:15" ht="16.5" customHeight="1" hidden="1">
      <c r="A50" s="82"/>
      <c r="B50" s="240">
        <f>+Data!C79</f>
        <v>404</v>
      </c>
      <c r="C50" s="240" t="str">
        <f>+Data!D79</f>
        <v>X60</v>
      </c>
      <c r="F50" s="77"/>
      <c r="G50" s="78"/>
      <c r="H50" s="78">
        <f>+Data!H79</f>
        <v>0</v>
      </c>
      <c r="I50" s="78"/>
      <c r="K50" s="78"/>
      <c r="L50" s="78">
        <f>+Data!K62</f>
        <v>0</v>
      </c>
      <c r="M50" s="77"/>
      <c r="N50" s="77"/>
      <c r="O50" s="77"/>
    </row>
    <row r="51" spans="1:15" ht="16.5" customHeight="1" hidden="1">
      <c r="A51" s="82"/>
      <c r="B51" s="240">
        <f>+Data!C83</f>
        <v>404</v>
      </c>
      <c r="C51" s="240" t="str">
        <f>+Data!D83</f>
        <v>X70</v>
      </c>
      <c r="F51" s="77"/>
      <c r="G51" s="78"/>
      <c r="H51" s="78">
        <f>+Data!H83</f>
        <v>0</v>
      </c>
      <c r="I51" s="78"/>
      <c r="K51" s="78"/>
      <c r="L51" s="78">
        <f>+Data!K64</f>
        <v>0</v>
      </c>
      <c r="M51" s="77"/>
      <c r="N51" s="77"/>
      <c r="O51" s="77"/>
    </row>
    <row r="52" spans="1:15" ht="16.5" customHeight="1" hidden="1">
      <c r="A52" s="82">
        <f>+Data!B80</f>
        <v>7</v>
      </c>
      <c r="B52" s="240">
        <f>+Data!C80</f>
        <v>404</v>
      </c>
      <c r="C52" s="240" t="str">
        <f>+Data!D80</f>
        <v>X60</v>
      </c>
      <c r="F52" s="77"/>
      <c r="G52" s="78">
        <f>+Data!H80</f>
        <v>0</v>
      </c>
      <c r="H52" s="77">
        <f>+'C-AMT'!G29</f>
        <v>0</v>
      </c>
      <c r="I52" s="78"/>
      <c r="K52" s="78"/>
      <c r="L52" s="78">
        <f>+Data!K68</f>
        <v>0</v>
      </c>
      <c r="M52" s="77"/>
      <c r="N52" s="77"/>
      <c r="O52" s="77"/>
    </row>
    <row r="53" spans="1:15" ht="16.5" customHeight="1" hidden="1">
      <c r="A53" s="82">
        <f>+Data!B81</f>
        <v>8</v>
      </c>
      <c r="B53" s="240">
        <f>+Data!C81</f>
        <v>404</v>
      </c>
      <c r="C53" s="240" t="str">
        <f>+Data!D81</f>
        <v>X60</v>
      </c>
      <c r="F53" s="77"/>
      <c r="G53" s="78">
        <f>+Data!H81</f>
        <v>0</v>
      </c>
      <c r="H53" s="77">
        <f>+'C-AMT'!G30</f>
        <v>0</v>
      </c>
      <c r="I53" s="78"/>
      <c r="K53" s="78"/>
      <c r="L53" s="78">
        <f>+Data!K75</f>
        <v>0</v>
      </c>
      <c r="M53" s="77"/>
      <c r="N53" s="77"/>
      <c r="O53" s="77"/>
    </row>
    <row r="54" spans="1:15" ht="16.5" customHeight="1" hidden="1">
      <c r="A54" s="82">
        <f>+Data!B82</f>
        <v>9</v>
      </c>
      <c r="B54" s="240">
        <f>+Data!C82</f>
        <v>404</v>
      </c>
      <c r="C54" s="240" t="str">
        <f>+Data!D82</f>
        <v>X60</v>
      </c>
      <c r="F54" s="77"/>
      <c r="G54" s="78">
        <f>+Data!H82</f>
        <v>0</v>
      </c>
      <c r="H54" s="77">
        <f>+'C-AMT'!G31</f>
        <v>0</v>
      </c>
      <c r="I54" s="78"/>
      <c r="K54" s="78"/>
      <c r="L54" s="78">
        <f>+Data!K85</f>
        <v>67304</v>
      </c>
      <c r="M54" s="77"/>
      <c r="N54" s="77"/>
      <c r="O54" s="77"/>
    </row>
    <row r="55" spans="1:15" ht="16.5" customHeight="1" hidden="1">
      <c r="A55" s="82"/>
      <c r="B55" s="240">
        <f>+Data!C50</f>
        <v>403</v>
      </c>
      <c r="F55" s="77"/>
      <c r="G55" s="78"/>
      <c r="H55" s="78">
        <f>+Data!H50</f>
        <v>22949716</v>
      </c>
      <c r="I55" s="78"/>
      <c r="K55" s="78"/>
      <c r="L55" s="78"/>
      <c r="M55" s="77"/>
      <c r="N55" s="77"/>
      <c r="O55" s="77"/>
    </row>
    <row r="56" spans="1:15" ht="16.5" customHeight="1" hidden="1">
      <c r="A56" s="82">
        <f>+Data!B52</f>
        <v>7</v>
      </c>
      <c r="B56" s="240">
        <f>+Data!C52</f>
        <v>403</v>
      </c>
      <c r="C56" s="240" t="str">
        <f>+Data!D52</f>
        <v>X60</v>
      </c>
      <c r="F56" s="77"/>
      <c r="G56" s="78">
        <f>+Data!H52</f>
        <v>5475146</v>
      </c>
      <c r="H56" s="78">
        <f>+'C-DEP'!G9</f>
        <v>3939915</v>
      </c>
      <c r="I56" s="78"/>
      <c r="K56" s="78"/>
      <c r="L56" s="78"/>
      <c r="M56" s="77"/>
      <c r="N56" s="77"/>
      <c r="O56" s="77"/>
    </row>
    <row r="57" spans="1:15" ht="16.5" customHeight="1" hidden="1">
      <c r="A57" s="82">
        <f>+Data!B53</f>
        <v>8</v>
      </c>
      <c r="B57" s="240">
        <f>+Data!C53</f>
        <v>403</v>
      </c>
      <c r="C57" s="240" t="str">
        <f>+Data!D53</f>
        <v>X60</v>
      </c>
      <c r="F57" s="77"/>
      <c r="G57" s="78">
        <f>+Data!H53</f>
        <v>114082</v>
      </c>
      <c r="H57" s="78">
        <f>+'C-DEP'!G10</f>
        <v>0</v>
      </c>
      <c r="I57" s="78"/>
      <c r="K57" s="78"/>
      <c r="L57" s="78"/>
      <c r="M57" s="77"/>
      <c r="N57" s="77"/>
      <c r="O57" s="77"/>
    </row>
    <row r="58" spans="1:15" ht="16.5" customHeight="1" hidden="1">
      <c r="A58" s="82">
        <f>+Data!B54</f>
        <v>9</v>
      </c>
      <c r="B58" s="240">
        <f>+Data!C54</f>
        <v>403</v>
      </c>
      <c r="C58" s="240" t="str">
        <f>+Data!D54</f>
        <v>X60</v>
      </c>
      <c r="F58" s="77"/>
      <c r="G58" s="78">
        <f>+Data!I54</f>
        <v>740570</v>
      </c>
      <c r="H58" s="78">
        <f>+'C-DEP'!G11</f>
        <v>585954</v>
      </c>
      <c r="I58" s="78"/>
      <c r="K58" s="78"/>
      <c r="L58" s="78"/>
      <c r="M58" s="77"/>
      <c r="N58" s="77"/>
      <c r="O58" s="77"/>
    </row>
    <row r="59" spans="1:15" ht="16.5" customHeight="1" hidden="1">
      <c r="A59" s="82">
        <f aca="true" t="shared" si="14" ref="A59:C60">+A58</f>
        <v>9</v>
      </c>
      <c r="B59" s="240">
        <f t="shared" si="14"/>
        <v>403</v>
      </c>
      <c r="C59" s="240" t="str">
        <f t="shared" si="14"/>
        <v>X60</v>
      </c>
      <c r="D59" s="84" t="s">
        <v>861</v>
      </c>
      <c r="F59" s="77"/>
      <c r="G59" s="78">
        <f>+Data!J54</f>
        <v>86581</v>
      </c>
      <c r="H59" s="78">
        <f>+'C-DEP'!G12</f>
        <v>68505</v>
      </c>
      <c r="I59" s="78"/>
      <c r="K59" s="78"/>
      <c r="L59" s="78"/>
      <c r="M59" s="77"/>
      <c r="N59" s="77"/>
      <c r="O59" s="77"/>
    </row>
    <row r="60" spans="1:15" ht="16.5" customHeight="1" hidden="1">
      <c r="A60" s="82">
        <f t="shared" si="14"/>
        <v>9</v>
      </c>
      <c r="B60" s="240">
        <f t="shared" si="14"/>
        <v>403</v>
      </c>
      <c r="C60" s="240" t="str">
        <f t="shared" si="14"/>
        <v>X60</v>
      </c>
      <c r="D60" s="84" t="s">
        <v>862</v>
      </c>
      <c r="F60" s="77"/>
      <c r="G60" s="78">
        <f>+Data!K54</f>
        <v>102544</v>
      </c>
      <c r="H60" s="78">
        <f>+'C-DEP'!G13</f>
        <v>81135</v>
      </c>
      <c r="I60" s="78"/>
      <c r="K60" s="78"/>
      <c r="L60" s="78"/>
      <c r="M60" s="77"/>
      <c r="N60" s="77"/>
      <c r="O60" s="77"/>
    </row>
    <row r="61" spans="1:15" ht="16.5" customHeight="1" hidden="1">
      <c r="A61" s="82"/>
      <c r="B61" s="240">
        <f>+Data!C51</f>
        <v>403</v>
      </c>
      <c r="F61" s="77"/>
      <c r="G61" s="78"/>
      <c r="H61" s="78">
        <f>+Data!H51</f>
        <v>2759926</v>
      </c>
      <c r="I61" s="78"/>
      <c r="K61" s="78"/>
      <c r="L61" s="78"/>
      <c r="M61" s="77"/>
      <c r="N61" s="77"/>
      <c r="O61" s="77"/>
    </row>
    <row r="62" spans="1:15" ht="16.5" customHeight="1" hidden="1">
      <c r="A62" s="82">
        <f>+Data!B56</f>
        <v>7</v>
      </c>
      <c r="B62" s="240">
        <f>+Data!C56</f>
        <v>403</v>
      </c>
      <c r="C62" s="240" t="str">
        <f>+Data!D56</f>
        <v>X70</v>
      </c>
      <c r="F62" s="77"/>
      <c r="G62" s="78">
        <f>+Data!H56</f>
        <v>2037</v>
      </c>
      <c r="H62" s="78">
        <f>+'C-DEP'!G17</f>
        <v>1466</v>
      </c>
      <c r="I62" s="78"/>
      <c r="K62" s="78"/>
      <c r="L62" s="78"/>
      <c r="M62" s="77"/>
      <c r="N62" s="77"/>
      <c r="O62" s="77"/>
    </row>
    <row r="63" spans="1:15" ht="16.5" customHeight="1" hidden="1">
      <c r="A63" s="82">
        <f>+Data!B57</f>
        <v>8</v>
      </c>
      <c r="B63" s="240">
        <f>+Data!C57</f>
        <v>403</v>
      </c>
      <c r="C63" s="240" t="str">
        <f>+Data!D57</f>
        <v>X70</v>
      </c>
      <c r="F63" s="77"/>
      <c r="G63" s="78">
        <f>+Data!H57</f>
        <v>0</v>
      </c>
      <c r="H63" s="78">
        <f>+'C-DEP'!G18</f>
        <v>0</v>
      </c>
      <c r="I63" s="78"/>
      <c r="K63" s="78"/>
      <c r="L63" s="78"/>
      <c r="M63" s="77"/>
      <c r="N63" s="77"/>
      <c r="O63" s="77"/>
    </row>
    <row r="64" spans="1:15" ht="16.5" customHeight="1" hidden="1">
      <c r="A64" s="82">
        <f>+Data!B58</f>
        <v>9</v>
      </c>
      <c r="B64" s="240">
        <f>+Data!C58</f>
        <v>403</v>
      </c>
      <c r="C64" s="240" t="str">
        <f>+Data!D58</f>
        <v>X70</v>
      </c>
      <c r="F64" s="77"/>
      <c r="G64" s="78">
        <f>+Data!H58</f>
        <v>12818</v>
      </c>
      <c r="H64" s="78">
        <f>+'C-DEP'!G19</f>
        <v>10142</v>
      </c>
      <c r="I64" s="78"/>
      <c r="K64" s="78"/>
      <c r="L64" s="78"/>
      <c r="M64" s="77"/>
      <c r="N64" s="77"/>
      <c r="O64" s="77"/>
    </row>
    <row r="65" spans="1:15" ht="16.5" customHeight="1" hidden="1">
      <c r="A65" s="82"/>
      <c r="B65" s="240">
        <f>+Data!C55</f>
        <v>403</v>
      </c>
      <c r="F65" s="77"/>
      <c r="G65" s="78"/>
      <c r="H65" s="78">
        <f>+Data!H55</f>
        <v>79156</v>
      </c>
      <c r="I65" s="78"/>
      <c r="K65" s="78"/>
      <c r="L65" s="78"/>
      <c r="M65" s="77"/>
      <c r="N65" s="77"/>
      <c r="O65" s="77"/>
    </row>
    <row r="66" spans="1:15" ht="16.5" customHeight="1" hidden="1">
      <c r="A66" s="82"/>
      <c r="B66" s="240">
        <f>+Data!C64</f>
        <v>404</v>
      </c>
      <c r="C66" s="240" t="str">
        <f>+Data!D64</f>
        <v>X31</v>
      </c>
      <c r="F66" s="77"/>
      <c r="G66" s="78"/>
      <c r="H66" s="78">
        <f>+Data!H64</f>
        <v>63188</v>
      </c>
      <c r="I66" s="78"/>
      <c r="K66" s="78"/>
      <c r="L66" s="78"/>
      <c r="M66" s="77"/>
      <c r="N66" s="77"/>
      <c r="O66" s="77"/>
    </row>
    <row r="67" spans="1:15" ht="16.5" customHeight="1" hidden="1">
      <c r="A67" s="82"/>
      <c r="B67" s="240">
        <f>+Data!C68</f>
        <v>404</v>
      </c>
      <c r="C67" s="240" t="str">
        <f>+Data!D68</f>
        <v>X32</v>
      </c>
      <c r="F67" s="77"/>
      <c r="G67" s="78"/>
      <c r="H67" s="78">
        <f>+Data!H68</f>
        <v>218976</v>
      </c>
      <c r="I67" s="78"/>
      <c r="K67" s="78"/>
      <c r="L67" s="78"/>
      <c r="M67" s="77"/>
      <c r="N67" s="77"/>
      <c r="O67" s="77"/>
    </row>
    <row r="68" spans="1:15" ht="16.5" customHeight="1" hidden="1">
      <c r="A68" s="82">
        <f>+Data!B65</f>
        <v>7</v>
      </c>
      <c r="B68" s="240">
        <f>+Data!C65</f>
        <v>404</v>
      </c>
      <c r="C68" s="240" t="str">
        <f>+Data!D65</f>
        <v>X31</v>
      </c>
      <c r="F68" s="77"/>
      <c r="G68" s="78">
        <f>+Data!H65</f>
        <v>2480493</v>
      </c>
      <c r="H68" s="78">
        <f>+'C-AMT'!G9</f>
        <v>1784963</v>
      </c>
      <c r="I68" s="78"/>
      <c r="K68" s="78"/>
      <c r="L68" s="78"/>
      <c r="M68" s="77"/>
      <c r="N68" s="77"/>
      <c r="O68" s="77"/>
    </row>
    <row r="69" spans="1:15" ht="16.5" customHeight="1" hidden="1">
      <c r="A69" s="82">
        <f>+Data!B66</f>
        <v>8</v>
      </c>
      <c r="B69" s="240">
        <f>+Data!C66</f>
        <v>404</v>
      </c>
      <c r="C69" s="240" t="str">
        <f>+Data!D66</f>
        <v>X31</v>
      </c>
      <c r="F69" s="77"/>
      <c r="G69" s="78">
        <f>+Data!H66</f>
        <v>0</v>
      </c>
      <c r="H69" s="78">
        <f>+'C-AMT'!G10</f>
        <v>0</v>
      </c>
      <c r="I69" s="78"/>
      <c r="K69" s="78"/>
      <c r="L69" s="78"/>
      <c r="M69" s="77"/>
      <c r="N69" s="77"/>
      <c r="O69" s="77"/>
    </row>
    <row r="70" spans="1:15" ht="16.5" customHeight="1" hidden="1">
      <c r="A70" s="82">
        <f>+Data!B67</f>
        <v>9</v>
      </c>
      <c r="B70" s="240">
        <f>+Data!C67</f>
        <v>404</v>
      </c>
      <c r="C70" s="240" t="str">
        <f>+Data!D67</f>
        <v>X31</v>
      </c>
      <c r="F70" s="77"/>
      <c r="G70" s="78">
        <f>+Data!H67</f>
        <v>6873</v>
      </c>
      <c r="H70" s="78">
        <f>+'C-AMT'!G11</f>
        <v>5438</v>
      </c>
      <c r="I70" s="78"/>
      <c r="K70" s="78"/>
      <c r="L70" s="78"/>
      <c r="M70" s="77"/>
      <c r="N70" s="77"/>
      <c r="O70" s="77"/>
    </row>
    <row r="71" spans="1:15" ht="16.5" customHeight="1" hidden="1">
      <c r="A71" s="82">
        <f>+Data!B69</f>
        <v>7</v>
      </c>
      <c r="B71" s="240">
        <f>+Data!C69</f>
        <v>404</v>
      </c>
      <c r="C71" s="240" t="str">
        <f>+Data!D69</f>
        <v>X32</v>
      </c>
      <c r="F71" s="77"/>
      <c r="G71" s="78">
        <f>+Data!H69</f>
        <v>1772867</v>
      </c>
      <c r="H71" s="78">
        <f>+'C-AMT'!G14</f>
        <v>1275755</v>
      </c>
      <c r="I71" s="78"/>
      <c r="K71" s="78"/>
      <c r="L71" s="78"/>
      <c r="M71" s="77"/>
      <c r="N71" s="77"/>
      <c r="O71" s="77"/>
    </row>
    <row r="72" spans="1:15" ht="16.5" customHeight="1" hidden="1">
      <c r="A72" s="82">
        <f>+Data!B70</f>
        <v>8</v>
      </c>
      <c r="B72" s="240">
        <f>+Data!C70</f>
        <v>404</v>
      </c>
      <c r="C72" s="240" t="str">
        <f>+Data!D70</f>
        <v>X32</v>
      </c>
      <c r="F72" s="77"/>
      <c r="G72" s="78">
        <f>+Data!H70</f>
        <v>165004</v>
      </c>
      <c r="H72" s="78">
        <f>+'C-AMT'!G15</f>
        <v>0</v>
      </c>
      <c r="I72" s="78"/>
      <c r="K72" s="78"/>
      <c r="L72" s="78"/>
      <c r="M72" s="77"/>
      <c r="N72" s="77"/>
      <c r="O72" s="77"/>
    </row>
    <row r="73" spans="1:15" ht="16.5" customHeight="1" hidden="1">
      <c r="A73" s="82">
        <f>+Data!B71</f>
        <v>9</v>
      </c>
      <c r="B73" s="240">
        <f>+Data!C71</f>
        <v>404</v>
      </c>
      <c r="C73" s="240" t="str">
        <f>+Data!D71</f>
        <v>X32</v>
      </c>
      <c r="F73" s="77"/>
      <c r="G73" s="78">
        <f>+Data!H71</f>
        <v>0</v>
      </c>
      <c r="H73" s="78">
        <f>+'C-AMT'!G16</f>
        <v>0</v>
      </c>
      <c r="I73" s="78"/>
      <c r="K73" s="78"/>
      <c r="L73" s="78"/>
      <c r="M73" s="77"/>
      <c r="N73" s="77"/>
      <c r="O73" s="77"/>
    </row>
    <row r="74" spans="1:15" ht="16.5" customHeight="1" hidden="1">
      <c r="A74" s="82">
        <f>+Data!B72</f>
        <v>7</v>
      </c>
      <c r="B74" s="240">
        <f>+Data!C72</f>
        <v>404</v>
      </c>
      <c r="C74" s="240" t="str">
        <f>+Data!D72</f>
        <v>X33</v>
      </c>
      <c r="F74" s="77"/>
      <c r="G74" s="78">
        <f>+Data!H72</f>
        <v>0</v>
      </c>
      <c r="H74" s="78">
        <f>+'C-AMT'!G19</f>
        <v>0</v>
      </c>
      <c r="I74" s="78"/>
      <c r="K74" s="78"/>
      <c r="L74" s="78"/>
      <c r="M74" s="77"/>
      <c r="N74" s="77"/>
      <c r="O74" s="77"/>
    </row>
    <row r="75" spans="1:15" ht="16.5" customHeight="1" hidden="1">
      <c r="A75" s="82">
        <f>+Data!B73</f>
        <v>8</v>
      </c>
      <c r="B75" s="240">
        <f>+Data!C73</f>
        <v>404</v>
      </c>
      <c r="C75" s="240" t="str">
        <f>+Data!D73</f>
        <v>X33</v>
      </c>
      <c r="F75" s="77"/>
      <c r="G75" s="78">
        <f>+Data!H73</f>
        <v>0</v>
      </c>
      <c r="H75" s="78">
        <f>+'C-AMT'!G20</f>
        <v>0</v>
      </c>
      <c r="I75" s="78"/>
      <c r="K75" s="78"/>
      <c r="L75" s="78"/>
      <c r="M75" s="77"/>
      <c r="N75" s="77"/>
      <c r="O75" s="77"/>
    </row>
    <row r="76" spans="1:15" ht="16.5" customHeight="1" hidden="1">
      <c r="A76" s="82">
        <f>+Data!B74</f>
        <v>9</v>
      </c>
      <c r="B76" s="240">
        <f>+Data!C74</f>
        <v>404</v>
      </c>
      <c r="C76" s="240" t="str">
        <f>+Data!D74</f>
        <v>X33</v>
      </c>
      <c r="F76" s="77"/>
      <c r="G76" s="78">
        <f>+Data!H74</f>
        <v>0</v>
      </c>
      <c r="H76" s="78">
        <f>+'C-AMT'!G21</f>
        <v>0</v>
      </c>
      <c r="I76" s="78"/>
      <c r="K76" s="78"/>
      <c r="L76" s="78"/>
      <c r="M76" s="77"/>
      <c r="N76" s="77"/>
      <c r="O76" s="77"/>
    </row>
    <row r="77" spans="1:15" ht="16.5" customHeight="1" hidden="1">
      <c r="A77" s="82"/>
      <c r="B77" s="240">
        <f>+Data!C75</f>
        <v>404</v>
      </c>
      <c r="F77" s="77"/>
      <c r="G77" s="78"/>
      <c r="H77" s="78">
        <f>+Data!H75</f>
        <v>0</v>
      </c>
      <c r="I77" s="78"/>
      <c r="K77" s="78"/>
      <c r="L77" s="78"/>
      <c r="M77" s="77"/>
      <c r="N77" s="77"/>
      <c r="O77" s="77"/>
    </row>
    <row r="78" spans="1:15" ht="16.5" customHeight="1" hidden="1">
      <c r="A78" s="82">
        <f>+Data!B76</f>
        <v>7</v>
      </c>
      <c r="B78" s="240">
        <f>+Data!C76</f>
        <v>404</v>
      </c>
      <c r="C78" s="240" t="str">
        <f>+Data!D76</f>
        <v>X50</v>
      </c>
      <c r="F78" s="77"/>
      <c r="G78" s="78">
        <f>+Data!H76</f>
        <v>10303</v>
      </c>
      <c r="H78" s="78">
        <f>+'C-AMT'!G24</f>
        <v>7414</v>
      </c>
      <c r="I78" s="78"/>
      <c r="K78" s="78"/>
      <c r="L78" s="78"/>
      <c r="M78" s="77"/>
      <c r="N78" s="77"/>
      <c r="O78" s="77"/>
    </row>
    <row r="79" spans="1:15" ht="16.5" customHeight="1" hidden="1">
      <c r="A79" s="82">
        <f>+Data!B77</f>
        <v>8</v>
      </c>
      <c r="B79" s="240">
        <f>+Data!C77</f>
        <v>404</v>
      </c>
      <c r="C79" s="240" t="str">
        <f>+Data!D77</f>
        <v>X50</v>
      </c>
      <c r="F79" s="77"/>
      <c r="G79" s="78">
        <f>+Data!H77</f>
        <v>0</v>
      </c>
      <c r="H79" s="78">
        <f>+'C-AMT'!G25</f>
        <v>0</v>
      </c>
      <c r="I79" s="78"/>
      <c r="K79" s="78"/>
      <c r="L79" s="78"/>
      <c r="M79" s="77"/>
      <c r="N79" s="77"/>
      <c r="O79" s="77"/>
    </row>
    <row r="80" spans="1:15" ht="16.5" customHeight="1" hidden="1">
      <c r="A80" s="82">
        <f>+Data!B78</f>
        <v>9</v>
      </c>
      <c r="B80" s="240">
        <f>+Data!C78</f>
        <v>404</v>
      </c>
      <c r="C80" s="240" t="str">
        <f>+Data!D78</f>
        <v>X50</v>
      </c>
      <c r="F80" s="77"/>
      <c r="G80" s="78">
        <f>+Data!H78</f>
        <v>0</v>
      </c>
      <c r="H80" s="78">
        <f>+'C-AMT'!G26</f>
        <v>0</v>
      </c>
      <c r="I80" s="78"/>
      <c r="K80" s="78"/>
      <c r="L80" s="78"/>
      <c r="M80" s="77"/>
      <c r="N80" s="77"/>
      <c r="O80" s="77"/>
    </row>
    <row r="81" spans="1:15" ht="16.5" customHeight="1" hidden="1">
      <c r="A81" s="82"/>
      <c r="B81" s="106"/>
      <c r="C81" s="241"/>
      <c r="F81" s="77"/>
      <c r="G81" s="78"/>
      <c r="H81" s="78"/>
      <c r="I81" s="78"/>
      <c r="K81" s="78"/>
      <c r="L81" s="78"/>
      <c r="M81" s="77"/>
      <c r="N81" s="77"/>
      <c r="O81" s="77"/>
    </row>
    <row r="82" spans="1:15" ht="16.5" customHeight="1" hidden="1" thickBot="1">
      <c r="A82" s="82"/>
      <c r="B82" s="106"/>
      <c r="C82" s="241"/>
      <c r="F82" s="77"/>
      <c r="G82" s="242">
        <f>SUM(G42:G81)</f>
        <v>10969318</v>
      </c>
      <c r="H82" s="242">
        <f>SUM(H42:H81)</f>
        <v>70875147</v>
      </c>
      <c r="I82" s="78"/>
      <c r="K82" s="78"/>
      <c r="L82" s="78"/>
      <c r="M82" s="77"/>
      <c r="N82" s="77"/>
      <c r="O82" s="77"/>
    </row>
    <row r="83" spans="1:15" ht="16.5" customHeight="1" hidden="1" thickTop="1">
      <c r="A83" s="82"/>
      <c r="B83" s="106"/>
      <c r="C83" s="241"/>
      <c r="F83" s="77"/>
      <c r="G83" s="78"/>
      <c r="H83" s="78"/>
      <c r="I83" s="78"/>
      <c r="K83" s="78"/>
      <c r="L83" s="78"/>
      <c r="M83" s="77"/>
      <c r="N83" s="77"/>
      <c r="O83" s="77"/>
    </row>
    <row r="84" spans="1:14" ht="16.5" customHeight="1">
      <c r="A84" s="82"/>
      <c r="B84" s="243"/>
      <c r="C84" s="77" t="s">
        <v>369</v>
      </c>
      <c r="F84" s="107">
        <f>SUM(F8:F83)-SUM(F42:F82)</f>
        <v>20615886</v>
      </c>
      <c r="G84" s="107">
        <f>SUM(G8:G83)-SUM(G42:G82)</f>
        <v>43083468</v>
      </c>
      <c r="H84" s="108">
        <f>IF(G84-J84-M84=0,(SUM(H8:H83)-SUM(H42:H82)),0)</f>
        <v>63699354</v>
      </c>
      <c r="I84" s="107">
        <f aca="true" t="shared" si="15" ref="I84:N84">SUM(I8:I83)-SUM(I42:I82)</f>
        <v>17347028</v>
      </c>
      <c r="J84" s="107">
        <f t="shared" si="15"/>
        <v>27896590</v>
      </c>
      <c r="K84" s="108">
        <f t="shared" si="15"/>
        <v>45243618</v>
      </c>
      <c r="L84" s="107">
        <f t="shared" si="15"/>
        <v>3268858</v>
      </c>
      <c r="M84" s="107">
        <f t="shared" si="15"/>
        <v>15186878</v>
      </c>
      <c r="N84" s="107">
        <f t="shared" si="15"/>
        <v>18455736</v>
      </c>
    </row>
    <row r="85" spans="1:14" ht="16.5" customHeight="1">
      <c r="A85" s="82"/>
      <c r="B85" s="243"/>
      <c r="C85" s="77"/>
      <c r="F85" s="77"/>
      <c r="G85" s="77"/>
      <c r="H85" s="114" t="str">
        <f>IF(H84=0,+G84-J84-M84," ")</f>
        <v> </v>
      </c>
      <c r="I85" s="77"/>
      <c r="J85" s="77"/>
      <c r="K85" s="114"/>
      <c r="L85" s="77"/>
      <c r="M85" s="77"/>
      <c r="N85" s="77"/>
    </row>
    <row r="86" spans="1:14" ht="16.5" customHeight="1">
      <c r="A86" s="82"/>
      <c r="B86" s="243"/>
      <c r="C86" s="84" t="s">
        <v>370</v>
      </c>
      <c r="F86" s="77"/>
      <c r="G86" s="77"/>
      <c r="H86" s="78"/>
      <c r="I86" s="77"/>
      <c r="J86" s="77"/>
      <c r="K86" s="78"/>
      <c r="L86" s="77"/>
      <c r="M86" s="77"/>
      <c r="N86" s="77"/>
    </row>
    <row r="87" spans="1:15" ht="16.5" customHeight="1">
      <c r="A87" s="82">
        <v>4</v>
      </c>
      <c r="B87" s="116">
        <v>997036</v>
      </c>
      <c r="C87" s="77" t="s">
        <v>872</v>
      </c>
      <c r="F87" s="77">
        <f>I87+L87</f>
        <v>0</v>
      </c>
      <c r="G87" s="77">
        <f>+Data!H179</f>
        <v>0</v>
      </c>
      <c r="H87" s="78">
        <f>F87+G87</f>
        <v>0</v>
      </c>
      <c r="I87" s="77">
        <v>0</v>
      </c>
      <c r="J87" s="77">
        <f aca="true" t="shared" si="16" ref="J87:J95">G87*VLOOKUP(A87,Allocators,7)</f>
        <v>0</v>
      </c>
      <c r="K87" s="78">
        <f>I87+J87</f>
        <v>0</v>
      </c>
      <c r="L87" s="77">
        <v>0</v>
      </c>
      <c r="M87" s="77">
        <f aca="true" t="shared" si="17" ref="M87:M95">G87*VLOOKUP(A87,Allocators,8)</f>
        <v>0</v>
      </c>
      <c r="N87" s="77">
        <f>L87+M87</f>
        <v>0</v>
      </c>
      <c r="O87" s="77" t="str">
        <f>IF(H87-K87-N87=0," ",+H87-K87-N87)</f>
        <v> </v>
      </c>
    </row>
    <row r="88" spans="1:15" ht="16.5" customHeight="1">
      <c r="A88" s="82">
        <v>1</v>
      </c>
      <c r="B88" s="116">
        <v>997041</v>
      </c>
      <c r="C88" s="77" t="s">
        <v>708</v>
      </c>
      <c r="F88" s="77">
        <f aca="true" t="shared" si="18" ref="F88:F95">I88+L88</f>
        <v>0</v>
      </c>
      <c r="G88" s="77">
        <f>Data!H183</f>
        <v>3839441</v>
      </c>
      <c r="H88" s="78">
        <f aca="true" t="shared" si="19" ref="H88:H95">F88+G88</f>
        <v>3839441</v>
      </c>
      <c r="I88" s="77">
        <v>0</v>
      </c>
      <c r="J88" s="77">
        <f t="shared" si="16"/>
        <v>2479895</v>
      </c>
      <c r="K88" s="78">
        <f aca="true" t="shared" si="20" ref="K88:K95">I88+J88</f>
        <v>2479895</v>
      </c>
      <c r="L88" s="77">
        <v>0</v>
      </c>
      <c r="M88" s="77">
        <f t="shared" si="17"/>
        <v>1359546</v>
      </c>
      <c r="N88" s="77">
        <f aca="true" t="shared" si="21" ref="N88:N95">L88+M88</f>
        <v>1359546</v>
      </c>
      <c r="O88" s="77" t="str">
        <f aca="true" t="shared" si="22" ref="O88:O95">IF(H88-K88-N88=0," ",+H88-K88-N88)</f>
        <v> </v>
      </c>
    </row>
    <row r="89" spans="1:15" ht="16.5" customHeight="1">
      <c r="A89" s="82">
        <v>99</v>
      </c>
      <c r="B89" s="116">
        <v>997043</v>
      </c>
      <c r="C89" s="77" t="s">
        <v>203</v>
      </c>
      <c r="F89" s="77">
        <f t="shared" si="18"/>
        <v>-17668384</v>
      </c>
      <c r="G89" s="77">
        <v>0</v>
      </c>
      <c r="H89" s="78">
        <f t="shared" si="19"/>
        <v>-17668384</v>
      </c>
      <c r="I89" s="77">
        <f>Data!J184</f>
        <v>-17668384</v>
      </c>
      <c r="J89" s="77">
        <f t="shared" si="16"/>
        <v>0</v>
      </c>
      <c r="K89" s="78">
        <f t="shared" si="20"/>
        <v>-17668384</v>
      </c>
      <c r="L89" s="77">
        <v>0</v>
      </c>
      <c r="M89" s="77">
        <f t="shared" si="17"/>
        <v>0</v>
      </c>
      <c r="N89" s="77">
        <f t="shared" si="21"/>
        <v>0</v>
      </c>
      <c r="O89" s="77" t="str">
        <f t="shared" si="22"/>
        <v> </v>
      </c>
    </row>
    <row r="90" spans="1:15" ht="16.5" customHeight="1">
      <c r="A90" s="82">
        <v>1</v>
      </c>
      <c r="B90" s="116">
        <v>997044</v>
      </c>
      <c r="C90" s="77" t="s">
        <v>608</v>
      </c>
      <c r="F90" s="77">
        <f>I90+L90</f>
        <v>0</v>
      </c>
      <c r="G90" s="77">
        <f>+Data!H185</f>
        <v>242498</v>
      </c>
      <c r="H90" s="78">
        <f>F90+G90</f>
        <v>242498</v>
      </c>
      <c r="I90" s="77">
        <v>0</v>
      </c>
      <c r="J90" s="77">
        <f t="shared" si="16"/>
        <v>156629</v>
      </c>
      <c r="K90" s="78">
        <f>I90+J90</f>
        <v>156629</v>
      </c>
      <c r="L90" s="77">
        <v>0</v>
      </c>
      <c r="M90" s="77">
        <f t="shared" si="17"/>
        <v>85869</v>
      </c>
      <c r="N90" s="77">
        <f>L90+M90</f>
        <v>85869</v>
      </c>
      <c r="O90" s="77" t="str">
        <f t="shared" si="22"/>
        <v> </v>
      </c>
    </row>
    <row r="91" spans="1:15" ht="16.5" customHeight="1">
      <c r="A91" s="82">
        <v>1</v>
      </c>
      <c r="B91" s="116">
        <v>997045</v>
      </c>
      <c r="C91" s="77" t="s">
        <v>175</v>
      </c>
      <c r="F91" s="77">
        <f>I91+L91</f>
        <v>0</v>
      </c>
      <c r="G91" s="77">
        <f>+Data!H181</f>
        <v>4600498</v>
      </c>
      <c r="H91" s="78">
        <f>F91+G91</f>
        <v>4600498</v>
      </c>
      <c r="I91" s="77">
        <v>0</v>
      </c>
      <c r="J91" s="77">
        <f t="shared" si="16"/>
        <v>2971462</v>
      </c>
      <c r="K91" s="78">
        <f>I91+J91</f>
        <v>2971462</v>
      </c>
      <c r="L91" s="77">
        <v>0</v>
      </c>
      <c r="M91" s="77">
        <f t="shared" si="17"/>
        <v>1629036</v>
      </c>
      <c r="N91" s="77">
        <f>L91+M91</f>
        <v>1629036</v>
      </c>
      <c r="O91" s="77" t="str">
        <f t="shared" si="22"/>
        <v> </v>
      </c>
    </row>
    <row r="92" spans="1:15" ht="16.5" customHeight="1">
      <c r="A92" s="82">
        <v>4</v>
      </c>
      <c r="B92" s="116">
        <v>997046</v>
      </c>
      <c r="C92" s="77" t="s">
        <v>704</v>
      </c>
      <c r="F92" s="77">
        <f>I92+L92</f>
        <v>22298</v>
      </c>
      <c r="G92" s="77">
        <f>Data!I186</f>
        <v>-5502</v>
      </c>
      <c r="H92" s="78">
        <f>F92+G92</f>
        <v>16796</v>
      </c>
      <c r="I92" s="77">
        <f>+Data!J186</f>
        <v>27510</v>
      </c>
      <c r="J92" s="77">
        <f t="shared" si="16"/>
        <v>-3582</v>
      </c>
      <c r="K92" s="78">
        <f>I92+J92</f>
        <v>23928</v>
      </c>
      <c r="L92" s="77">
        <f>Data!K186</f>
        <v>-5212</v>
      </c>
      <c r="M92" s="77">
        <f t="shared" si="17"/>
        <v>-1920</v>
      </c>
      <c r="N92" s="77">
        <f>L92+M92</f>
        <v>-7132</v>
      </c>
      <c r="O92" s="77" t="str">
        <f t="shared" si="22"/>
        <v> </v>
      </c>
    </row>
    <row r="93" spans="1:15" ht="16.5" customHeight="1">
      <c r="A93" s="82">
        <v>99</v>
      </c>
      <c r="B93" s="116">
        <v>997047</v>
      </c>
      <c r="C93" s="77" t="s">
        <v>929</v>
      </c>
      <c r="F93" s="77">
        <f t="shared" si="18"/>
        <v>421455</v>
      </c>
      <c r="G93" s="77">
        <v>0</v>
      </c>
      <c r="H93" s="78">
        <f t="shared" si="19"/>
        <v>421455</v>
      </c>
      <c r="I93" s="77">
        <v>0</v>
      </c>
      <c r="J93" s="77">
        <f t="shared" si="16"/>
        <v>0</v>
      </c>
      <c r="K93" s="78">
        <f t="shared" si="20"/>
        <v>0</v>
      </c>
      <c r="L93" s="77">
        <f>Data!H187</f>
        <v>421455</v>
      </c>
      <c r="M93" s="77">
        <f t="shared" si="17"/>
        <v>0</v>
      </c>
      <c r="N93" s="77">
        <f t="shared" si="21"/>
        <v>421455</v>
      </c>
      <c r="O93" s="77" t="str">
        <f t="shared" si="22"/>
        <v> </v>
      </c>
    </row>
    <row r="94" spans="1:15" ht="16.5" customHeight="1">
      <c r="A94" s="82">
        <v>12</v>
      </c>
      <c r="B94" s="116">
        <v>997048</v>
      </c>
      <c r="C94" s="77" t="s">
        <v>706</v>
      </c>
      <c r="F94" s="77">
        <f t="shared" si="18"/>
        <v>0</v>
      </c>
      <c r="G94" s="77"/>
      <c r="H94" s="78">
        <f t="shared" si="19"/>
        <v>0</v>
      </c>
      <c r="I94" s="77">
        <v>0</v>
      </c>
      <c r="J94" s="77">
        <f t="shared" si="16"/>
        <v>0</v>
      </c>
      <c r="K94" s="78">
        <f t="shared" si="20"/>
        <v>0</v>
      </c>
      <c r="L94" s="77">
        <v>0</v>
      </c>
      <c r="M94" s="77">
        <f t="shared" si="17"/>
        <v>0</v>
      </c>
      <c r="N94" s="77">
        <f t="shared" si="21"/>
        <v>0</v>
      </c>
      <c r="O94" s="77" t="str">
        <f t="shared" si="22"/>
        <v> </v>
      </c>
    </row>
    <row r="95" spans="1:15" ht="16.5" customHeight="1">
      <c r="A95" s="82">
        <v>11</v>
      </c>
      <c r="B95" s="116">
        <v>997049</v>
      </c>
      <c r="C95" s="77" t="s">
        <v>705</v>
      </c>
      <c r="F95" s="77">
        <f t="shared" si="18"/>
        <v>0</v>
      </c>
      <c r="G95" s="77">
        <f>Data!H189</f>
        <v>93843040</v>
      </c>
      <c r="H95" s="78">
        <f t="shared" si="19"/>
        <v>93843040</v>
      </c>
      <c r="I95" s="77">
        <v>0</v>
      </c>
      <c r="J95" s="77">
        <f t="shared" si="16"/>
        <v>60262247</v>
      </c>
      <c r="K95" s="78">
        <f t="shared" si="20"/>
        <v>60262247</v>
      </c>
      <c r="L95" s="77">
        <v>0</v>
      </c>
      <c r="M95" s="77">
        <f t="shared" si="17"/>
        <v>33580793</v>
      </c>
      <c r="N95" s="77">
        <f t="shared" si="21"/>
        <v>33580793</v>
      </c>
      <c r="O95" s="77" t="str">
        <f t="shared" si="22"/>
        <v> </v>
      </c>
    </row>
    <row r="96" spans="1:15" ht="16.5" customHeight="1">
      <c r="A96" s="82">
        <v>99</v>
      </c>
      <c r="B96" s="116">
        <v>997050</v>
      </c>
      <c r="C96" s="77" t="s">
        <v>227</v>
      </c>
      <c r="F96" s="77">
        <f>I96+L96</f>
        <v>201779</v>
      </c>
      <c r="G96" s="77">
        <v>0</v>
      </c>
      <c r="H96" s="78">
        <f>F96+G96</f>
        <v>201779</v>
      </c>
      <c r="I96" s="77">
        <v>0</v>
      </c>
      <c r="J96" s="77">
        <v>0</v>
      </c>
      <c r="K96" s="78">
        <f>I96+J96</f>
        <v>0</v>
      </c>
      <c r="L96" s="77">
        <f>Data!K190</f>
        <v>201779</v>
      </c>
      <c r="M96" s="77">
        <v>0</v>
      </c>
      <c r="N96" s="77">
        <f>L96+M96</f>
        <v>201779</v>
      </c>
      <c r="O96" s="77" t="str">
        <f>IF(H96-K96-N96=0," ",+H96-K96-N96)</f>
        <v> </v>
      </c>
    </row>
    <row r="97" spans="1:15" ht="16.5" customHeight="1">
      <c r="A97" s="82">
        <v>99</v>
      </c>
      <c r="B97" s="116">
        <v>997058</v>
      </c>
      <c r="C97" s="77" t="s">
        <v>927</v>
      </c>
      <c r="F97" s="77">
        <f>I97+L97</f>
        <v>985295</v>
      </c>
      <c r="G97" s="77">
        <v>0</v>
      </c>
      <c r="H97" s="78">
        <f>F97+G97</f>
        <v>985295</v>
      </c>
      <c r="I97" s="77">
        <v>0</v>
      </c>
      <c r="J97" s="77">
        <v>0</v>
      </c>
      <c r="K97" s="78">
        <f>I97+J97</f>
        <v>0</v>
      </c>
      <c r="L97" s="77">
        <f>Data!K192</f>
        <v>985295</v>
      </c>
      <c r="M97" s="77"/>
      <c r="N97" s="77">
        <f>L97+M97</f>
        <v>985295</v>
      </c>
      <c r="O97" s="77" t="str">
        <f>IF(H97-K97-N97=0," ",+H97-K97-N97)</f>
        <v> </v>
      </c>
    </row>
    <row r="98" spans="1:15" ht="16.5" customHeight="1">
      <c r="A98" s="82">
        <v>99</v>
      </c>
      <c r="B98" s="116">
        <v>997059</v>
      </c>
      <c r="C98" s="77" t="s">
        <v>928</v>
      </c>
      <c r="F98" s="77">
        <f>I98+L98</f>
        <v>1797238</v>
      </c>
      <c r="G98" s="77">
        <v>0</v>
      </c>
      <c r="H98" s="78">
        <f>F98+G98</f>
        <v>1797238</v>
      </c>
      <c r="I98" s="77">
        <f>Data!J193</f>
        <v>1797238</v>
      </c>
      <c r="J98" s="77">
        <v>0</v>
      </c>
      <c r="K98" s="78">
        <f>I98+J98</f>
        <v>1797238</v>
      </c>
      <c r="L98" s="77">
        <v>0</v>
      </c>
      <c r="M98" s="77"/>
      <c r="N98" s="77">
        <f>L98+M98</f>
        <v>0</v>
      </c>
      <c r="O98" s="77" t="str">
        <f>IF(H98-K98-N98=0," ",+H98-K98-N98)</f>
        <v> </v>
      </c>
    </row>
    <row r="99" spans="1:15" ht="16.5" customHeight="1">
      <c r="A99" s="82">
        <v>4</v>
      </c>
      <c r="B99" s="116">
        <v>997062</v>
      </c>
      <c r="C99" s="77" t="s">
        <v>707</v>
      </c>
      <c r="F99" s="77">
        <f>I99+L99</f>
        <v>0</v>
      </c>
      <c r="G99" s="77">
        <f>Data!H195</f>
        <v>196092</v>
      </c>
      <c r="H99" s="78">
        <f>F99+G99</f>
        <v>196092</v>
      </c>
      <c r="I99" s="77">
        <v>0</v>
      </c>
      <c r="J99" s="77">
        <f>G99*VLOOKUP(A99,Allocators,7)</f>
        <v>127650</v>
      </c>
      <c r="K99" s="78">
        <f>I99+J99</f>
        <v>127650</v>
      </c>
      <c r="L99" s="77">
        <v>0</v>
      </c>
      <c r="M99" s="77">
        <f>G99*VLOOKUP(A99,Allocators,8)</f>
        <v>68442</v>
      </c>
      <c r="N99" s="77">
        <f>L99+M99</f>
        <v>68442</v>
      </c>
      <c r="O99" s="77" t="str">
        <f>IF(H99-K99-N99=0," ",+H99-K99-N99)</f>
        <v> </v>
      </c>
    </row>
    <row r="100" spans="1:15" ht="16.5" customHeight="1">
      <c r="A100" s="82"/>
      <c r="B100" s="83"/>
      <c r="C100" s="77" t="s">
        <v>371</v>
      </c>
      <c r="F100" s="107">
        <f aca="true" t="shared" si="23" ref="F100:N100">SUM(F87:F99)</f>
        <v>-14240319</v>
      </c>
      <c r="G100" s="107">
        <f t="shared" si="23"/>
        <v>102716067</v>
      </c>
      <c r="H100" s="108">
        <f t="shared" si="23"/>
        <v>88475748</v>
      </c>
      <c r="I100" s="107">
        <f t="shared" si="23"/>
        <v>-15843636</v>
      </c>
      <c r="J100" s="107">
        <f t="shared" si="23"/>
        <v>65994301</v>
      </c>
      <c r="K100" s="108">
        <f t="shared" si="23"/>
        <v>50150665</v>
      </c>
      <c r="L100" s="107">
        <f t="shared" si="23"/>
        <v>1603317</v>
      </c>
      <c r="M100" s="107">
        <f t="shared" si="23"/>
        <v>36721766</v>
      </c>
      <c r="N100" s="107">
        <f t="shared" si="23"/>
        <v>38325083</v>
      </c>
      <c r="O100" s="77" t="str">
        <f>IF(H100-K100-N100=0," ",+H100-K100-N100)</f>
        <v> </v>
      </c>
    </row>
    <row r="101" spans="1:14" ht="16.5" customHeight="1">
      <c r="A101" s="82"/>
      <c r="B101" s="83"/>
      <c r="C101" s="77"/>
      <c r="F101" s="77"/>
      <c r="G101" s="77"/>
      <c r="H101" s="77"/>
      <c r="I101" s="77"/>
      <c r="J101" s="77"/>
      <c r="K101" s="77"/>
      <c r="L101" s="77"/>
      <c r="M101" s="77"/>
      <c r="N101" s="77"/>
    </row>
    <row r="102" spans="1:14" ht="16.5" customHeight="1">
      <c r="A102" s="77" t="s">
        <v>341</v>
      </c>
      <c r="B102" s="83"/>
      <c r="C102" s="77"/>
      <c r="F102" s="77"/>
      <c r="G102" s="77"/>
      <c r="H102" s="77"/>
      <c r="I102" s="77"/>
      <c r="J102" s="77"/>
      <c r="K102" s="77"/>
      <c r="L102" s="77"/>
      <c r="M102" s="77"/>
      <c r="N102" s="77"/>
    </row>
    <row r="103" spans="1:14" ht="16.5" customHeight="1">
      <c r="A103" s="82" t="s">
        <v>735</v>
      </c>
      <c r="B103" s="116">
        <v>1</v>
      </c>
      <c r="C103" s="77" t="str">
        <f>'E-ALL'!C7</f>
        <v>Production/Transmission  Ratio</v>
      </c>
      <c r="F103" s="77"/>
      <c r="G103" s="117">
        <f aca="true" t="shared" si="24" ref="G103:G110">VLOOKUP(B103,Allocators,6)</f>
        <v>1</v>
      </c>
      <c r="H103" s="117"/>
      <c r="I103" s="117"/>
      <c r="J103" s="117">
        <f aca="true" t="shared" si="25" ref="J103:J110">VLOOKUP(B103,Allocators,7)</f>
        <v>0.6459</v>
      </c>
      <c r="K103" s="117"/>
      <c r="L103" s="117"/>
      <c r="M103" s="117">
        <f aca="true" t="shared" si="26" ref="M103:M110">VLOOKUP(B103,Allocators,8)</f>
        <v>0.3541</v>
      </c>
      <c r="N103" s="117"/>
    </row>
    <row r="104" spans="1:14" ht="16.5" customHeight="1">
      <c r="A104" s="82" t="s">
        <v>735</v>
      </c>
      <c r="B104" s="116">
        <v>2</v>
      </c>
      <c r="C104" s="77" t="str">
        <f>'E-ALL'!C10</f>
        <v>Number of Customers</v>
      </c>
      <c r="F104" s="77"/>
      <c r="G104" s="117">
        <f t="shared" si="24"/>
        <v>1</v>
      </c>
      <c r="H104" s="117"/>
      <c r="I104" s="117"/>
      <c r="J104" s="117">
        <f t="shared" si="25"/>
        <v>0.65758</v>
      </c>
      <c r="K104" s="117"/>
      <c r="L104" s="117"/>
      <c r="M104" s="117">
        <f t="shared" si="26"/>
        <v>0.34242</v>
      </c>
      <c r="N104" s="117"/>
    </row>
    <row r="105" spans="1:14" ht="16.5" customHeight="1">
      <c r="A105" s="82" t="s">
        <v>735</v>
      </c>
      <c r="B105" s="116">
        <v>3</v>
      </c>
      <c r="C105" s="77" t="str">
        <f>+'E-ALL'!C14</f>
        <v>Direct Distribution Operating Expense</v>
      </c>
      <c r="F105" s="77"/>
      <c r="G105" s="117">
        <f>VLOOKUP(B105,Allocators,6)</f>
        <v>1</v>
      </c>
      <c r="H105" s="117"/>
      <c r="I105" s="117"/>
      <c r="J105" s="117">
        <f>VLOOKUP(B105,Allocators,7)</f>
        <v>0.66821</v>
      </c>
      <c r="K105" s="117"/>
      <c r="L105" s="117"/>
      <c r="M105" s="117">
        <f>VLOOKUP(B105,Allocators,8)</f>
        <v>0.33179</v>
      </c>
      <c r="N105" s="117"/>
    </row>
    <row r="106" spans="1:14" ht="16.5" customHeight="1">
      <c r="A106" s="82" t="s">
        <v>735</v>
      </c>
      <c r="B106" s="116">
        <v>4</v>
      </c>
      <c r="C106" s="77" t="str">
        <f>'E-ALL'!C18</f>
        <v>Jurisdictional 4-Factor Ratio</v>
      </c>
      <c r="F106" s="77"/>
      <c r="G106" s="117">
        <f t="shared" si="24"/>
        <v>1</v>
      </c>
      <c r="H106" s="117"/>
      <c r="I106" s="117"/>
      <c r="J106" s="117">
        <f t="shared" si="25"/>
        <v>0.65097</v>
      </c>
      <c r="K106" s="117"/>
      <c r="L106" s="117"/>
      <c r="M106" s="117">
        <f t="shared" si="26"/>
        <v>0.34903</v>
      </c>
      <c r="N106" s="117"/>
    </row>
    <row r="107" spans="1:14" ht="16.5" customHeight="1">
      <c r="A107" s="82" t="s">
        <v>735</v>
      </c>
      <c r="B107" s="116">
        <v>10</v>
      </c>
      <c r="C107" s="77" t="str">
        <f>+'E-ALL'!C108</f>
        <v>Net Electric Distribution Plant</v>
      </c>
      <c r="F107" s="77"/>
      <c r="G107" s="244">
        <f t="shared" si="24"/>
        <v>1</v>
      </c>
      <c r="H107" s="117"/>
      <c r="I107" s="117"/>
      <c r="J107" s="117">
        <f t="shared" si="25"/>
        <v>0.61832</v>
      </c>
      <c r="K107" s="117"/>
      <c r="L107" s="117"/>
      <c r="M107" s="117">
        <f t="shared" si="26"/>
        <v>0.38168</v>
      </c>
      <c r="N107" s="117"/>
    </row>
    <row r="108" spans="1:14" ht="16.5" customHeight="1">
      <c r="A108" s="82" t="s">
        <v>735</v>
      </c>
      <c r="B108" s="116">
        <v>11</v>
      </c>
      <c r="C108" s="77" t="str">
        <f>+'E-ALL'!C112</f>
        <v>Book Deprec (0403.XX, 0404.11 &amp; 0406.XX)</v>
      </c>
      <c r="F108" s="77"/>
      <c r="G108" s="244">
        <f t="shared" si="24"/>
        <v>1</v>
      </c>
      <c r="H108" s="117"/>
      <c r="I108" s="117"/>
      <c r="J108" s="117">
        <f t="shared" si="25"/>
        <v>0.64216</v>
      </c>
      <c r="K108" s="117"/>
      <c r="L108" s="117"/>
      <c r="M108" s="117">
        <f t="shared" si="26"/>
        <v>0.35784</v>
      </c>
      <c r="N108" s="117"/>
    </row>
    <row r="109" spans="1:14" ht="16.5" customHeight="1">
      <c r="A109" s="82" t="s">
        <v>735</v>
      </c>
      <c r="B109" s="116">
        <v>12</v>
      </c>
      <c r="C109" s="77" t="str">
        <f>+'E-ALL'!C$116</f>
        <v>Net Electric Plant</v>
      </c>
      <c r="F109" s="77"/>
      <c r="G109" s="244">
        <f t="shared" si="24"/>
        <v>1</v>
      </c>
      <c r="H109" s="117"/>
      <c r="I109" s="117"/>
      <c r="J109" s="117">
        <f t="shared" si="25"/>
        <v>0.63522</v>
      </c>
      <c r="K109" s="117"/>
      <c r="L109" s="117"/>
      <c r="M109" s="117">
        <f t="shared" si="26"/>
        <v>0.36478</v>
      </c>
      <c r="N109" s="117"/>
    </row>
    <row r="110" spans="1:14" ht="16.5" customHeight="1">
      <c r="A110" s="82" t="s">
        <v>735</v>
      </c>
      <c r="B110" s="116">
        <v>99</v>
      </c>
      <c r="C110" s="77" t="str">
        <f>'E-ALL'!C$128</f>
        <v>Not Allocated</v>
      </c>
      <c r="F110" s="77"/>
      <c r="G110" s="117">
        <f t="shared" si="24"/>
        <v>0</v>
      </c>
      <c r="H110" s="117"/>
      <c r="I110" s="117"/>
      <c r="J110" s="117">
        <f t="shared" si="25"/>
        <v>0</v>
      </c>
      <c r="K110" s="117"/>
      <c r="L110" s="117"/>
      <c r="M110" s="117">
        <f t="shared" si="26"/>
        <v>0</v>
      </c>
      <c r="N110" s="117"/>
    </row>
    <row r="111" spans="1:14" ht="14.25">
      <c r="A111" s="82"/>
      <c r="B111" s="83"/>
      <c r="C111" s="77"/>
      <c r="F111" s="77"/>
      <c r="G111" s="77"/>
      <c r="H111" s="77"/>
      <c r="I111" s="77"/>
      <c r="J111" s="77"/>
      <c r="K111" s="77"/>
      <c r="L111" s="77"/>
      <c r="M111" s="77"/>
      <c r="N111" s="77"/>
    </row>
    <row r="120" ht="14.25"/>
    <row r="121" ht="14.25"/>
    <row r="122" ht="14.25"/>
  </sheetData>
  <printOptions/>
  <pageMargins left="0.5" right="0.5" top="0.75" bottom="0.56" header="0.5" footer="0.5"/>
  <pageSetup fitToHeight="0" fitToWidth="1" horizontalDpi="300" verticalDpi="300" orientation="landscape" scale="70" r:id="rId3"/>
  <headerFooter alignWithMargins="0">
    <oddHeader>&amp;LAVISTA UTILITIES&amp;CRESULTS OF OPERATIONS&amp;RRUN DATE: &amp;D</oddHeader>
    <oddFooter>&amp;CPage &amp;P</oddFooter>
  </headerFooter>
  <rowBreaks count="1" manualBreakCount="1">
    <brk id="84" max="13" man="1"/>
  </rowBreaks>
  <legacyDrawing r:id="rId2"/>
</worksheet>
</file>

<file path=xl/worksheets/sheet12.xml><?xml version="1.0" encoding="utf-8"?>
<worksheet xmlns="http://schemas.openxmlformats.org/spreadsheetml/2006/main" xmlns:r="http://schemas.openxmlformats.org/officeDocument/2006/relationships">
  <sheetPr codeName="Sheet10"/>
  <dimension ref="A1:R24"/>
  <sheetViews>
    <sheetView workbookViewId="0" topLeftCell="A1">
      <selection activeCell="A1" sqref="A1"/>
    </sheetView>
  </sheetViews>
  <sheetFormatPr defaultColWidth="9.00390625" defaultRowHeight="16.5" customHeight="1"/>
  <cols>
    <col min="1" max="2" width="10.875" style="84" customWidth="1"/>
    <col min="3" max="4" width="18.00390625" style="84" customWidth="1"/>
    <col min="5" max="5" width="14.875" style="84" customWidth="1"/>
    <col min="6" max="14" width="15.875" style="84" customWidth="1"/>
    <col min="15" max="16384" width="9.375" style="84" customWidth="1"/>
  </cols>
  <sheetData>
    <row r="1" spans="1:18" ht="16.5" customHeight="1">
      <c r="A1" s="77"/>
      <c r="B1" s="77"/>
      <c r="C1" s="77"/>
      <c r="D1" s="77"/>
      <c r="E1" s="77"/>
      <c r="F1" s="77"/>
      <c r="G1" s="77"/>
      <c r="H1" s="77"/>
      <c r="I1" s="77"/>
      <c r="J1" s="77"/>
      <c r="K1" s="77"/>
      <c r="L1" s="77"/>
      <c r="M1" s="77"/>
      <c r="N1" s="77"/>
      <c r="O1" s="77"/>
      <c r="P1" s="77"/>
      <c r="Q1" s="77"/>
      <c r="R1" s="77"/>
    </row>
    <row r="2" spans="1:9" ht="16.5" customHeight="1">
      <c r="A2" s="85" t="s">
        <v>372</v>
      </c>
      <c r="B2" s="86"/>
      <c r="C2" s="87"/>
      <c r="D2" s="88"/>
      <c r="E2" s="89" t="s">
        <v>725</v>
      </c>
      <c r="F2" s="77"/>
      <c r="G2" s="77"/>
      <c r="H2" s="77"/>
      <c r="I2" s="77"/>
    </row>
    <row r="3" spans="1:9" ht="16.5" customHeight="1">
      <c r="A3" s="91" t="str">
        <f>tp_heading</f>
        <v>For Twelve Months Ended September 30, 2008</v>
      </c>
      <c r="D3" s="92"/>
      <c r="E3" s="93" t="str">
        <f>"E-DTE-"&amp;months&amp;rbcalc</f>
        <v>E-DTE-12A</v>
      </c>
      <c r="F3" s="77"/>
      <c r="G3" s="77"/>
      <c r="H3" s="77"/>
      <c r="I3" s="77"/>
    </row>
    <row r="4" spans="1:9" ht="16.5" customHeight="1">
      <c r="A4" s="94" t="str">
        <f>rbcalc_heading</f>
        <v>Average of Monthly Averages Basis</v>
      </c>
      <c r="B4" s="95"/>
      <c r="C4" s="96"/>
      <c r="D4" s="97"/>
      <c r="E4" s="98"/>
      <c r="F4" s="77"/>
      <c r="G4" s="77"/>
      <c r="H4" s="77"/>
      <c r="I4" s="77"/>
    </row>
    <row r="5" spans="1:8" ht="16.5" customHeight="1">
      <c r="A5" s="99" t="s">
        <v>2</v>
      </c>
      <c r="B5" s="100" t="s">
        <v>373</v>
      </c>
      <c r="C5" s="99" t="s">
        <v>844</v>
      </c>
      <c r="D5" s="96"/>
      <c r="E5" s="96"/>
      <c r="F5" s="99" t="s">
        <v>878</v>
      </c>
      <c r="G5" s="99" t="s">
        <v>861</v>
      </c>
      <c r="H5" s="99" t="s">
        <v>862</v>
      </c>
    </row>
    <row r="6" spans="1:8" ht="16.5" customHeight="1">
      <c r="A6" s="101"/>
      <c r="B6" s="102"/>
      <c r="C6" s="101"/>
      <c r="D6" s="103"/>
      <c r="E6" s="103"/>
      <c r="F6" s="101"/>
      <c r="G6" s="101"/>
      <c r="H6" s="101"/>
    </row>
    <row r="7" spans="1:8" ht="16.5" customHeight="1">
      <c r="A7" s="101"/>
      <c r="B7" s="102"/>
      <c r="C7" s="101"/>
      <c r="D7" s="103"/>
      <c r="E7" s="103"/>
      <c r="F7" s="101"/>
      <c r="G7" s="101"/>
      <c r="H7" s="101"/>
    </row>
    <row r="8" spans="1:8" ht="16.5" customHeight="1">
      <c r="A8" s="101">
        <v>14</v>
      </c>
      <c r="B8" s="245">
        <v>410100</v>
      </c>
      <c r="C8" s="246" t="s">
        <v>374</v>
      </c>
      <c r="D8" s="103"/>
      <c r="E8" s="103"/>
      <c r="F8" s="247">
        <f>+Data!I115</f>
        <v>14557269</v>
      </c>
      <c r="G8" s="248">
        <f>F8*VLOOKUP(A8,Allocators,7)</f>
        <v>9300202</v>
      </c>
      <c r="H8" s="248">
        <f>+F8-G8</f>
        <v>5257067</v>
      </c>
    </row>
    <row r="9" spans="1:8" ht="16.5" customHeight="1">
      <c r="A9" s="101">
        <v>99</v>
      </c>
      <c r="B9" s="245">
        <v>410100</v>
      </c>
      <c r="C9" s="246" t="s">
        <v>375</v>
      </c>
      <c r="D9" s="103"/>
      <c r="E9" s="103"/>
      <c r="F9" s="247">
        <f>+G9+H9</f>
        <v>-3064942</v>
      </c>
      <c r="G9" s="247">
        <f>+Data!J115</f>
        <v>-3064942</v>
      </c>
      <c r="H9" s="247">
        <v>0</v>
      </c>
    </row>
    <row r="10" spans="1:8" ht="16.5" customHeight="1">
      <c r="A10" s="101">
        <v>99</v>
      </c>
      <c r="B10" s="245">
        <v>410100</v>
      </c>
      <c r="C10" s="246" t="s">
        <v>376</v>
      </c>
      <c r="D10" s="103"/>
      <c r="E10" s="103"/>
      <c r="F10" s="247">
        <f>+G10+H10</f>
        <v>3490928</v>
      </c>
      <c r="G10" s="247">
        <v>0</v>
      </c>
      <c r="H10" s="247">
        <f>+Data!K115</f>
        <v>3490928</v>
      </c>
    </row>
    <row r="11" spans="1:8" ht="16.5" customHeight="1">
      <c r="A11" s="101"/>
      <c r="B11" s="245"/>
      <c r="C11" s="101" t="s">
        <v>377</v>
      </c>
      <c r="D11" s="103"/>
      <c r="E11" s="103"/>
      <c r="F11" s="249">
        <f>SUM(F8:F10)</f>
        <v>14983255</v>
      </c>
      <c r="G11" s="249">
        <f>SUM(G8:G10)</f>
        <v>6235260</v>
      </c>
      <c r="H11" s="249">
        <f>SUM(H8:H10)</f>
        <v>8747995</v>
      </c>
    </row>
    <row r="12" spans="1:8" ht="16.5" customHeight="1">
      <c r="A12" s="101"/>
      <c r="B12" s="245"/>
      <c r="C12" s="101"/>
      <c r="D12" s="103"/>
      <c r="E12" s="103"/>
      <c r="F12" s="247"/>
      <c r="G12" s="247"/>
      <c r="H12" s="247"/>
    </row>
    <row r="13" spans="1:8" ht="16.5" customHeight="1">
      <c r="A13" s="101">
        <v>14</v>
      </c>
      <c r="B13" s="245">
        <v>411100</v>
      </c>
      <c r="C13" s="246" t="s">
        <v>374</v>
      </c>
      <c r="D13" s="103"/>
      <c r="E13" s="103"/>
      <c r="F13" s="247">
        <f>+Data!I117</f>
        <v>-210834</v>
      </c>
      <c r="G13" s="248">
        <f>F13*VLOOKUP(A13,Allocators,7)</f>
        <v>-134696</v>
      </c>
      <c r="H13" s="248">
        <f>+F13-G13</f>
        <v>-76138</v>
      </c>
    </row>
    <row r="14" spans="1:8" ht="16.5" customHeight="1">
      <c r="A14" s="101">
        <v>99</v>
      </c>
      <c r="B14" s="245">
        <v>411100</v>
      </c>
      <c r="C14" s="246" t="s">
        <v>375</v>
      </c>
      <c r="D14" s="103"/>
      <c r="E14" s="103"/>
      <c r="F14" s="247">
        <f>+G14+H14</f>
        <v>-3030195</v>
      </c>
      <c r="G14" s="247">
        <f>+Data!J117</f>
        <v>-3030195</v>
      </c>
      <c r="H14" s="247">
        <v>0</v>
      </c>
    </row>
    <row r="15" spans="1:8" ht="16.5" customHeight="1">
      <c r="A15" s="101">
        <v>99</v>
      </c>
      <c r="B15" s="245">
        <v>411100</v>
      </c>
      <c r="C15" s="246" t="s">
        <v>376</v>
      </c>
      <c r="D15" s="103"/>
      <c r="E15" s="103"/>
      <c r="F15" s="247">
        <f>+G15+H15</f>
        <v>-1093649</v>
      </c>
      <c r="G15" s="247">
        <v>0</v>
      </c>
      <c r="H15" s="247">
        <f>+Data!K117</f>
        <v>-1093649</v>
      </c>
    </row>
    <row r="16" spans="1:8" ht="16.5" customHeight="1">
      <c r="A16" s="101"/>
      <c r="B16" s="102"/>
      <c r="C16" s="101" t="s">
        <v>377</v>
      </c>
      <c r="D16" s="103"/>
      <c r="E16" s="103"/>
      <c r="F16" s="249">
        <f>SUM(F13:F15)</f>
        <v>-4334678</v>
      </c>
      <c r="G16" s="249">
        <f>SUM(G13:G15)</f>
        <v>-3164891</v>
      </c>
      <c r="H16" s="249">
        <f>SUM(H13:H15)</f>
        <v>-1169787</v>
      </c>
    </row>
    <row r="17" spans="1:8" ht="16.5" customHeight="1">
      <c r="A17" s="101"/>
      <c r="B17" s="102"/>
      <c r="C17" s="101"/>
      <c r="D17" s="103"/>
      <c r="E17" s="103"/>
      <c r="F17" s="247"/>
      <c r="G17" s="247"/>
      <c r="H17" s="247"/>
    </row>
    <row r="18" spans="1:8" ht="16.5" customHeight="1" thickBot="1">
      <c r="A18" s="101"/>
      <c r="B18" s="102"/>
      <c r="C18" s="246" t="s">
        <v>592</v>
      </c>
      <c r="D18" s="103"/>
      <c r="E18" s="103"/>
      <c r="F18" s="250">
        <f>+F16+F11</f>
        <v>10648577</v>
      </c>
      <c r="G18" s="250">
        <f>+G16+G11</f>
        <v>3070369</v>
      </c>
      <c r="H18" s="250">
        <f>+H16+H11</f>
        <v>7578208</v>
      </c>
    </row>
    <row r="19" spans="1:8" ht="16.5" customHeight="1" thickTop="1">
      <c r="A19" s="101"/>
      <c r="B19" s="102"/>
      <c r="C19" s="246"/>
      <c r="D19" s="103"/>
      <c r="E19" s="103"/>
      <c r="F19" s="101"/>
      <c r="G19" s="101"/>
      <c r="H19" s="77" t="str">
        <f>IF(H18+G18-F18=0," ","ERROR")</f>
        <v> </v>
      </c>
    </row>
    <row r="20" spans="1:8" ht="16.5" customHeight="1">
      <c r="A20" s="101"/>
      <c r="B20" s="102"/>
      <c r="C20" s="246"/>
      <c r="D20" s="103"/>
      <c r="E20" s="103"/>
      <c r="F20" s="101"/>
      <c r="G20" s="101"/>
      <c r="H20" s="77"/>
    </row>
    <row r="21" spans="1:8" ht="16.5" customHeight="1">
      <c r="A21" s="101"/>
      <c r="B21" s="102"/>
      <c r="C21" s="101"/>
      <c r="D21" s="103"/>
      <c r="E21" s="103"/>
      <c r="F21" s="101"/>
      <c r="G21" s="101"/>
      <c r="H21" s="101"/>
    </row>
    <row r="22" spans="1:8" ht="16.5" customHeight="1">
      <c r="A22" s="82" t="s">
        <v>735</v>
      </c>
      <c r="B22" s="116">
        <v>14</v>
      </c>
      <c r="C22" s="77" t="str">
        <f>+'E-ALL'!C$123</f>
        <v>Net Allocated Schedule M's</v>
      </c>
      <c r="F22" s="244">
        <f>VLOOKUP(B22,Allocators,6)</f>
        <v>1</v>
      </c>
      <c r="G22" s="244">
        <f>VLOOKUP(B22,Allocators,7)</f>
        <v>0.63887</v>
      </c>
      <c r="H22" s="244">
        <f>VLOOKUP(B22,Allocators,8)</f>
        <v>0.36113</v>
      </c>
    </row>
    <row r="23" spans="1:8" ht="16.5" customHeight="1">
      <c r="A23" s="82" t="s">
        <v>735</v>
      </c>
      <c r="B23" s="116">
        <v>99</v>
      </c>
      <c r="C23" s="77" t="str">
        <f>'E-ALL'!C$128</f>
        <v>Not Allocated</v>
      </c>
      <c r="F23" s="244">
        <v>0</v>
      </c>
      <c r="G23" s="244">
        <v>0</v>
      </c>
      <c r="H23" s="244">
        <v>0</v>
      </c>
    </row>
    <row r="24" spans="1:8" ht="16.5" customHeight="1">
      <c r="A24" s="101"/>
      <c r="B24" s="102"/>
      <c r="C24" s="101"/>
      <c r="D24" s="103"/>
      <c r="E24" s="103"/>
      <c r="F24" s="101"/>
      <c r="G24" s="101"/>
      <c r="H24" s="101"/>
    </row>
  </sheetData>
  <printOptions/>
  <pageMargins left="0.75" right="0.75" top="0.75" bottom="1" header="0.5" footer="0.5"/>
  <pageSetup horizontalDpi="300" verticalDpi="300" orientation="landscape" scale="85" r:id="rId1"/>
  <headerFooter alignWithMargins="0">
    <oddHeader>&amp;LAVISTA UTILITIES&amp;CRESULTS OF OPERATIONS&amp;RRUN DATE: &amp;D</oddHeader>
    <oddFooter>&amp;CPage &amp;P</oddFooter>
  </headerFooter>
</worksheet>
</file>

<file path=xl/worksheets/sheet13.xml><?xml version="1.0" encoding="utf-8"?>
<worksheet xmlns="http://schemas.openxmlformats.org/spreadsheetml/2006/main" xmlns:r="http://schemas.openxmlformats.org/officeDocument/2006/relationships">
  <sheetPr codeName="Sheet11"/>
  <dimension ref="A1:R30"/>
  <sheetViews>
    <sheetView workbookViewId="0" topLeftCell="A1">
      <pane xSplit="5" ySplit="6" topLeftCell="F7" activePane="bottomRight" state="frozen"/>
      <selection pane="topLeft" activeCell="H8" sqref="H8"/>
      <selection pane="topRight" activeCell="H8" sqref="H8"/>
      <selection pane="bottomLeft" activeCell="H8" sqref="H8"/>
      <selection pane="bottomRight" activeCell="F7" sqref="F7"/>
    </sheetView>
  </sheetViews>
  <sheetFormatPr defaultColWidth="9.00390625" defaultRowHeight="12.75"/>
  <cols>
    <col min="1" max="1" width="9.375" style="84" customWidth="1"/>
    <col min="2" max="2" width="9.875" style="84" customWidth="1"/>
    <col min="3" max="3" width="15.875" style="84" customWidth="1"/>
    <col min="4" max="4" width="16.875" style="84" customWidth="1"/>
    <col min="5" max="5" width="15.875" style="84" customWidth="1"/>
    <col min="6" max="14" width="15.375" style="84" customWidth="1"/>
    <col min="15" max="15" width="9.375" style="84" customWidth="1"/>
    <col min="16" max="18" width="0" style="84" hidden="1" customWidth="1"/>
    <col min="19" max="16384" width="9.375" style="84" customWidth="1"/>
  </cols>
  <sheetData>
    <row r="1" spans="1:8" ht="15.75" customHeight="1">
      <c r="A1" s="82"/>
      <c r="B1" s="83"/>
      <c r="C1" s="77"/>
      <c r="F1" s="77"/>
      <c r="G1" s="77"/>
      <c r="H1" s="77"/>
    </row>
    <row r="2" spans="1:18" ht="15.75" customHeight="1">
      <c r="A2" s="85" t="s">
        <v>378</v>
      </c>
      <c r="B2" s="86"/>
      <c r="C2" s="87"/>
      <c r="D2" s="88"/>
      <c r="E2" s="89" t="s">
        <v>725</v>
      </c>
      <c r="F2" s="77"/>
      <c r="G2" s="77"/>
      <c r="H2" s="77"/>
      <c r="I2" s="77"/>
      <c r="J2" s="77"/>
      <c r="K2" s="77"/>
      <c r="L2" s="77"/>
      <c r="M2" s="77"/>
      <c r="N2" s="77"/>
      <c r="R2" s="77"/>
    </row>
    <row r="3" spans="1:18" ht="15.75" customHeight="1">
      <c r="A3" s="91" t="str">
        <f>tp_heading</f>
        <v>For Twelve Months Ended September 30, 2008</v>
      </c>
      <c r="D3" s="92"/>
      <c r="E3" s="93" t="str">
        <f>"E-OTX-"&amp;months&amp;rbcalc</f>
        <v>E-OTX-12A</v>
      </c>
      <c r="F3" s="77"/>
      <c r="G3" s="77"/>
      <c r="H3" s="77"/>
      <c r="I3" s="77"/>
      <c r="J3" s="77"/>
      <c r="K3" s="77"/>
      <c r="L3" s="77"/>
      <c r="M3" s="77"/>
      <c r="N3" s="77"/>
      <c r="R3" s="77"/>
    </row>
    <row r="4" spans="1:18" ht="15.75" customHeight="1">
      <c r="A4" s="94" t="str">
        <f>rbcalc_heading</f>
        <v>Average of Monthly Averages Basis</v>
      </c>
      <c r="B4" s="95"/>
      <c r="C4" s="96"/>
      <c r="D4" s="97"/>
      <c r="E4" s="98"/>
      <c r="F4" s="77" t="s">
        <v>921</v>
      </c>
      <c r="G4" s="77"/>
      <c r="H4" s="77"/>
      <c r="I4" s="77" t="s">
        <v>0</v>
      </c>
      <c r="J4" s="77"/>
      <c r="K4" s="77"/>
      <c r="L4" s="77" t="s">
        <v>596</v>
      </c>
      <c r="M4" s="77"/>
      <c r="N4" s="77"/>
      <c r="R4" s="77"/>
    </row>
    <row r="5" spans="1:18" ht="15.75" customHeight="1">
      <c r="A5" s="99" t="s">
        <v>2</v>
      </c>
      <c r="B5" s="100" t="s">
        <v>815</v>
      </c>
      <c r="C5" s="99" t="s">
        <v>844</v>
      </c>
      <c r="D5" s="96"/>
      <c r="E5" s="96"/>
      <c r="F5" s="99" t="s">
        <v>3</v>
      </c>
      <c r="G5" s="99" t="s">
        <v>4</v>
      </c>
      <c r="H5" s="99" t="s">
        <v>891</v>
      </c>
      <c r="I5" s="99" t="s">
        <v>3</v>
      </c>
      <c r="J5" s="99" t="s">
        <v>4</v>
      </c>
      <c r="K5" s="99" t="s">
        <v>891</v>
      </c>
      <c r="L5" s="99" t="s">
        <v>3</v>
      </c>
      <c r="M5" s="99" t="s">
        <v>4</v>
      </c>
      <c r="N5" s="99" t="s">
        <v>891</v>
      </c>
      <c r="R5" s="77"/>
    </row>
    <row r="6" spans="1:18" ht="15.75" customHeight="1">
      <c r="A6" s="82"/>
      <c r="B6" s="83"/>
      <c r="C6" s="77"/>
      <c r="F6" s="77"/>
      <c r="G6" s="77"/>
      <c r="H6" s="78"/>
      <c r="I6" s="77"/>
      <c r="J6" s="77"/>
      <c r="K6" s="78"/>
      <c r="L6" s="77"/>
      <c r="M6" s="77"/>
      <c r="N6" s="77"/>
      <c r="R6" s="77"/>
    </row>
    <row r="7" spans="1:18" ht="15.75" customHeight="1">
      <c r="A7" s="82"/>
      <c r="B7" s="83"/>
      <c r="C7" s="77" t="s">
        <v>379</v>
      </c>
      <c r="F7" s="77"/>
      <c r="G7" s="77"/>
      <c r="H7" s="78"/>
      <c r="I7" s="77"/>
      <c r="J7" s="77"/>
      <c r="K7" s="78"/>
      <c r="L7" s="77"/>
      <c r="M7" s="77"/>
      <c r="N7" s="77"/>
      <c r="R7" s="77"/>
    </row>
    <row r="8" spans="1:18" ht="15.75" customHeight="1">
      <c r="A8" s="82">
        <v>1</v>
      </c>
      <c r="B8" s="105">
        <v>408130</v>
      </c>
      <c r="C8" s="77" t="s">
        <v>386</v>
      </c>
      <c r="F8" s="77">
        <f aca="true" t="shared" si="0" ref="F8:F13">I8+L8</f>
        <v>0</v>
      </c>
      <c r="G8" s="77">
        <f>Data!H104</f>
        <v>10712</v>
      </c>
      <c r="H8" s="78">
        <f aca="true" t="shared" si="1" ref="H8:H13">F8+G8</f>
        <v>10712</v>
      </c>
      <c r="I8" s="77">
        <v>0</v>
      </c>
      <c r="J8" s="77">
        <f aca="true" t="shared" si="2" ref="J8:J13">G8*VLOOKUP(A8,Allocators,7)</f>
        <v>6919</v>
      </c>
      <c r="K8" s="78">
        <f aca="true" t="shared" si="3" ref="K8:K13">I8+J8</f>
        <v>6919</v>
      </c>
      <c r="L8" s="77">
        <v>0</v>
      </c>
      <c r="M8" s="77">
        <f aca="true" t="shared" si="4" ref="M8:M13">G8*VLOOKUP(A8,Allocators,8)</f>
        <v>3793</v>
      </c>
      <c r="N8" s="77">
        <f aca="true" t="shared" si="5" ref="N8:N13">L8+M8</f>
        <v>3793</v>
      </c>
      <c r="R8" s="77"/>
    </row>
    <row r="9" spans="1:18" ht="15.75" customHeight="1">
      <c r="A9" s="82">
        <v>1</v>
      </c>
      <c r="B9" s="105">
        <v>408140</v>
      </c>
      <c r="C9" s="77" t="s">
        <v>380</v>
      </c>
      <c r="F9" s="77">
        <f t="shared" si="0"/>
        <v>0</v>
      </c>
      <c r="G9" s="77">
        <f>Data!H105</f>
        <v>1485641</v>
      </c>
      <c r="H9" s="78">
        <f t="shared" si="1"/>
        <v>1485641</v>
      </c>
      <c r="I9" s="77">
        <v>0</v>
      </c>
      <c r="J9" s="77">
        <f t="shared" si="2"/>
        <v>959576</v>
      </c>
      <c r="K9" s="78">
        <f t="shared" si="3"/>
        <v>959576</v>
      </c>
      <c r="L9" s="77">
        <v>0</v>
      </c>
      <c r="M9" s="77">
        <f t="shared" si="4"/>
        <v>526065</v>
      </c>
      <c r="N9" s="77">
        <f t="shared" si="5"/>
        <v>526065</v>
      </c>
      <c r="R9" s="77"/>
    </row>
    <row r="10" spans="1:18" ht="15.75" customHeight="1">
      <c r="A10" s="82">
        <v>1</v>
      </c>
      <c r="B10" s="105">
        <v>408150</v>
      </c>
      <c r="C10" s="77" t="s">
        <v>381</v>
      </c>
      <c r="F10" s="77">
        <f t="shared" si="0"/>
        <v>0</v>
      </c>
      <c r="G10" s="77">
        <f>+Data!H106</f>
        <v>7080709</v>
      </c>
      <c r="H10" s="78">
        <f t="shared" si="1"/>
        <v>7080709</v>
      </c>
      <c r="I10" s="77">
        <v>0</v>
      </c>
      <c r="J10" s="77">
        <f t="shared" si="2"/>
        <v>4573430</v>
      </c>
      <c r="K10" s="78">
        <f t="shared" si="3"/>
        <v>4573430</v>
      </c>
      <c r="L10" s="77">
        <v>0</v>
      </c>
      <c r="M10" s="77">
        <f t="shared" si="4"/>
        <v>2507279</v>
      </c>
      <c r="N10" s="77">
        <f t="shared" si="5"/>
        <v>2507279</v>
      </c>
      <c r="R10" s="77"/>
    </row>
    <row r="11" spans="1:18" ht="15.75" customHeight="1">
      <c r="A11" s="82">
        <v>1</v>
      </c>
      <c r="B11" s="105">
        <v>408180</v>
      </c>
      <c r="C11" s="77" t="s">
        <v>382</v>
      </c>
      <c r="F11" s="77">
        <f t="shared" si="0"/>
        <v>0</v>
      </c>
      <c r="G11" s="77">
        <f>+Data!H109</f>
        <v>4732194</v>
      </c>
      <c r="H11" s="78">
        <f t="shared" si="1"/>
        <v>4732194</v>
      </c>
      <c r="I11" s="77">
        <v>0</v>
      </c>
      <c r="J11" s="77">
        <f t="shared" si="2"/>
        <v>3056524</v>
      </c>
      <c r="K11" s="78">
        <f t="shared" si="3"/>
        <v>3056524</v>
      </c>
      <c r="L11" s="77">
        <v>0</v>
      </c>
      <c r="M11" s="77">
        <f t="shared" si="4"/>
        <v>1675670</v>
      </c>
      <c r="N11" s="77">
        <f t="shared" si="5"/>
        <v>1675670</v>
      </c>
      <c r="R11" s="77"/>
    </row>
    <row r="12" spans="1:18" ht="15.75" customHeight="1">
      <c r="A12" s="82">
        <v>1</v>
      </c>
      <c r="B12" s="105">
        <v>408160</v>
      </c>
      <c r="C12" s="77" t="s">
        <v>383</v>
      </c>
      <c r="F12" s="77">
        <f t="shared" si="0"/>
        <v>0</v>
      </c>
      <c r="G12" s="77">
        <f>Data!I107</f>
        <v>0</v>
      </c>
      <c r="H12" s="78">
        <f t="shared" si="1"/>
        <v>0</v>
      </c>
      <c r="I12" s="77">
        <v>0</v>
      </c>
      <c r="J12" s="77">
        <f t="shared" si="2"/>
        <v>0</v>
      </c>
      <c r="K12" s="78">
        <f t="shared" si="3"/>
        <v>0</v>
      </c>
      <c r="L12" s="77">
        <v>0</v>
      </c>
      <c r="M12" s="77">
        <f t="shared" si="4"/>
        <v>0</v>
      </c>
      <c r="N12" s="77">
        <f t="shared" si="5"/>
        <v>0</v>
      </c>
      <c r="R12" s="77"/>
    </row>
    <row r="13" spans="1:18" ht="15.75" customHeight="1">
      <c r="A13" s="82">
        <v>1</v>
      </c>
      <c r="B13" s="105">
        <v>409100</v>
      </c>
      <c r="C13" s="77" t="s">
        <v>249</v>
      </c>
      <c r="F13" s="77">
        <f t="shared" si="0"/>
        <v>0</v>
      </c>
      <c r="G13" s="77">
        <f>Data!I114</f>
        <v>523838</v>
      </c>
      <c r="H13" s="78">
        <f t="shared" si="1"/>
        <v>523838</v>
      </c>
      <c r="I13" s="77">
        <v>0</v>
      </c>
      <c r="J13" s="77">
        <f t="shared" si="2"/>
        <v>338347</v>
      </c>
      <c r="K13" s="78">
        <f t="shared" si="3"/>
        <v>338347</v>
      </c>
      <c r="L13" s="77">
        <v>0</v>
      </c>
      <c r="M13" s="77">
        <f t="shared" si="4"/>
        <v>185491</v>
      </c>
      <c r="N13" s="77">
        <f t="shared" si="5"/>
        <v>185491</v>
      </c>
      <c r="R13" s="77"/>
    </row>
    <row r="14" spans="1:18" ht="15.75" customHeight="1">
      <c r="A14" s="82"/>
      <c r="B14" s="106"/>
      <c r="C14" s="77" t="s">
        <v>384</v>
      </c>
      <c r="F14" s="107">
        <f aca="true" t="shared" si="6" ref="F14:N14">SUM(F8:F13)</f>
        <v>0</v>
      </c>
      <c r="G14" s="107">
        <f t="shared" si="6"/>
        <v>13833094</v>
      </c>
      <c r="H14" s="108">
        <f t="shared" si="6"/>
        <v>13833094</v>
      </c>
      <c r="I14" s="107">
        <f t="shared" si="6"/>
        <v>0</v>
      </c>
      <c r="J14" s="107">
        <f t="shared" si="6"/>
        <v>8934796</v>
      </c>
      <c r="K14" s="108">
        <f t="shared" si="6"/>
        <v>8934796</v>
      </c>
      <c r="L14" s="107">
        <f t="shared" si="6"/>
        <v>0</v>
      </c>
      <c r="M14" s="107">
        <f t="shared" si="6"/>
        <v>4898298</v>
      </c>
      <c r="N14" s="107">
        <f t="shared" si="6"/>
        <v>4898298</v>
      </c>
      <c r="R14" s="77"/>
    </row>
    <row r="15" spans="1:18" ht="15.75" customHeight="1">
      <c r="A15" s="82"/>
      <c r="B15" s="106"/>
      <c r="C15" s="77"/>
      <c r="F15" s="77"/>
      <c r="G15" s="77"/>
      <c r="H15" s="78"/>
      <c r="I15" s="77"/>
      <c r="J15" s="77"/>
      <c r="K15" s="78"/>
      <c r="L15" s="77"/>
      <c r="M15" s="77"/>
      <c r="N15" s="77"/>
      <c r="R15" s="77"/>
    </row>
    <row r="16" spans="1:18" ht="15.75" customHeight="1">
      <c r="A16" s="82"/>
      <c r="B16" s="106"/>
      <c r="C16" s="77" t="s">
        <v>385</v>
      </c>
      <c r="F16" s="77"/>
      <c r="G16" s="77"/>
      <c r="H16" s="78"/>
      <c r="I16" s="77"/>
      <c r="J16" s="77"/>
      <c r="K16" s="78"/>
      <c r="L16" s="77"/>
      <c r="M16" s="77"/>
      <c r="N16" s="77"/>
      <c r="R16" s="77"/>
    </row>
    <row r="17" spans="1:18" ht="15.75" customHeight="1">
      <c r="A17" s="82">
        <v>99</v>
      </c>
      <c r="B17" s="251">
        <v>408110</v>
      </c>
      <c r="C17" s="77" t="s">
        <v>386</v>
      </c>
      <c r="F17" s="77">
        <f>I17+L17</f>
        <v>15314616</v>
      </c>
      <c r="G17" s="77">
        <f>Data!I102</f>
        <v>0</v>
      </c>
      <c r="H17" s="78">
        <f>F17+G17</f>
        <v>15314616</v>
      </c>
      <c r="I17" s="77">
        <f>Data!J102</f>
        <v>15314616</v>
      </c>
      <c r="J17" s="77">
        <v>0</v>
      </c>
      <c r="K17" s="78">
        <f>I17+J17</f>
        <v>15314616</v>
      </c>
      <c r="L17" s="77">
        <f>Data!K102</f>
        <v>0</v>
      </c>
      <c r="M17" s="77">
        <v>0</v>
      </c>
      <c r="N17" s="77">
        <f>L17+M17</f>
        <v>0</v>
      </c>
      <c r="R17" s="77"/>
    </row>
    <row r="18" spans="1:18" ht="15.75" customHeight="1">
      <c r="A18" s="82">
        <v>99</v>
      </c>
      <c r="B18" s="105">
        <v>408120</v>
      </c>
      <c r="C18" s="77" t="s">
        <v>387</v>
      </c>
      <c r="F18" s="77">
        <f>I18+L18</f>
        <v>16322578</v>
      </c>
      <c r="G18" s="77">
        <f>Data!I103</f>
        <v>0</v>
      </c>
      <c r="H18" s="78">
        <f>F18+G18</f>
        <v>16322578</v>
      </c>
      <c r="I18" s="77">
        <f>Data!J103</f>
        <v>13812663</v>
      </c>
      <c r="J18" s="77">
        <v>0</v>
      </c>
      <c r="K18" s="78">
        <f>I18+J18</f>
        <v>13812663</v>
      </c>
      <c r="L18" s="77">
        <f>Data!K103</f>
        <v>2509915</v>
      </c>
      <c r="M18" s="77">
        <v>0</v>
      </c>
      <c r="N18" s="77">
        <f>L18+M18</f>
        <v>2509915</v>
      </c>
      <c r="R18" s="77"/>
    </row>
    <row r="19" spans="1:18" ht="15.75" customHeight="1">
      <c r="A19" s="82">
        <v>99</v>
      </c>
      <c r="B19" s="105">
        <v>408160</v>
      </c>
      <c r="C19" s="77" t="s">
        <v>389</v>
      </c>
      <c r="F19" s="77">
        <f>I19+L19</f>
        <v>32095</v>
      </c>
      <c r="G19" s="77">
        <v>0</v>
      </c>
      <c r="H19" s="78">
        <f>F19+G19</f>
        <v>32095</v>
      </c>
      <c r="I19" s="77">
        <f>Data!J107</f>
        <v>0</v>
      </c>
      <c r="J19" s="77">
        <v>0</v>
      </c>
      <c r="K19" s="78">
        <f>I19+J19</f>
        <v>0</v>
      </c>
      <c r="L19" s="77">
        <f>Data!K107</f>
        <v>32095</v>
      </c>
      <c r="M19" s="77">
        <v>0</v>
      </c>
      <c r="N19" s="77">
        <f>L19+M19</f>
        <v>32095</v>
      </c>
      <c r="R19" s="77"/>
    </row>
    <row r="20" spans="1:18" ht="15.75" customHeight="1">
      <c r="A20" s="82">
        <v>99</v>
      </c>
      <c r="B20" s="105">
        <v>408170</v>
      </c>
      <c r="C20" s="77" t="s">
        <v>388</v>
      </c>
      <c r="F20" s="77">
        <f>I20+L20</f>
        <v>5202269</v>
      </c>
      <c r="G20" s="77">
        <v>0</v>
      </c>
      <c r="H20" s="78">
        <f>F20+G20</f>
        <v>5202269</v>
      </c>
      <c r="I20" s="77">
        <f>Data!J108</f>
        <v>4058785</v>
      </c>
      <c r="J20" s="77">
        <f>G20*VLOOKUP(A20,Allocators,7)</f>
        <v>0</v>
      </c>
      <c r="K20" s="78">
        <f>I20+J20</f>
        <v>4058785</v>
      </c>
      <c r="L20" s="77">
        <f>Data!K108</f>
        <v>1143484</v>
      </c>
      <c r="M20" s="77">
        <f>G20*VLOOKUP(A20,Allocators,8)</f>
        <v>0</v>
      </c>
      <c r="N20" s="77">
        <f>L20+M20</f>
        <v>1143484</v>
      </c>
      <c r="R20" s="77"/>
    </row>
    <row r="21" spans="1:18" ht="15.75" customHeight="1">
      <c r="A21" s="82">
        <v>99</v>
      </c>
      <c r="B21" s="105">
        <v>409100</v>
      </c>
      <c r="C21" s="77" t="s">
        <v>390</v>
      </c>
      <c r="F21" s="77">
        <f>I21+L21</f>
        <v>482009</v>
      </c>
      <c r="G21" s="77">
        <v>0</v>
      </c>
      <c r="H21" s="78">
        <f>F21+G21</f>
        <v>482009</v>
      </c>
      <c r="I21" s="77">
        <v>0</v>
      </c>
      <c r="J21" s="77">
        <v>0</v>
      </c>
      <c r="K21" s="78">
        <f>I21+J21</f>
        <v>0</v>
      </c>
      <c r="L21" s="77">
        <f>Data!K114</f>
        <v>482009</v>
      </c>
      <c r="M21" s="77">
        <v>0</v>
      </c>
      <c r="N21" s="77">
        <f>L21+M21</f>
        <v>482009</v>
      </c>
      <c r="R21" s="77"/>
    </row>
    <row r="22" spans="1:18" ht="15.75" customHeight="1">
      <c r="A22" s="82"/>
      <c r="B22" s="106"/>
      <c r="C22" s="77" t="s">
        <v>391</v>
      </c>
      <c r="F22" s="107">
        <f aca="true" t="shared" si="7" ref="F22:N22">SUM(F17:F21)</f>
        <v>37353567</v>
      </c>
      <c r="G22" s="107">
        <f t="shared" si="7"/>
        <v>0</v>
      </c>
      <c r="H22" s="108">
        <f t="shared" si="7"/>
        <v>37353567</v>
      </c>
      <c r="I22" s="107">
        <f t="shared" si="7"/>
        <v>33186064</v>
      </c>
      <c r="J22" s="107">
        <f t="shared" si="7"/>
        <v>0</v>
      </c>
      <c r="K22" s="108">
        <f t="shared" si="7"/>
        <v>33186064</v>
      </c>
      <c r="L22" s="107">
        <f t="shared" si="7"/>
        <v>4167503</v>
      </c>
      <c r="M22" s="107">
        <f t="shared" si="7"/>
        <v>0</v>
      </c>
      <c r="N22" s="107">
        <f t="shared" si="7"/>
        <v>4167503</v>
      </c>
      <c r="R22" s="77"/>
    </row>
    <row r="23" spans="1:18" ht="15.75" customHeight="1">
      <c r="A23" s="82"/>
      <c r="B23" s="106"/>
      <c r="C23" s="77"/>
      <c r="F23" s="77"/>
      <c r="G23" s="77"/>
      <c r="H23" s="78"/>
      <c r="I23" s="77"/>
      <c r="J23" s="77"/>
      <c r="K23" s="78"/>
      <c r="L23" s="77"/>
      <c r="M23" s="77"/>
      <c r="N23" s="77"/>
      <c r="R23" s="77"/>
    </row>
    <row r="24" spans="1:18" ht="15.75" customHeight="1">
      <c r="A24" s="82"/>
      <c r="B24" s="83"/>
      <c r="C24" s="77" t="s">
        <v>392</v>
      </c>
      <c r="F24" s="107">
        <f aca="true" t="shared" si="8" ref="F24:N24">F14+F22</f>
        <v>37353567</v>
      </c>
      <c r="G24" s="107">
        <f t="shared" si="8"/>
        <v>13833094</v>
      </c>
      <c r="H24" s="108">
        <f t="shared" si="8"/>
        <v>51186661</v>
      </c>
      <c r="I24" s="107">
        <f t="shared" si="8"/>
        <v>33186064</v>
      </c>
      <c r="J24" s="107">
        <f t="shared" si="8"/>
        <v>8934796</v>
      </c>
      <c r="K24" s="108">
        <f t="shared" si="8"/>
        <v>42120860</v>
      </c>
      <c r="L24" s="107">
        <f t="shared" si="8"/>
        <v>4167503</v>
      </c>
      <c r="M24" s="107">
        <f t="shared" si="8"/>
        <v>4898298</v>
      </c>
      <c r="N24" s="107">
        <f t="shared" si="8"/>
        <v>9065801</v>
      </c>
      <c r="R24" s="77"/>
    </row>
    <row r="25" spans="1:18" ht="15.75" customHeight="1">
      <c r="A25" s="82"/>
      <c r="B25" s="83"/>
      <c r="C25" s="77" t="s">
        <v>393</v>
      </c>
      <c r="F25" s="77"/>
      <c r="G25" s="77"/>
      <c r="H25" s="113"/>
      <c r="I25" s="77"/>
      <c r="J25" s="77"/>
      <c r="K25" s="78"/>
      <c r="L25" s="77"/>
      <c r="M25" s="77"/>
      <c r="N25" s="77"/>
      <c r="R25" s="77"/>
    </row>
    <row r="26" spans="1:18" ht="15.75" customHeight="1">
      <c r="A26" s="82"/>
      <c r="B26" s="83"/>
      <c r="C26" s="77"/>
      <c r="F26" s="77"/>
      <c r="G26" s="77"/>
      <c r="H26" s="77"/>
      <c r="I26" s="77"/>
      <c r="J26" s="77"/>
      <c r="K26" s="77"/>
      <c r="L26" s="77"/>
      <c r="M26" s="77"/>
      <c r="N26" s="77"/>
      <c r="R26" s="77"/>
    </row>
    <row r="27" spans="1:18" ht="15.75" customHeight="1">
      <c r="A27" s="77" t="s">
        <v>341</v>
      </c>
      <c r="B27" s="83"/>
      <c r="C27" s="77"/>
      <c r="F27" s="77"/>
      <c r="G27" s="77"/>
      <c r="H27" s="77"/>
      <c r="I27" s="77"/>
      <c r="J27" s="77"/>
      <c r="K27" s="77"/>
      <c r="L27" s="77"/>
      <c r="M27" s="77"/>
      <c r="N27" s="77"/>
      <c r="R27" s="77"/>
    </row>
    <row r="28" spans="1:18" ht="15.75" customHeight="1">
      <c r="A28" s="82" t="s">
        <v>735</v>
      </c>
      <c r="B28" s="116">
        <v>1</v>
      </c>
      <c r="C28" s="77" t="str">
        <f>+'E-ALL'!C7</f>
        <v>Production/Transmission  Ratio</v>
      </c>
      <c r="F28" s="77"/>
      <c r="G28" s="117">
        <f>VLOOKUP(B28,Allocators,6)</f>
        <v>1</v>
      </c>
      <c r="H28" s="117"/>
      <c r="I28" s="117"/>
      <c r="J28" s="117">
        <f>VLOOKUP(B28,Allocators,7)</f>
        <v>0.6459</v>
      </c>
      <c r="K28" s="117"/>
      <c r="L28" s="117"/>
      <c r="M28" s="117">
        <f>VLOOKUP(B28,Allocators,8)</f>
        <v>0.3541</v>
      </c>
      <c r="N28" s="117"/>
      <c r="R28" s="77"/>
    </row>
    <row r="29" spans="1:18" ht="15.75" customHeight="1">
      <c r="A29" s="82" t="s">
        <v>735</v>
      </c>
      <c r="B29" s="116">
        <v>4</v>
      </c>
      <c r="C29" s="77" t="str">
        <f>+'E-ALL'!C18</f>
        <v>Jurisdictional 4-Factor Ratio</v>
      </c>
      <c r="F29" s="77"/>
      <c r="G29" s="117">
        <f>VLOOKUP(B29,Allocators,6)</f>
        <v>1</v>
      </c>
      <c r="H29" s="117"/>
      <c r="I29" s="117"/>
      <c r="J29" s="117">
        <f>VLOOKUP(B29,Allocators,7)</f>
        <v>0.65097</v>
      </c>
      <c r="K29" s="117"/>
      <c r="L29" s="117"/>
      <c r="M29" s="117">
        <f>VLOOKUP(B29,Allocators,8)</f>
        <v>0.34903</v>
      </c>
      <c r="N29" s="117"/>
      <c r="R29" s="77"/>
    </row>
    <row r="30" spans="1:18" ht="15.75" customHeight="1">
      <c r="A30" s="82" t="s">
        <v>735</v>
      </c>
      <c r="B30" s="116">
        <v>99</v>
      </c>
      <c r="C30" s="77" t="str">
        <f>'E-ALL'!C128</f>
        <v>Not Allocated</v>
      </c>
      <c r="F30" s="77"/>
      <c r="G30" s="117">
        <f>VLOOKUP(B30,Allocators,6)</f>
        <v>0</v>
      </c>
      <c r="H30" s="117"/>
      <c r="I30" s="117"/>
      <c r="J30" s="117">
        <f>VLOOKUP(B30,Allocators,7)</f>
        <v>0</v>
      </c>
      <c r="K30" s="117"/>
      <c r="L30" s="117"/>
      <c r="M30" s="117">
        <f>VLOOKUP(B30,Allocators,8)</f>
        <v>0</v>
      </c>
      <c r="N30" s="117"/>
      <c r="R30" s="77"/>
    </row>
    <row r="31" ht="15.75" customHeight="1"/>
    <row r="32" ht="12.75" hidden="1"/>
  </sheetData>
  <printOptions/>
  <pageMargins left="0.75" right="0.75" top="0.75" bottom="0.68" header="0.5" footer="0.5"/>
  <pageSetup horizontalDpi="300" verticalDpi="300" orientation="landscape" scale="64" r:id="rId1"/>
  <headerFooter alignWithMargins="0">
    <oddHeader>&amp;LAVISTA UTILITIES&amp;CRESULTS OF OPERATIONS&amp;RRUN DATE: &amp;D</oddHeader>
    <oddFooter>&amp;CPage &amp;P</oddFooter>
  </headerFooter>
</worksheet>
</file>

<file path=xl/worksheets/sheet14.xml><?xml version="1.0" encoding="utf-8"?>
<worksheet xmlns="http://schemas.openxmlformats.org/spreadsheetml/2006/main" xmlns:r="http://schemas.openxmlformats.org/officeDocument/2006/relationships">
  <sheetPr codeName="Sheet13">
    <pageSetUpPr fitToPage="1"/>
  </sheetPr>
  <dimension ref="A1:R44"/>
  <sheetViews>
    <sheetView workbookViewId="0" topLeftCell="A1">
      <pane xSplit="5" ySplit="9" topLeftCell="F10" activePane="bottomRight" state="frozen"/>
      <selection pane="topLeft" activeCell="H8" sqref="H8"/>
      <selection pane="topRight" activeCell="H8" sqref="H8"/>
      <selection pane="bottomLeft" activeCell="H8" sqref="H8"/>
      <selection pane="bottomRight" activeCell="F10" sqref="F10"/>
    </sheetView>
  </sheetViews>
  <sheetFormatPr defaultColWidth="9.00390625" defaultRowHeight="15" customHeight="1"/>
  <cols>
    <col min="1" max="1" width="9.375" style="84" customWidth="1"/>
    <col min="2" max="2" width="9.875" style="84" customWidth="1"/>
    <col min="3" max="4" width="15.875" style="84" customWidth="1"/>
    <col min="5" max="5" width="14.875" style="84" customWidth="1"/>
    <col min="6" max="14" width="15.875" style="84" customWidth="1"/>
    <col min="15" max="16384" width="9.375" style="84" customWidth="1"/>
  </cols>
  <sheetData>
    <row r="1" spans="1:18" ht="15" customHeight="1">
      <c r="A1" s="82"/>
      <c r="B1" s="83"/>
      <c r="C1" s="77"/>
      <c r="F1" s="77"/>
      <c r="G1" s="90" t="str">
        <f>IF(A3="For Twelve Months Ended January 31, 2005","check FAS 109 line to see if offset has been corrected yet-if so change line 10"," ")</f>
        <v> </v>
      </c>
      <c r="H1" s="77"/>
      <c r="I1" s="77"/>
      <c r="J1" s="77"/>
      <c r="K1" s="77"/>
      <c r="L1" s="77"/>
      <c r="M1" s="77"/>
      <c r="N1" s="77"/>
      <c r="R1" s="77"/>
    </row>
    <row r="2" spans="1:18" ht="15" customHeight="1">
      <c r="A2" s="85" t="s">
        <v>486</v>
      </c>
      <c r="B2" s="86"/>
      <c r="C2" s="87"/>
      <c r="D2" s="88"/>
      <c r="E2" s="89" t="s">
        <v>725</v>
      </c>
      <c r="F2" s="77"/>
      <c r="G2" s="77"/>
      <c r="H2" s="77"/>
      <c r="I2" s="77"/>
      <c r="J2" s="77"/>
      <c r="K2" s="77"/>
      <c r="L2" s="77"/>
      <c r="M2" s="77"/>
      <c r="N2" s="77"/>
      <c r="R2" s="77"/>
    </row>
    <row r="3" spans="1:18" ht="15" customHeight="1">
      <c r="A3" s="91" t="str">
        <f>tp_heading</f>
        <v>For Twelve Months Ended September 30, 2008</v>
      </c>
      <c r="B3" s="83"/>
      <c r="D3" s="92"/>
      <c r="E3" s="93" t="str">
        <f>"E-APL-"&amp;months&amp;rbcalc</f>
        <v>E-APL-12A</v>
      </c>
      <c r="F3" s="77"/>
      <c r="G3" s="77"/>
      <c r="H3" s="77"/>
      <c r="I3" s="77"/>
      <c r="J3" s="77"/>
      <c r="K3" s="77"/>
      <c r="L3" s="77"/>
      <c r="M3" s="77"/>
      <c r="N3" s="77"/>
      <c r="O3" s="77"/>
      <c r="P3" s="77"/>
      <c r="Q3" s="77"/>
      <c r="R3" s="77"/>
    </row>
    <row r="4" spans="1:18" ht="15" customHeight="1">
      <c r="A4" s="94" t="str">
        <f>rbcalc_heading</f>
        <v>Average of Monthly Averages Basis</v>
      </c>
      <c r="B4" s="95"/>
      <c r="C4" s="96"/>
      <c r="D4" s="97"/>
      <c r="E4" s="98"/>
      <c r="F4" s="77" t="s">
        <v>921</v>
      </c>
      <c r="G4" s="77"/>
      <c r="H4" s="77"/>
      <c r="I4" s="77" t="s">
        <v>0</v>
      </c>
      <c r="J4" s="77"/>
      <c r="K4" s="77"/>
      <c r="L4" s="77" t="s">
        <v>596</v>
      </c>
      <c r="M4" s="77"/>
      <c r="N4" s="77"/>
      <c r="R4" s="77"/>
    </row>
    <row r="5" spans="1:18" ht="15" customHeight="1">
      <c r="A5" s="99" t="s">
        <v>2</v>
      </c>
      <c r="B5" s="100"/>
      <c r="C5" s="99" t="s">
        <v>487</v>
      </c>
      <c r="D5" s="96"/>
      <c r="E5" s="100"/>
      <c r="F5" s="99" t="s">
        <v>3</v>
      </c>
      <c r="G5" s="99" t="s">
        <v>4</v>
      </c>
      <c r="H5" s="99" t="s">
        <v>891</v>
      </c>
      <c r="I5" s="99" t="s">
        <v>3</v>
      </c>
      <c r="J5" s="99" t="s">
        <v>4</v>
      </c>
      <c r="K5" s="99" t="s">
        <v>891</v>
      </c>
      <c r="L5" s="99" t="s">
        <v>3</v>
      </c>
      <c r="M5" s="99" t="s">
        <v>4</v>
      </c>
      <c r="N5" s="99" t="s">
        <v>891</v>
      </c>
      <c r="R5" s="77"/>
    </row>
    <row r="6" spans="1:18" ht="12" customHeight="1">
      <c r="A6" s="82"/>
      <c r="B6" s="106"/>
      <c r="C6" s="82"/>
      <c r="F6" s="82"/>
      <c r="G6" s="82"/>
      <c r="H6" s="239"/>
      <c r="I6" s="82"/>
      <c r="J6" s="82"/>
      <c r="K6" s="239"/>
      <c r="L6" s="82"/>
      <c r="M6" s="82"/>
      <c r="N6" s="82"/>
      <c r="R6" s="77"/>
    </row>
    <row r="7" spans="1:18" ht="15" customHeight="1">
      <c r="A7" s="82" t="s">
        <v>751</v>
      </c>
      <c r="B7" s="77" t="s">
        <v>488</v>
      </c>
      <c r="C7" s="77"/>
      <c r="F7" s="77">
        <f>'Electric Plant'!F113</f>
        <v>640028151</v>
      </c>
      <c r="G7" s="77">
        <f>'Electric Plant'!G113</f>
        <v>1018956925</v>
      </c>
      <c r="H7" s="78">
        <f>'Electric Plant'!H113</f>
        <v>1658985076</v>
      </c>
      <c r="I7" s="77">
        <f>'Electric Plant'!I113</f>
        <v>395350941</v>
      </c>
      <c r="J7" s="77">
        <f>'Electric Plant'!J113</f>
        <v>658477474</v>
      </c>
      <c r="K7" s="78">
        <f>'Electric Plant'!K113</f>
        <v>1053828415</v>
      </c>
      <c r="L7" s="77">
        <f>'Electric Plant'!L113</f>
        <v>244677210</v>
      </c>
      <c r="M7" s="77">
        <f>'Electric Plant'!M113</f>
        <v>360479451</v>
      </c>
      <c r="N7" s="77">
        <f>'Electric Plant'!N113</f>
        <v>605156661</v>
      </c>
      <c r="R7" s="77"/>
    </row>
    <row r="8" spans="1:18" ht="15" customHeight="1">
      <c r="A8" s="82"/>
      <c r="B8" s="77" t="s">
        <v>489</v>
      </c>
      <c r="C8" s="77"/>
      <c r="F8" s="77"/>
      <c r="G8" s="77"/>
      <c r="H8" s="78"/>
      <c r="I8" s="77"/>
      <c r="J8" s="77"/>
      <c r="K8" s="78"/>
      <c r="L8" s="77"/>
      <c r="M8" s="77"/>
      <c r="N8" s="77"/>
      <c r="R8" s="77"/>
    </row>
    <row r="9" spans="1:18" ht="15" customHeight="1">
      <c r="A9" s="82"/>
      <c r="B9" s="77" t="s">
        <v>490</v>
      </c>
      <c r="C9" s="77"/>
      <c r="F9" s="77"/>
      <c r="G9" s="77"/>
      <c r="H9" s="78"/>
      <c r="I9" s="77"/>
      <c r="J9" s="77"/>
      <c r="K9" s="78"/>
      <c r="L9" s="77"/>
      <c r="M9" s="77"/>
      <c r="N9" s="77"/>
      <c r="R9" s="77"/>
    </row>
    <row r="10" spans="1:18" ht="15" customHeight="1">
      <c r="A10" s="82">
        <v>12</v>
      </c>
      <c r="B10" s="83" t="s">
        <v>112</v>
      </c>
      <c r="C10" s="77"/>
      <c r="F10" s="77">
        <f aca="true" t="shared" si="0" ref="F10:F17">I10+L10</f>
        <v>0</v>
      </c>
      <c r="G10" s="77">
        <f>+Data!I555+Data!I571</f>
        <v>0</v>
      </c>
      <c r="H10" s="78">
        <f aca="true" t="shared" si="1" ref="H10:H17">F10+G10</f>
        <v>0</v>
      </c>
      <c r="I10" s="77">
        <f>+Data!J555+Data!J571</f>
        <v>0</v>
      </c>
      <c r="J10" s="77">
        <f>G10*VLOOKUP(A10,Allocators,7)</f>
        <v>0</v>
      </c>
      <c r="K10" s="78">
        <f aca="true" t="shared" si="2" ref="K10:K17">I10+J10</f>
        <v>0</v>
      </c>
      <c r="L10" s="77">
        <v>0</v>
      </c>
      <c r="M10" s="77">
        <f>G10*VLOOKUP(A10,Allocators,8)</f>
        <v>0</v>
      </c>
      <c r="N10" s="77">
        <f aca="true" t="shared" si="3" ref="N10:N17">L10+M10</f>
        <v>0</v>
      </c>
      <c r="R10" s="77"/>
    </row>
    <row r="11" spans="1:18" ht="15" customHeight="1">
      <c r="A11" s="82">
        <v>99</v>
      </c>
      <c r="B11" s="77" t="s">
        <v>95</v>
      </c>
      <c r="C11" s="77"/>
      <c r="E11" s="106"/>
      <c r="F11" s="77">
        <f t="shared" si="0"/>
        <v>11431827</v>
      </c>
      <c r="G11" s="77">
        <v>0</v>
      </c>
      <c r="H11" s="78">
        <f t="shared" si="1"/>
        <v>11431827</v>
      </c>
      <c r="I11" s="77">
        <f>Data!J561</f>
        <v>7245701</v>
      </c>
      <c r="J11" s="77">
        <v>0</v>
      </c>
      <c r="K11" s="78">
        <f t="shared" si="2"/>
        <v>7245701</v>
      </c>
      <c r="L11" s="77">
        <f>Data!K561</f>
        <v>4186126</v>
      </c>
      <c r="M11" s="77">
        <v>0</v>
      </c>
      <c r="N11" s="77">
        <f t="shared" si="3"/>
        <v>4186126</v>
      </c>
      <c r="R11" s="77"/>
    </row>
    <row r="12" spans="1:18" ht="15" customHeight="1">
      <c r="A12" s="82">
        <v>4</v>
      </c>
      <c r="B12" s="77" t="s">
        <v>96</v>
      </c>
      <c r="C12" s="77"/>
      <c r="F12" s="77">
        <f t="shared" si="0"/>
        <v>0</v>
      </c>
      <c r="G12" s="77">
        <f>Data!H563</f>
        <v>257375</v>
      </c>
      <c r="H12" s="78">
        <f t="shared" si="1"/>
        <v>257375</v>
      </c>
      <c r="I12" s="77">
        <f>Data!J563</f>
        <v>0</v>
      </c>
      <c r="J12" s="77">
        <f>G12*VLOOKUP(A12,Allocators,7)</f>
        <v>167543</v>
      </c>
      <c r="K12" s="78">
        <f t="shared" si="2"/>
        <v>167543</v>
      </c>
      <c r="L12" s="77">
        <f>Data!K563</f>
        <v>0</v>
      </c>
      <c r="M12" s="77">
        <f>G12*VLOOKUP(A12,Allocators,8)</f>
        <v>89832</v>
      </c>
      <c r="N12" s="77">
        <f t="shared" si="3"/>
        <v>89832</v>
      </c>
      <c r="R12" s="77"/>
    </row>
    <row r="13" spans="1:18" ht="15" customHeight="1">
      <c r="A13" s="82">
        <v>12</v>
      </c>
      <c r="B13" s="77" t="s">
        <v>222</v>
      </c>
      <c r="C13" s="77"/>
      <c r="E13" s="106"/>
      <c r="F13" s="77">
        <f t="shared" si="0"/>
        <v>0</v>
      </c>
      <c r="G13" s="77">
        <f>Data!I566</f>
        <v>-222668508</v>
      </c>
      <c r="H13" s="78">
        <f t="shared" si="1"/>
        <v>-222668508</v>
      </c>
      <c r="I13" s="77">
        <f>Data!J566</f>
        <v>0</v>
      </c>
      <c r="J13" s="77">
        <f>G13*VLOOKUP(A13,Allocators,7)</f>
        <v>-141443490</v>
      </c>
      <c r="K13" s="78">
        <f t="shared" si="2"/>
        <v>-141443490</v>
      </c>
      <c r="L13" s="77">
        <f>Data!K566</f>
        <v>0</v>
      </c>
      <c r="M13" s="77">
        <f>G13*VLOOKUP(A13,Allocators,8)</f>
        <v>-81225018</v>
      </c>
      <c r="N13" s="77">
        <f t="shared" si="3"/>
        <v>-81225018</v>
      </c>
      <c r="R13" s="77"/>
    </row>
    <row r="14" spans="1:18" ht="15" customHeight="1">
      <c r="A14" s="82">
        <v>4</v>
      </c>
      <c r="B14" s="77" t="s">
        <v>491</v>
      </c>
      <c r="C14" s="77"/>
      <c r="E14" s="106"/>
      <c r="F14" s="77">
        <f t="shared" si="0"/>
        <v>0</v>
      </c>
      <c r="G14" s="77">
        <f>+'C-DTX'!G12</f>
        <v>-7931570</v>
      </c>
      <c r="H14" s="78">
        <f t="shared" si="1"/>
        <v>-7931570</v>
      </c>
      <c r="I14" s="77">
        <v>0</v>
      </c>
      <c r="J14" s="77">
        <f>G14*VLOOKUP(A14,Allocators,7)</f>
        <v>-5163214</v>
      </c>
      <c r="K14" s="78">
        <f t="shared" si="2"/>
        <v>-5163214</v>
      </c>
      <c r="L14" s="77">
        <v>0</v>
      </c>
      <c r="M14" s="77">
        <f>G14*VLOOKUP(A14,Allocators,8)</f>
        <v>-2768356</v>
      </c>
      <c r="N14" s="77">
        <f t="shared" si="3"/>
        <v>-2768356</v>
      </c>
      <c r="R14" s="77"/>
    </row>
    <row r="15" spans="1:18" ht="15" customHeight="1">
      <c r="A15" s="82">
        <v>99</v>
      </c>
      <c r="B15" s="77" t="s">
        <v>146</v>
      </c>
      <c r="C15" s="77"/>
      <c r="E15" s="106"/>
      <c r="F15" s="77">
        <f t="shared" si="0"/>
        <v>683454</v>
      </c>
      <c r="G15" s="77">
        <v>0</v>
      </c>
      <c r="H15" s="78">
        <f>F15+G15</f>
        <v>683454</v>
      </c>
      <c r="I15" s="77">
        <v>0</v>
      </c>
      <c r="J15" s="77">
        <v>0</v>
      </c>
      <c r="K15" s="78">
        <f>I15+J15</f>
        <v>0</v>
      </c>
      <c r="L15" s="77">
        <f>Data!K560</f>
        <v>683454</v>
      </c>
      <c r="M15" s="77">
        <v>0</v>
      </c>
      <c r="N15" s="77">
        <f>L15+M15</f>
        <v>683454</v>
      </c>
      <c r="R15" s="77"/>
    </row>
    <row r="16" spans="1:18" ht="15" customHeight="1">
      <c r="A16" s="82">
        <v>12</v>
      </c>
      <c r="B16" s="83" t="s">
        <v>176</v>
      </c>
      <c r="C16" s="77"/>
      <c r="F16" s="77">
        <f t="shared" si="0"/>
        <v>0</v>
      </c>
      <c r="G16" s="77">
        <f>ROUND(+Data!I574*'E-ALL'!G60,0)</f>
        <v>-3761110</v>
      </c>
      <c r="H16" s="78">
        <f t="shared" si="1"/>
        <v>-3761110</v>
      </c>
      <c r="I16" s="77">
        <f>Data!J574</f>
        <v>0</v>
      </c>
      <c r="J16" s="77">
        <f>G16*VLOOKUP(A16,Allocators,7)</f>
        <v>-2389132</v>
      </c>
      <c r="K16" s="78">
        <f t="shared" si="2"/>
        <v>-2389132</v>
      </c>
      <c r="L16" s="77">
        <f>Data!K574</f>
        <v>0</v>
      </c>
      <c r="M16" s="77">
        <f>G16*VLOOKUP(A16,Allocators,8)</f>
        <v>-1371978</v>
      </c>
      <c r="N16" s="77">
        <f t="shared" si="3"/>
        <v>-1371978</v>
      </c>
      <c r="R16" s="77"/>
    </row>
    <row r="17" spans="1:18" ht="15" customHeight="1">
      <c r="A17" s="82">
        <v>1</v>
      </c>
      <c r="B17" s="77" t="s">
        <v>97</v>
      </c>
      <c r="C17" s="77"/>
      <c r="E17" s="106"/>
      <c r="F17" s="77">
        <f t="shared" si="0"/>
        <v>0</v>
      </c>
      <c r="G17" s="77">
        <f>Data!H572</f>
        <v>-697837</v>
      </c>
      <c r="H17" s="78">
        <f t="shared" si="1"/>
        <v>-697837</v>
      </c>
      <c r="I17" s="77">
        <v>0</v>
      </c>
      <c r="J17" s="77">
        <f>G17*VLOOKUP(A17,Allocators,7)</f>
        <v>-450733</v>
      </c>
      <c r="K17" s="78">
        <f t="shared" si="2"/>
        <v>-450733</v>
      </c>
      <c r="L17" s="77">
        <v>0</v>
      </c>
      <c r="M17" s="77">
        <f>G17*VLOOKUP(A17,Allocators,8)</f>
        <v>-247104</v>
      </c>
      <c r="N17" s="77">
        <f t="shared" si="3"/>
        <v>-247104</v>
      </c>
      <c r="R17" s="77"/>
    </row>
    <row r="18" spans="1:18" ht="15" customHeight="1">
      <c r="A18" s="82"/>
      <c r="B18" s="77" t="s">
        <v>492</v>
      </c>
      <c r="C18" s="77"/>
      <c r="F18" s="107">
        <f aca="true" t="shared" si="4" ref="F18:N18">SUM(F10:F17)</f>
        <v>12115281</v>
      </c>
      <c r="G18" s="107">
        <f t="shared" si="4"/>
        <v>-234801650</v>
      </c>
      <c r="H18" s="108">
        <f t="shared" si="4"/>
        <v>-222686369</v>
      </c>
      <c r="I18" s="107">
        <f t="shared" si="4"/>
        <v>7245701</v>
      </c>
      <c r="J18" s="107">
        <f t="shared" si="4"/>
        <v>-149279026</v>
      </c>
      <c r="K18" s="108">
        <f t="shared" si="4"/>
        <v>-142033325</v>
      </c>
      <c r="L18" s="107">
        <f t="shared" si="4"/>
        <v>4869580</v>
      </c>
      <c r="M18" s="107">
        <f t="shared" si="4"/>
        <v>-85522624</v>
      </c>
      <c r="N18" s="107">
        <f t="shared" si="4"/>
        <v>-80653044</v>
      </c>
      <c r="R18" s="77"/>
    </row>
    <row r="19" spans="1:18" ht="15" customHeight="1">
      <c r="A19" s="82"/>
      <c r="B19" s="83"/>
      <c r="C19" s="77"/>
      <c r="F19" s="77"/>
      <c r="G19" s="77"/>
      <c r="H19" s="78"/>
      <c r="I19" s="77"/>
      <c r="J19" s="77"/>
      <c r="K19" s="78"/>
      <c r="L19" s="77"/>
      <c r="M19" s="77"/>
      <c r="N19" s="77"/>
      <c r="R19" s="77"/>
    </row>
    <row r="20" spans="1:18" ht="15" customHeight="1">
      <c r="A20" s="82"/>
      <c r="B20" s="77" t="s">
        <v>494</v>
      </c>
      <c r="C20" s="77"/>
      <c r="F20" s="77"/>
      <c r="G20" s="77"/>
      <c r="H20" s="78"/>
      <c r="I20" s="77"/>
      <c r="J20" s="77"/>
      <c r="K20" s="78"/>
      <c r="L20" s="77"/>
      <c r="M20" s="77"/>
      <c r="N20" s="77"/>
      <c r="R20" s="77"/>
    </row>
    <row r="21" spans="1:18" ht="15" customHeight="1">
      <c r="A21" s="82">
        <v>99</v>
      </c>
      <c r="B21" s="83" t="s">
        <v>98</v>
      </c>
      <c r="C21" s="77"/>
      <c r="F21" s="77">
        <f aca="true" t="shared" si="5" ref="F21:F29">I21+L21</f>
        <v>-7311234</v>
      </c>
      <c r="G21" s="77">
        <v>0</v>
      </c>
      <c r="H21" s="78">
        <f aca="true" t="shared" si="6" ref="H21:H33">F21+G21</f>
        <v>-7311234</v>
      </c>
      <c r="I21" s="77">
        <f>Data!J546</f>
        <v>-5247725</v>
      </c>
      <c r="J21" s="77">
        <v>0</v>
      </c>
      <c r="K21" s="78">
        <f aca="true" t="shared" si="7" ref="K21:K33">I21+J21</f>
        <v>-5247725</v>
      </c>
      <c r="L21" s="77">
        <f>Data!K546</f>
        <v>-2063509</v>
      </c>
      <c r="M21" s="77">
        <v>0</v>
      </c>
      <c r="N21" s="77">
        <f aca="true" t="shared" si="8" ref="N21:N33">L21+M21</f>
        <v>-2063509</v>
      </c>
      <c r="R21" s="77"/>
    </row>
    <row r="22" spans="1:18" ht="15" customHeight="1">
      <c r="A22" s="82">
        <v>99</v>
      </c>
      <c r="B22" s="83" t="s">
        <v>769</v>
      </c>
      <c r="C22" s="77"/>
      <c r="F22" s="77">
        <f t="shared" si="5"/>
        <v>5287306</v>
      </c>
      <c r="G22" s="77">
        <v>0</v>
      </c>
      <c r="H22" s="78">
        <f t="shared" si="6"/>
        <v>5287306</v>
      </c>
      <c r="I22" s="77">
        <f>Data!J550</f>
        <v>3795027</v>
      </c>
      <c r="J22" s="77">
        <v>0</v>
      </c>
      <c r="K22" s="78">
        <f t="shared" si="7"/>
        <v>3795027</v>
      </c>
      <c r="L22" s="77">
        <f>Data!K550</f>
        <v>1492279</v>
      </c>
      <c r="M22" s="77">
        <v>0</v>
      </c>
      <c r="N22" s="77">
        <f t="shared" si="8"/>
        <v>1492279</v>
      </c>
      <c r="R22" s="77"/>
    </row>
    <row r="23" spans="1:18" ht="15" customHeight="1">
      <c r="A23" s="82">
        <v>99</v>
      </c>
      <c r="B23" s="83" t="s">
        <v>99</v>
      </c>
      <c r="C23" s="77"/>
      <c r="F23" s="77">
        <f t="shared" si="5"/>
        <v>-2600000</v>
      </c>
      <c r="G23" s="77">
        <v>0</v>
      </c>
      <c r="H23" s="78">
        <f>F23+G23</f>
        <v>-2600000</v>
      </c>
      <c r="I23" s="77">
        <v>0</v>
      </c>
      <c r="J23" s="77">
        <v>0</v>
      </c>
      <c r="K23" s="78">
        <f>I23+J23</f>
        <v>0</v>
      </c>
      <c r="L23" s="77">
        <f>Data!K547</f>
        <v>-2600000</v>
      </c>
      <c r="M23" s="77">
        <v>0</v>
      </c>
      <c r="N23" s="77">
        <f>L23+M23</f>
        <v>-2600000</v>
      </c>
      <c r="R23" s="77"/>
    </row>
    <row r="24" spans="1:18" ht="15" customHeight="1">
      <c r="A24" s="82">
        <v>99</v>
      </c>
      <c r="B24" s="83" t="s">
        <v>100</v>
      </c>
      <c r="C24" s="77"/>
      <c r="F24" s="77">
        <f t="shared" si="5"/>
        <v>624572</v>
      </c>
      <c r="G24" s="77">
        <v>0</v>
      </c>
      <c r="H24" s="78">
        <f>F24+G24</f>
        <v>624572</v>
      </c>
      <c r="I24" s="77">
        <v>0</v>
      </c>
      <c r="J24" s="77">
        <v>0</v>
      </c>
      <c r="K24" s="78">
        <f>I24+J24</f>
        <v>0</v>
      </c>
      <c r="L24" s="77">
        <f>Data!K551</f>
        <v>624572</v>
      </c>
      <c r="M24" s="77">
        <v>0</v>
      </c>
      <c r="N24" s="77">
        <f>L24+M24</f>
        <v>624572</v>
      </c>
      <c r="R24" s="77"/>
    </row>
    <row r="25" spans="1:18" ht="15" customHeight="1">
      <c r="A25" s="82">
        <v>1</v>
      </c>
      <c r="B25" s="83" t="s">
        <v>109</v>
      </c>
      <c r="C25" s="77"/>
      <c r="F25" s="77">
        <f t="shared" si="5"/>
        <v>65409</v>
      </c>
      <c r="G25" s="77">
        <v>0</v>
      </c>
      <c r="H25" s="78">
        <f t="shared" si="6"/>
        <v>65409</v>
      </c>
      <c r="I25" s="77">
        <v>0</v>
      </c>
      <c r="J25" s="77">
        <f>G25*VLOOKUP(A25,Allocators,7)</f>
        <v>0</v>
      </c>
      <c r="K25" s="78">
        <f t="shared" si="7"/>
        <v>0</v>
      </c>
      <c r="L25" s="77">
        <f>+Data!K552</f>
        <v>65409</v>
      </c>
      <c r="M25" s="77">
        <f>G25*VLOOKUP(A25,Allocators,8)</f>
        <v>0</v>
      </c>
      <c r="N25" s="77">
        <f t="shared" si="8"/>
        <v>65409</v>
      </c>
      <c r="R25" s="77"/>
    </row>
    <row r="26" spans="1:18" ht="15" customHeight="1">
      <c r="A26" s="82">
        <v>99</v>
      </c>
      <c r="B26" s="83" t="s">
        <v>108</v>
      </c>
      <c r="C26" s="77"/>
      <c r="F26" s="77">
        <f t="shared" si="5"/>
        <v>2243985</v>
      </c>
      <c r="G26" s="77">
        <v>0</v>
      </c>
      <c r="H26" s="78">
        <f t="shared" si="6"/>
        <v>2243985</v>
      </c>
      <c r="I26" s="77">
        <f>Data!J558</f>
        <v>0</v>
      </c>
      <c r="J26" s="77">
        <v>0</v>
      </c>
      <c r="K26" s="78">
        <f t="shared" si="7"/>
        <v>0</v>
      </c>
      <c r="L26" s="77">
        <f>Data!K558</f>
        <v>2243985</v>
      </c>
      <c r="M26" s="77">
        <v>0</v>
      </c>
      <c r="N26" s="77">
        <f t="shared" si="8"/>
        <v>2243985</v>
      </c>
      <c r="R26" s="77"/>
    </row>
    <row r="27" spans="1:18" ht="15" customHeight="1">
      <c r="A27" s="82">
        <v>99</v>
      </c>
      <c r="B27" s="83" t="s">
        <v>213</v>
      </c>
      <c r="C27" s="77"/>
      <c r="F27" s="77">
        <f t="shared" si="5"/>
        <v>27970792</v>
      </c>
      <c r="G27" s="77">
        <v>0</v>
      </c>
      <c r="H27" s="78">
        <f t="shared" si="6"/>
        <v>27970792</v>
      </c>
      <c r="I27" s="77">
        <f>SUM(Data!J553:J554)</f>
        <v>27970792</v>
      </c>
      <c r="J27" s="77">
        <v>0</v>
      </c>
      <c r="K27" s="78">
        <f t="shared" si="7"/>
        <v>27970792</v>
      </c>
      <c r="L27" s="77">
        <f>SUM(Data!K553:K554)</f>
        <v>0</v>
      </c>
      <c r="M27" s="77">
        <v>0</v>
      </c>
      <c r="N27" s="77">
        <f t="shared" si="8"/>
        <v>0</v>
      </c>
      <c r="R27" s="77"/>
    </row>
    <row r="28" spans="1:18" ht="15" customHeight="1">
      <c r="A28" s="82">
        <v>99</v>
      </c>
      <c r="B28" s="83" t="s">
        <v>101</v>
      </c>
      <c r="C28" s="77"/>
      <c r="F28" s="77">
        <f t="shared" si="5"/>
        <v>3466641</v>
      </c>
      <c r="G28" s="77">
        <v>0</v>
      </c>
      <c r="H28" s="78">
        <f t="shared" si="6"/>
        <v>3466641</v>
      </c>
      <c r="I28" s="77">
        <f>Data!J556</f>
        <v>1110999</v>
      </c>
      <c r="J28" s="77">
        <v>0</v>
      </c>
      <c r="K28" s="78">
        <f t="shared" si="7"/>
        <v>1110999</v>
      </c>
      <c r="L28" s="77">
        <f>Data!K556</f>
        <v>2355642</v>
      </c>
      <c r="M28" s="77">
        <v>0</v>
      </c>
      <c r="N28" s="77">
        <f t="shared" si="8"/>
        <v>2355642</v>
      </c>
      <c r="R28" s="77"/>
    </row>
    <row r="29" spans="1:18" ht="15" customHeight="1">
      <c r="A29" s="82">
        <v>99</v>
      </c>
      <c r="B29" s="83" t="s">
        <v>145</v>
      </c>
      <c r="C29" s="77"/>
      <c r="F29" s="77">
        <f t="shared" si="5"/>
        <v>-2104745</v>
      </c>
      <c r="G29" s="77">
        <v>0</v>
      </c>
      <c r="H29" s="78">
        <f>F29+G29</f>
        <v>-2104745</v>
      </c>
      <c r="I29" s="77">
        <f>Data!J387</f>
        <v>-674534</v>
      </c>
      <c r="J29" s="77">
        <v>0</v>
      </c>
      <c r="K29" s="78">
        <f>I29+J29</f>
        <v>-674534</v>
      </c>
      <c r="L29" s="77">
        <f>Data!K387</f>
        <v>-1430211</v>
      </c>
      <c r="M29" s="77">
        <v>0</v>
      </c>
      <c r="N29" s="77">
        <f>L29+M29</f>
        <v>-1430211</v>
      </c>
      <c r="R29" s="77"/>
    </row>
    <row r="30" spans="1:18" ht="15" customHeight="1">
      <c r="A30" s="82" t="s">
        <v>735</v>
      </c>
      <c r="B30" s="83" t="s">
        <v>919</v>
      </c>
      <c r="C30" s="77"/>
      <c r="F30" s="77">
        <f>'E-ALL'!F149</f>
        <v>0</v>
      </c>
      <c r="G30" s="77">
        <v>0</v>
      </c>
      <c r="H30" s="78">
        <f t="shared" si="6"/>
        <v>0</v>
      </c>
      <c r="I30" s="77">
        <f>'E-ALL'!G149-'E-ALL'!G150</f>
        <v>-1956569</v>
      </c>
      <c r="J30" s="77">
        <v>0</v>
      </c>
      <c r="K30" s="78">
        <f t="shared" si="7"/>
        <v>-1956569</v>
      </c>
      <c r="L30" s="77">
        <f>'E-ALL'!H149-'E-ALL'!H150</f>
        <v>1956569</v>
      </c>
      <c r="M30" s="77">
        <v>0</v>
      </c>
      <c r="N30" s="77">
        <f t="shared" si="8"/>
        <v>1956569</v>
      </c>
      <c r="R30" s="77"/>
    </row>
    <row r="31" spans="1:18" ht="15" customHeight="1">
      <c r="A31" s="82">
        <v>99</v>
      </c>
      <c r="B31" s="83" t="s">
        <v>524</v>
      </c>
      <c r="C31" s="77"/>
      <c r="F31" s="77">
        <f>I31+L31</f>
        <v>-1775675</v>
      </c>
      <c r="G31" s="77">
        <v>0</v>
      </c>
      <c r="H31" s="78">
        <f>F31+G31</f>
        <v>-1775675</v>
      </c>
      <c r="I31" s="77">
        <f>IF(E3="E-APL-1A",+'E-CHK'!G108,+'E-CHK'!G109)</f>
        <v>-1775675</v>
      </c>
      <c r="J31" s="77">
        <v>0</v>
      </c>
      <c r="K31" s="78">
        <f>I31+J31</f>
        <v>-1775675</v>
      </c>
      <c r="L31" s="77">
        <v>0</v>
      </c>
      <c r="M31" s="77">
        <v>0</v>
      </c>
      <c r="N31" s="77">
        <f>L31+M31</f>
        <v>0</v>
      </c>
      <c r="R31" s="77"/>
    </row>
    <row r="32" spans="1:18" ht="15" customHeight="1">
      <c r="A32" s="82">
        <v>99</v>
      </c>
      <c r="B32" s="83" t="s">
        <v>106</v>
      </c>
      <c r="C32" s="77"/>
      <c r="F32" s="77">
        <f>I32+L32</f>
        <v>330336</v>
      </c>
      <c r="G32" s="77">
        <v>0</v>
      </c>
      <c r="H32" s="78">
        <f>F32+G32</f>
        <v>330336</v>
      </c>
      <c r="I32" s="77">
        <v>0</v>
      </c>
      <c r="J32" s="77">
        <v>0</v>
      </c>
      <c r="K32" s="78">
        <f>I32+J32</f>
        <v>0</v>
      </c>
      <c r="L32" s="77">
        <f>Data!K559</f>
        <v>330336</v>
      </c>
      <c r="M32" s="77">
        <v>0</v>
      </c>
      <c r="N32" s="77">
        <f>L32+M32</f>
        <v>330336</v>
      </c>
      <c r="R32" s="77"/>
    </row>
    <row r="33" spans="1:18" ht="15" customHeight="1">
      <c r="A33" s="82">
        <v>4</v>
      </c>
      <c r="B33" s="77" t="s">
        <v>260</v>
      </c>
      <c r="C33" s="77"/>
      <c r="F33" s="77">
        <f>I33+L33</f>
        <v>0</v>
      </c>
      <c r="G33" s="77">
        <f>Data!I564</f>
        <v>-735345</v>
      </c>
      <c r="H33" s="78">
        <f t="shared" si="6"/>
        <v>-735345</v>
      </c>
      <c r="I33" s="77">
        <f>Data!J564</f>
        <v>0</v>
      </c>
      <c r="J33" s="77">
        <f>G33*VLOOKUP(A33,Allocators,7)</f>
        <v>-478688</v>
      </c>
      <c r="K33" s="78">
        <f t="shared" si="7"/>
        <v>-478688</v>
      </c>
      <c r="L33" s="77">
        <f>Data!K564</f>
        <v>0</v>
      </c>
      <c r="M33" s="77">
        <f>G33*VLOOKUP(A33,Allocators,8)</f>
        <v>-256657</v>
      </c>
      <c r="N33" s="77">
        <f t="shared" si="8"/>
        <v>-256657</v>
      </c>
      <c r="R33" s="77"/>
    </row>
    <row r="34" spans="1:18" ht="15" customHeight="1">
      <c r="A34" s="82"/>
      <c r="B34" s="77" t="s">
        <v>498</v>
      </c>
      <c r="C34" s="77"/>
      <c r="F34" s="107">
        <f aca="true" t="shared" si="9" ref="F34:N34">SUM(F21:F33)</f>
        <v>26197387</v>
      </c>
      <c r="G34" s="107">
        <f t="shared" si="9"/>
        <v>-735345</v>
      </c>
      <c r="H34" s="108">
        <f t="shared" si="9"/>
        <v>25462042</v>
      </c>
      <c r="I34" s="107">
        <f t="shared" si="9"/>
        <v>23222315</v>
      </c>
      <c r="J34" s="107">
        <f t="shared" si="9"/>
        <v>-478688</v>
      </c>
      <c r="K34" s="108">
        <f t="shared" si="9"/>
        <v>22743627</v>
      </c>
      <c r="L34" s="107">
        <f t="shared" si="9"/>
        <v>2975072</v>
      </c>
      <c r="M34" s="107">
        <f t="shared" si="9"/>
        <v>-256657</v>
      </c>
      <c r="N34" s="107">
        <f t="shared" si="9"/>
        <v>2718415</v>
      </c>
      <c r="R34" s="77"/>
    </row>
    <row r="35" spans="1:18" ht="15" customHeight="1">
      <c r="A35" s="82"/>
      <c r="B35" s="77"/>
      <c r="C35" s="77"/>
      <c r="F35" s="77"/>
      <c r="G35" s="77"/>
      <c r="H35" s="78"/>
      <c r="I35" s="77"/>
      <c r="J35" s="77"/>
      <c r="K35" s="78"/>
      <c r="L35" s="77"/>
      <c r="M35" s="77"/>
      <c r="N35" s="77"/>
      <c r="R35" s="77"/>
    </row>
    <row r="36" spans="1:18" ht="15" customHeight="1">
      <c r="A36" s="82"/>
      <c r="B36" s="77" t="s">
        <v>499</v>
      </c>
      <c r="C36" s="77"/>
      <c r="F36" s="111">
        <f aca="true" t="shared" si="10" ref="F36:N36">F7+F18+F34</f>
        <v>678340819</v>
      </c>
      <c r="G36" s="111">
        <f t="shared" si="10"/>
        <v>783419930</v>
      </c>
      <c r="H36" s="112">
        <f t="shared" si="10"/>
        <v>1461760749</v>
      </c>
      <c r="I36" s="111">
        <f t="shared" si="10"/>
        <v>425818957</v>
      </c>
      <c r="J36" s="111">
        <f t="shared" si="10"/>
        <v>508719760</v>
      </c>
      <c r="K36" s="112">
        <f t="shared" si="10"/>
        <v>934538717</v>
      </c>
      <c r="L36" s="111">
        <f t="shared" si="10"/>
        <v>252521862</v>
      </c>
      <c r="M36" s="111">
        <f t="shared" si="10"/>
        <v>274700170</v>
      </c>
      <c r="N36" s="111">
        <f t="shared" si="10"/>
        <v>527222032</v>
      </c>
      <c r="R36" s="77"/>
    </row>
    <row r="37" spans="1:18" ht="15" customHeight="1">
      <c r="A37" s="82"/>
      <c r="B37" s="83"/>
      <c r="C37" s="77"/>
      <c r="F37" s="77"/>
      <c r="G37" s="77"/>
      <c r="H37" s="77"/>
      <c r="I37" s="77"/>
      <c r="J37" s="77"/>
      <c r="K37" s="77"/>
      <c r="L37" s="77"/>
      <c r="M37" s="77"/>
      <c r="N37" s="77" t="str">
        <f>IF(N36+K36-H36=0," ","ERROR")</f>
        <v> </v>
      </c>
      <c r="R37" s="77"/>
    </row>
    <row r="38" spans="1:18" ht="15" customHeight="1">
      <c r="A38" s="77" t="s">
        <v>341</v>
      </c>
      <c r="B38" s="83"/>
      <c r="C38" s="77"/>
      <c r="F38" s="77"/>
      <c r="G38" s="77"/>
      <c r="H38" s="77"/>
      <c r="I38" s="77"/>
      <c r="J38" s="77"/>
      <c r="K38" s="77"/>
      <c r="L38" s="77"/>
      <c r="M38" s="77"/>
      <c r="N38" s="77"/>
      <c r="R38" s="77"/>
    </row>
    <row r="39" spans="1:18" ht="15" customHeight="1">
      <c r="A39" s="82" t="s">
        <v>735</v>
      </c>
      <c r="B39" s="116">
        <v>1</v>
      </c>
      <c r="C39" s="77" t="str">
        <f>+'E-ALL'!C7</f>
        <v>Production/Transmission  Ratio</v>
      </c>
      <c r="F39" s="77"/>
      <c r="G39" s="117">
        <f>VLOOKUP(B39,Allocators,6)</f>
        <v>1</v>
      </c>
      <c r="H39" s="117"/>
      <c r="I39" s="117"/>
      <c r="J39" s="117">
        <f>VLOOKUP(B39,Allocators,7)</f>
        <v>0.6459</v>
      </c>
      <c r="K39" s="117"/>
      <c r="L39" s="117"/>
      <c r="M39" s="117">
        <f>VLOOKUP(B39,Allocators,8)</f>
        <v>0.3541</v>
      </c>
      <c r="N39" s="117"/>
      <c r="R39" s="77"/>
    </row>
    <row r="40" spans="1:18" ht="15" customHeight="1">
      <c r="A40" s="82" t="s">
        <v>735</v>
      </c>
      <c r="B40" s="116">
        <v>4</v>
      </c>
      <c r="C40" s="77" t="str">
        <f>+'E-ALL'!C18</f>
        <v>Jurisdictional 4-Factor Ratio</v>
      </c>
      <c r="F40" s="77"/>
      <c r="G40" s="117">
        <f>VLOOKUP(B40,Allocators,6)</f>
        <v>1</v>
      </c>
      <c r="H40" s="117"/>
      <c r="I40" s="117"/>
      <c r="J40" s="117">
        <f>VLOOKUP(B40,Allocators,7)</f>
        <v>0.65097</v>
      </c>
      <c r="K40" s="117"/>
      <c r="L40" s="117"/>
      <c r="M40" s="117">
        <f>VLOOKUP(B40,Allocators,8)</f>
        <v>0.34903</v>
      </c>
      <c r="N40" s="117"/>
      <c r="R40" s="77"/>
    </row>
    <row r="41" spans="1:18" ht="15" customHeight="1">
      <c r="A41" s="82" t="s">
        <v>735</v>
      </c>
      <c r="B41" s="116">
        <v>12</v>
      </c>
      <c r="C41" s="77" t="str">
        <f>+'E-ALL'!C116</f>
        <v>Net Electric Plant</v>
      </c>
      <c r="F41" s="77"/>
      <c r="G41" s="117">
        <f>VLOOKUP(B41,Allocators,6)</f>
        <v>1</v>
      </c>
      <c r="H41" s="117"/>
      <c r="I41" s="117"/>
      <c r="J41" s="117">
        <f>VLOOKUP(B41,Allocators,7)</f>
        <v>0.63522</v>
      </c>
      <c r="K41" s="117"/>
      <c r="L41" s="117"/>
      <c r="M41" s="117">
        <f>VLOOKUP(B41,Allocators,8)</f>
        <v>0.36478</v>
      </c>
      <c r="N41" s="117"/>
      <c r="R41" s="77"/>
    </row>
    <row r="42" spans="1:18" ht="15" customHeight="1">
      <c r="A42" s="82" t="s">
        <v>735</v>
      </c>
      <c r="B42" s="116">
        <v>13</v>
      </c>
      <c r="C42" s="77" t="str">
        <f>+'E-ALL'!C120</f>
        <v>Net Electric General Plant</v>
      </c>
      <c r="F42" s="77"/>
      <c r="G42" s="117">
        <f>VLOOKUP(B42,Allocators,6)</f>
        <v>1</v>
      </c>
      <c r="H42" s="117"/>
      <c r="I42" s="117"/>
      <c r="J42" s="117">
        <f>VLOOKUP(B42,Allocators,7)</f>
        <v>0.63685</v>
      </c>
      <c r="K42" s="117"/>
      <c r="L42" s="117"/>
      <c r="M42" s="117">
        <f>VLOOKUP(B42,Allocators,8)</f>
        <v>0.36315</v>
      </c>
      <c r="N42" s="117"/>
      <c r="R42" s="77"/>
    </row>
    <row r="43" spans="1:18" ht="15" customHeight="1">
      <c r="A43" s="82" t="s">
        <v>735</v>
      </c>
      <c r="B43" s="116">
        <v>99</v>
      </c>
      <c r="C43" s="77" t="str">
        <f>'E-ALL'!C128</f>
        <v>Not Allocated</v>
      </c>
      <c r="F43" s="77"/>
      <c r="G43" s="117">
        <f>VLOOKUP(B43,Allocators,6)</f>
        <v>0</v>
      </c>
      <c r="H43" s="117"/>
      <c r="I43" s="117"/>
      <c r="J43" s="117">
        <f>VLOOKUP(B43,Allocators,7)</f>
        <v>0</v>
      </c>
      <c r="K43" s="117"/>
      <c r="L43" s="117"/>
      <c r="M43" s="117">
        <f>VLOOKUP(B43,Allocators,8)</f>
        <v>0</v>
      </c>
      <c r="N43" s="117"/>
      <c r="R43" s="77"/>
    </row>
    <row r="44" spans="1:18" ht="15" customHeight="1">
      <c r="A44" s="82"/>
      <c r="B44" s="116"/>
      <c r="C44" s="77"/>
      <c r="F44" s="77"/>
      <c r="G44" s="117"/>
      <c r="H44" s="117"/>
      <c r="I44" s="117"/>
      <c r="J44" s="117"/>
      <c r="K44" s="117"/>
      <c r="L44" s="117"/>
      <c r="M44" s="117"/>
      <c r="N44" s="77"/>
      <c r="R44" s="77"/>
    </row>
  </sheetData>
  <printOptions/>
  <pageMargins left="0.75" right="0.75" top="0.75" bottom="0.75" header="0.5" footer="0.5"/>
  <pageSetup fitToHeight="1" fitToWidth="1" horizontalDpi="300" verticalDpi="300" orientation="landscape" scale="66" r:id="rId3"/>
  <headerFooter alignWithMargins="0">
    <oddHeader>&amp;LAVISTA UTILITIES&amp;CRESULTS OF OPERATIONS&amp;RRUN DATE: &amp;D</oddHeader>
    <oddFooter>&amp;CPage &amp;P</oddFooter>
  </headerFooter>
  <legacyDrawing r:id="rId2"/>
</worksheet>
</file>

<file path=xl/worksheets/sheet15.xml><?xml version="1.0" encoding="utf-8"?>
<worksheet xmlns="http://schemas.openxmlformats.org/spreadsheetml/2006/main" xmlns:r="http://schemas.openxmlformats.org/officeDocument/2006/relationships">
  <sheetPr codeName="Sheet24"/>
  <dimension ref="A1:I39"/>
  <sheetViews>
    <sheetView workbookViewId="0" topLeftCell="A1">
      <pane xSplit="5" ySplit="7" topLeftCell="F8" activePane="bottomRight" state="frozen"/>
      <selection pane="topLeft" activeCell="A1" sqref="A1"/>
      <selection pane="topRight" activeCell="F1" sqref="F1"/>
      <selection pane="bottomLeft" activeCell="A8" sqref="A8"/>
      <selection pane="bottomRight" activeCell="F8" sqref="F8"/>
    </sheetView>
  </sheetViews>
  <sheetFormatPr defaultColWidth="9.00390625" defaultRowHeight="12.75"/>
  <cols>
    <col min="1" max="2" width="9.875" style="123" customWidth="1"/>
    <col min="3" max="3" width="31.625" style="123" bestFit="1" customWidth="1"/>
    <col min="4" max="5" width="13.875" style="123" customWidth="1"/>
    <col min="6" max="9" width="15.875" style="123" customWidth="1"/>
    <col min="10" max="16384" width="9.375" style="123" customWidth="1"/>
  </cols>
  <sheetData>
    <row r="1" spans="1:9" ht="12.75">
      <c r="A1" s="255"/>
      <c r="B1" s="256"/>
      <c r="C1" s="170"/>
      <c r="G1" s="170"/>
      <c r="H1" s="170"/>
      <c r="I1" s="170"/>
    </row>
    <row r="2" spans="1:9" ht="12.75">
      <c r="A2" s="257" t="s">
        <v>154</v>
      </c>
      <c r="B2" s="258"/>
      <c r="C2" s="259"/>
      <c r="D2" s="260"/>
      <c r="E2" s="261" t="s">
        <v>725</v>
      </c>
      <c r="F2" s="262"/>
      <c r="G2" s="170"/>
      <c r="H2" s="170"/>
      <c r="I2" s="170"/>
    </row>
    <row r="3" spans="1:9" ht="12.75">
      <c r="A3" s="263" t="str">
        <f>tp_heading</f>
        <v>For Twelve Months Ended September 30, 2008</v>
      </c>
      <c r="D3" s="264"/>
      <c r="E3" s="265" t="str">
        <f>"C-AMT-"&amp;months&amp;rbcalc</f>
        <v>C-AMT-12A</v>
      </c>
      <c r="F3" s="266"/>
      <c r="G3" s="170"/>
      <c r="H3" s="170"/>
      <c r="I3" s="170"/>
    </row>
    <row r="4" spans="1:9" ht="12.75">
      <c r="A4" s="267" t="str">
        <f>rbcalc_heading</f>
        <v>Average of Monthly Averages Basis</v>
      </c>
      <c r="B4" s="268"/>
      <c r="C4" s="269"/>
      <c r="D4" s="270"/>
      <c r="E4" s="271"/>
      <c r="F4" s="262"/>
      <c r="G4" s="170"/>
      <c r="H4" s="170"/>
      <c r="I4" s="170"/>
    </row>
    <row r="6" spans="1:9" ht="12.75">
      <c r="A6" s="272"/>
      <c r="B6" s="273"/>
      <c r="C6" s="272"/>
      <c r="D6" s="272"/>
      <c r="E6" s="262"/>
      <c r="G6" s="148" t="s">
        <v>548</v>
      </c>
      <c r="H6" s="148" t="s">
        <v>548</v>
      </c>
      <c r="I6" s="148" t="s">
        <v>548</v>
      </c>
    </row>
    <row r="7" spans="1:9" ht="12.75">
      <c r="A7" s="274" t="s">
        <v>2</v>
      </c>
      <c r="B7" s="275"/>
      <c r="C7" s="274" t="s">
        <v>844</v>
      </c>
      <c r="D7" s="269"/>
      <c r="E7" s="269"/>
      <c r="F7" s="276" t="s">
        <v>891</v>
      </c>
      <c r="G7" s="274" t="s">
        <v>149</v>
      </c>
      <c r="H7" s="274" t="s">
        <v>257</v>
      </c>
      <c r="I7" s="274" t="s">
        <v>245</v>
      </c>
    </row>
    <row r="8" spans="1:9" ht="12.75">
      <c r="A8" s="255"/>
      <c r="B8" s="277"/>
      <c r="G8" s="170"/>
      <c r="H8" s="170"/>
      <c r="I8" s="278"/>
    </row>
    <row r="9" spans="1:9" ht="12.75">
      <c r="A9" s="255">
        <v>7</v>
      </c>
      <c r="B9" s="277" t="s">
        <v>155</v>
      </c>
      <c r="C9" s="123" t="s">
        <v>178</v>
      </c>
      <c r="D9" s="255" t="s">
        <v>866</v>
      </c>
      <c r="F9" s="170">
        <f>+Data!H65</f>
        <v>2480493</v>
      </c>
      <c r="G9" s="170">
        <f>F9*VLOOKUP(A9,Allocators,7)</f>
        <v>1784963</v>
      </c>
      <c r="H9" s="170">
        <f>F9*VLOOKUP(A9,Allocators,8)</f>
        <v>475759</v>
      </c>
      <c r="I9" s="278">
        <f>F9*VLOOKUP(A9,Allocators,9)</f>
        <v>219772</v>
      </c>
    </row>
    <row r="10" spans="1:9" ht="12.75">
      <c r="A10" s="255">
        <v>8</v>
      </c>
      <c r="B10" s="277"/>
      <c r="D10" s="255" t="s">
        <v>867</v>
      </c>
      <c r="F10" s="170">
        <f>+Data!H66</f>
        <v>0</v>
      </c>
      <c r="G10" s="170">
        <f>F10*VLOOKUP(A10,Allocators,7)</f>
        <v>0</v>
      </c>
      <c r="H10" s="170">
        <f>F10*VLOOKUP(A10,Allocators,8)</f>
        <v>0</v>
      </c>
      <c r="I10" s="278">
        <f>F10*VLOOKUP(A10,Allocators,9)</f>
        <v>0</v>
      </c>
    </row>
    <row r="11" spans="1:9" ht="12.75">
      <c r="A11" s="255">
        <v>9</v>
      </c>
      <c r="B11" s="277"/>
      <c r="D11" s="255" t="s">
        <v>869</v>
      </c>
      <c r="F11" s="170">
        <f>+Data!H67</f>
        <v>6873</v>
      </c>
      <c r="G11" s="170">
        <f>F11*VLOOKUP(A11,Allocators,7)</f>
        <v>5438</v>
      </c>
      <c r="H11" s="170">
        <f>F11*VLOOKUP(A11,Allocators,8)</f>
        <v>1435</v>
      </c>
      <c r="I11" s="278">
        <f>F11*VLOOKUP(A11,Allocators,9)</f>
        <v>0</v>
      </c>
    </row>
    <row r="12" spans="1:9" ht="13.5" thickBot="1">
      <c r="A12" s="255"/>
      <c r="B12" s="277"/>
      <c r="C12" s="170" t="s">
        <v>809</v>
      </c>
      <c r="F12" s="171">
        <f>SUM(F9:F11)</f>
        <v>2487366</v>
      </c>
      <c r="G12" s="171">
        <f>SUM(G9:G11)</f>
        <v>1790401</v>
      </c>
      <c r="H12" s="171">
        <f>SUM(H9:H11)</f>
        <v>477194</v>
      </c>
      <c r="I12" s="171">
        <f>SUM(I9:I11)</f>
        <v>219772</v>
      </c>
    </row>
    <row r="13" spans="1:9" ht="13.5" thickTop="1">
      <c r="A13" s="255"/>
      <c r="B13" s="277"/>
      <c r="D13" s="255"/>
      <c r="G13" s="170"/>
      <c r="H13" s="170"/>
      <c r="I13" s="278"/>
    </row>
    <row r="14" spans="1:9" ht="12.75">
      <c r="A14" s="255">
        <v>7</v>
      </c>
      <c r="B14" s="277" t="s">
        <v>135</v>
      </c>
      <c r="C14" s="123" t="s">
        <v>179</v>
      </c>
      <c r="D14" s="255" t="s">
        <v>866</v>
      </c>
      <c r="F14" s="170">
        <f>+Data!H69</f>
        <v>1772867</v>
      </c>
      <c r="G14" s="170">
        <f>F14*VLOOKUP(A14,Allocators,7)</f>
        <v>1275755</v>
      </c>
      <c r="H14" s="170">
        <f>F14*VLOOKUP(A14,Allocators,8)</f>
        <v>340036</v>
      </c>
      <c r="I14" s="278">
        <f>F14*VLOOKUP(A14,Allocators,9)</f>
        <v>157076</v>
      </c>
    </row>
    <row r="15" spans="1:9" ht="12.75">
      <c r="A15" s="255">
        <v>8</v>
      </c>
      <c r="B15" s="277"/>
      <c r="D15" s="255" t="s">
        <v>867</v>
      </c>
      <c r="F15" s="170">
        <f>+Data!H70</f>
        <v>165004</v>
      </c>
      <c r="G15" s="170">
        <f>F15*VLOOKUP(A15,Allocators,7)</f>
        <v>0</v>
      </c>
      <c r="H15" s="170">
        <f>F15*VLOOKUP(A15,Allocators,8)</f>
        <v>112462</v>
      </c>
      <c r="I15" s="278">
        <f>F15*VLOOKUP(A15,Allocators,9)</f>
        <v>52542</v>
      </c>
    </row>
    <row r="16" spans="1:9" ht="12.75">
      <c r="A16" s="255">
        <v>9</v>
      </c>
      <c r="B16" s="277"/>
      <c r="D16" s="255" t="s">
        <v>869</v>
      </c>
      <c r="F16" s="170">
        <f>+Data!H71</f>
        <v>0</v>
      </c>
      <c r="G16" s="170">
        <f>F16*VLOOKUP(A16,Allocators,7)</f>
        <v>0</v>
      </c>
      <c r="H16" s="170">
        <f>F16*VLOOKUP(A16,Allocators,8)</f>
        <v>0</v>
      </c>
      <c r="I16" s="278">
        <f>F16*VLOOKUP(A16,Allocators,9)</f>
        <v>0</v>
      </c>
    </row>
    <row r="17" spans="1:9" ht="13.5" thickBot="1">
      <c r="A17" s="255"/>
      <c r="B17" s="256"/>
      <c r="C17" s="170" t="s">
        <v>809</v>
      </c>
      <c r="F17" s="171">
        <f>SUM(F14:F16)</f>
        <v>1937871</v>
      </c>
      <c r="G17" s="171">
        <f>SUM(G14:G16)</f>
        <v>1275755</v>
      </c>
      <c r="H17" s="171">
        <f>SUM(H14:H16)</f>
        <v>452498</v>
      </c>
      <c r="I17" s="171">
        <f>SUM(I14:I16)</f>
        <v>209618</v>
      </c>
    </row>
    <row r="18" spans="1:9" ht="13.5" thickTop="1">
      <c r="A18" s="255"/>
      <c r="B18" s="256"/>
      <c r="D18" s="255"/>
      <c r="F18" s="278"/>
      <c r="G18" s="278"/>
      <c r="H18" s="278"/>
      <c r="I18" s="278"/>
    </row>
    <row r="19" spans="1:9" ht="12.75">
      <c r="A19" s="255">
        <v>7</v>
      </c>
      <c r="B19" s="277" t="s">
        <v>156</v>
      </c>
      <c r="C19" s="123" t="s">
        <v>180</v>
      </c>
      <c r="D19" s="255" t="s">
        <v>866</v>
      </c>
      <c r="F19" s="170">
        <f>+Data!H72</f>
        <v>0</v>
      </c>
      <c r="G19" s="170">
        <f>F19*VLOOKUP(A19,Allocators,7)</f>
        <v>0</v>
      </c>
      <c r="H19" s="170">
        <f>F19*VLOOKUP(A19,Allocators,8)</f>
        <v>0</v>
      </c>
      <c r="I19" s="278">
        <f>F19*VLOOKUP(A19,Allocators,9)</f>
        <v>0</v>
      </c>
    </row>
    <row r="20" spans="1:9" ht="12.75">
      <c r="A20" s="255">
        <v>8</v>
      </c>
      <c r="B20" s="277"/>
      <c r="D20" s="255" t="s">
        <v>867</v>
      </c>
      <c r="F20" s="170">
        <f>+Data!H73</f>
        <v>0</v>
      </c>
      <c r="G20" s="170">
        <f>F20*VLOOKUP(A20,Allocators,7)</f>
        <v>0</v>
      </c>
      <c r="H20" s="170">
        <f>F20*VLOOKUP(A20,Allocators,8)</f>
        <v>0</v>
      </c>
      <c r="I20" s="278">
        <f>F20*VLOOKUP(A20,Allocators,9)</f>
        <v>0</v>
      </c>
    </row>
    <row r="21" spans="1:9" ht="12.75">
      <c r="A21" s="255">
        <v>9</v>
      </c>
      <c r="B21" s="277"/>
      <c r="D21" s="255" t="s">
        <v>869</v>
      </c>
      <c r="F21" s="170">
        <f>+Data!H74</f>
        <v>0</v>
      </c>
      <c r="G21" s="170">
        <f>F21*VLOOKUP(A21,Allocators,7)</f>
        <v>0</v>
      </c>
      <c r="H21" s="170">
        <f>F21*VLOOKUP(A21,Allocators,8)</f>
        <v>0</v>
      </c>
      <c r="I21" s="278">
        <f>F21*VLOOKUP(A21,Allocators,9)</f>
        <v>0</v>
      </c>
    </row>
    <row r="22" spans="1:9" ht="13.5" thickBot="1">
      <c r="A22" s="255"/>
      <c r="B22" s="256"/>
      <c r="C22" s="170" t="s">
        <v>809</v>
      </c>
      <c r="F22" s="171">
        <f>SUM(F19:F21)</f>
        <v>0</v>
      </c>
      <c r="G22" s="171">
        <f>SUM(G19:G21)</f>
        <v>0</v>
      </c>
      <c r="H22" s="171">
        <f>SUM(H19:H21)</f>
        <v>0</v>
      </c>
      <c r="I22" s="171">
        <f>SUM(I19:I21)</f>
        <v>0</v>
      </c>
    </row>
    <row r="23" spans="1:9" ht="13.5" thickTop="1">
      <c r="A23" s="255"/>
      <c r="B23" s="256"/>
      <c r="D23" s="255"/>
      <c r="F23" s="278"/>
      <c r="G23" s="278"/>
      <c r="H23" s="278"/>
      <c r="I23" s="278"/>
    </row>
    <row r="24" spans="1:9" ht="12.75">
      <c r="A24" s="255">
        <v>7</v>
      </c>
      <c r="B24" s="277" t="s">
        <v>157</v>
      </c>
      <c r="C24" s="123" t="s">
        <v>181</v>
      </c>
      <c r="D24" s="255" t="s">
        <v>866</v>
      </c>
      <c r="F24" s="170">
        <f>+Data!H76</f>
        <v>10303</v>
      </c>
      <c r="G24" s="170">
        <f>F24*VLOOKUP(A24,Allocators,7)</f>
        <v>7414</v>
      </c>
      <c r="H24" s="170">
        <f>F24*VLOOKUP(A24,Allocators,8)</f>
        <v>1976</v>
      </c>
      <c r="I24" s="278">
        <f>F24*VLOOKUP(A24,Allocators,9)</f>
        <v>913</v>
      </c>
    </row>
    <row r="25" spans="1:9" ht="12.75">
      <c r="A25" s="255">
        <v>8</v>
      </c>
      <c r="B25" s="277"/>
      <c r="D25" s="255" t="s">
        <v>867</v>
      </c>
      <c r="F25" s="170">
        <f>+Data!H77</f>
        <v>0</v>
      </c>
      <c r="G25" s="170">
        <f>F25*VLOOKUP(A25,Allocators,7)</f>
        <v>0</v>
      </c>
      <c r="H25" s="170">
        <f>F25*VLOOKUP(A25,Allocators,8)</f>
        <v>0</v>
      </c>
      <c r="I25" s="278">
        <f>F25*VLOOKUP(A25,Allocators,9)</f>
        <v>0</v>
      </c>
    </row>
    <row r="26" spans="1:9" ht="12.75">
      <c r="A26" s="255">
        <v>9</v>
      </c>
      <c r="B26" s="277"/>
      <c r="D26" s="255" t="s">
        <v>869</v>
      </c>
      <c r="F26" s="170">
        <f>+Data!H78</f>
        <v>0</v>
      </c>
      <c r="G26" s="170">
        <f>F26*VLOOKUP(A26,Allocators,7)</f>
        <v>0</v>
      </c>
      <c r="H26" s="170">
        <f>F26*VLOOKUP(A26,Allocators,8)</f>
        <v>0</v>
      </c>
      <c r="I26" s="278">
        <f>F26*VLOOKUP(A26,Allocators,9)</f>
        <v>0</v>
      </c>
    </row>
    <row r="27" spans="1:9" ht="13.5" thickBot="1">
      <c r="A27" s="255"/>
      <c r="B27" s="256"/>
      <c r="C27" s="170" t="s">
        <v>809</v>
      </c>
      <c r="F27" s="171">
        <f>SUM(F24:F26)</f>
        <v>10303</v>
      </c>
      <c r="G27" s="171">
        <f>SUM(G24:G26)</f>
        <v>7414</v>
      </c>
      <c r="H27" s="171">
        <f>SUM(H24:H26)</f>
        <v>1976</v>
      </c>
      <c r="I27" s="171">
        <f>SUM(I24:I26)</f>
        <v>913</v>
      </c>
    </row>
    <row r="28" spans="1:9" ht="13.5" thickTop="1">
      <c r="A28" s="255"/>
      <c r="B28" s="256"/>
      <c r="D28" s="255"/>
      <c r="F28" s="278"/>
      <c r="G28" s="278"/>
      <c r="H28" s="278"/>
      <c r="I28" s="278"/>
    </row>
    <row r="29" spans="1:9" ht="12.75">
      <c r="A29" s="255">
        <v>7</v>
      </c>
      <c r="B29" s="277" t="s">
        <v>158</v>
      </c>
      <c r="C29" s="123" t="s">
        <v>182</v>
      </c>
      <c r="D29" s="255" t="s">
        <v>866</v>
      </c>
      <c r="F29" s="170">
        <f>+Data!H80</f>
        <v>0</v>
      </c>
      <c r="G29" s="170">
        <f>F29*VLOOKUP(A29,Allocators,7)</f>
        <v>0</v>
      </c>
      <c r="H29" s="170">
        <f>F29*VLOOKUP(A29,Allocators,8)</f>
        <v>0</v>
      </c>
      <c r="I29" s="278">
        <f>F29*VLOOKUP(A29,Allocators,9)</f>
        <v>0</v>
      </c>
    </row>
    <row r="30" spans="1:9" ht="12.75">
      <c r="A30" s="255">
        <v>8</v>
      </c>
      <c r="B30" s="277"/>
      <c r="D30" s="255" t="s">
        <v>867</v>
      </c>
      <c r="F30" s="170">
        <f>+Data!H81</f>
        <v>0</v>
      </c>
      <c r="G30" s="170">
        <f>F30*VLOOKUP(A30,Allocators,7)</f>
        <v>0</v>
      </c>
      <c r="H30" s="170">
        <f>F30*VLOOKUP(A30,Allocators,8)</f>
        <v>0</v>
      </c>
      <c r="I30" s="278">
        <f>F30*VLOOKUP(A30,Allocators,9)</f>
        <v>0</v>
      </c>
    </row>
    <row r="31" spans="1:9" ht="12.75">
      <c r="A31" s="255">
        <v>9</v>
      </c>
      <c r="B31" s="277"/>
      <c r="D31" s="255" t="s">
        <v>869</v>
      </c>
      <c r="F31" s="170">
        <f>+Data!H82</f>
        <v>0</v>
      </c>
      <c r="G31" s="170">
        <f>F31*VLOOKUP(A31,Allocators,7)</f>
        <v>0</v>
      </c>
      <c r="H31" s="170">
        <f>F31*VLOOKUP(A31,Allocators,8)</f>
        <v>0</v>
      </c>
      <c r="I31" s="278">
        <f>F31*VLOOKUP(A31,Allocators,9)</f>
        <v>0</v>
      </c>
    </row>
    <row r="32" spans="1:9" ht="13.5" thickBot="1">
      <c r="A32" s="255"/>
      <c r="B32" s="256"/>
      <c r="C32" s="170" t="s">
        <v>809</v>
      </c>
      <c r="F32" s="171">
        <f>SUM(F29:F31)</f>
        <v>0</v>
      </c>
      <c r="G32" s="171">
        <f>SUM(G29:G31)</f>
        <v>0</v>
      </c>
      <c r="H32" s="171">
        <f>SUM(H29:H31)</f>
        <v>0</v>
      </c>
      <c r="I32" s="171">
        <f>SUM(I29:I31)</f>
        <v>0</v>
      </c>
    </row>
    <row r="33" spans="1:9" ht="13.5" thickTop="1">
      <c r="A33" s="255"/>
      <c r="B33" s="256"/>
      <c r="C33" s="170"/>
      <c r="F33" s="278"/>
      <c r="G33" s="278"/>
      <c r="H33" s="278"/>
      <c r="I33" s="278"/>
    </row>
    <row r="34" spans="1:9" ht="12.75">
      <c r="A34" s="255"/>
      <c r="B34" s="256"/>
      <c r="C34" s="170"/>
      <c r="D34" s="170"/>
      <c r="E34" s="170"/>
      <c r="F34" s="170"/>
      <c r="G34" s="170"/>
      <c r="H34" s="170"/>
      <c r="I34" s="170"/>
    </row>
    <row r="35" spans="1:9" ht="12.75">
      <c r="A35" s="170" t="s">
        <v>341</v>
      </c>
      <c r="B35" s="256"/>
      <c r="C35" s="170"/>
      <c r="G35" s="170"/>
      <c r="H35" s="170"/>
      <c r="I35" s="170"/>
    </row>
    <row r="36" spans="1:9" ht="12.75">
      <c r="A36" s="255" t="s">
        <v>153</v>
      </c>
      <c r="B36" s="279">
        <v>7</v>
      </c>
      <c r="C36" s="280" t="s">
        <v>229</v>
      </c>
      <c r="F36" s="281">
        <f>VLOOKUP(B36,Allocators,6)</f>
        <v>1</v>
      </c>
      <c r="G36" s="281">
        <f>VLOOKUP(B36,Allocators,7)</f>
        <v>0.7196</v>
      </c>
      <c r="H36" s="281">
        <f>VLOOKUP(B36,Allocators,8)</f>
        <v>0.1918</v>
      </c>
      <c r="I36" s="281">
        <f>VLOOKUP(B36,Allocators,9)</f>
        <v>0.0886</v>
      </c>
    </row>
    <row r="37" spans="1:9" ht="12.75">
      <c r="A37" s="255" t="s">
        <v>153</v>
      </c>
      <c r="B37" s="279">
        <v>8</v>
      </c>
      <c r="C37" s="280" t="s">
        <v>900</v>
      </c>
      <c r="F37" s="281">
        <f>VLOOKUP(B37,Allocators,6)</f>
        <v>1</v>
      </c>
      <c r="G37" s="281">
        <f>VLOOKUP(B37,Allocators,7)</f>
        <v>0</v>
      </c>
      <c r="H37" s="281">
        <f>VLOOKUP(B37,Allocators,8)</f>
        <v>0.68157</v>
      </c>
      <c r="I37" s="281">
        <f>VLOOKUP(B37,Allocators,9)</f>
        <v>0.31843</v>
      </c>
    </row>
    <row r="38" spans="1:9" ht="12.75">
      <c r="A38" s="255" t="s">
        <v>153</v>
      </c>
      <c r="B38" s="279">
        <v>9</v>
      </c>
      <c r="C38" s="280" t="s">
        <v>230</v>
      </c>
      <c r="F38" s="281">
        <f>VLOOKUP(B38,Allocators,6)</f>
        <v>1</v>
      </c>
      <c r="G38" s="281">
        <f>VLOOKUP(B38,Allocators,7)</f>
        <v>0.79122</v>
      </c>
      <c r="H38" s="281">
        <f>VLOOKUP(B38,Allocators,8)</f>
        <v>0.20878</v>
      </c>
      <c r="I38" s="281">
        <f>VLOOKUP(B38,Allocators,9)</f>
        <v>0</v>
      </c>
    </row>
    <row r="39" spans="1:9" ht="12.75">
      <c r="A39" s="255"/>
      <c r="B39" s="256"/>
      <c r="C39" s="170"/>
      <c r="G39" s="170"/>
      <c r="H39" s="170"/>
      <c r="I39" s="170"/>
    </row>
  </sheetData>
  <printOptions/>
  <pageMargins left="0.75" right="0.5" top="0.75" bottom="0.75" header="0.5" footer="0.5"/>
  <pageSetup horizontalDpi="600" verticalDpi="600" orientation="landscape" scale="80" r:id="rId1"/>
  <headerFooter alignWithMargins="0">
    <oddHeader>&amp;LAVISTA UTILITIES&amp;CRESULTS OF OPERATIONS&amp;RRUN DATE: &amp;D</oddHeader>
    <oddFooter>&amp;CPage &amp;P</oddFooter>
  </headerFooter>
</worksheet>
</file>

<file path=xl/worksheets/sheet16.xml><?xml version="1.0" encoding="utf-8"?>
<worksheet xmlns="http://schemas.openxmlformats.org/spreadsheetml/2006/main" xmlns:r="http://schemas.openxmlformats.org/officeDocument/2006/relationships">
  <sheetPr codeName="Sheet29">
    <pageSetUpPr fitToPage="1"/>
  </sheetPr>
  <dimension ref="A1:I27"/>
  <sheetViews>
    <sheetView workbookViewId="0" topLeftCell="A1">
      <selection activeCell="A1" sqref="A1"/>
    </sheetView>
  </sheetViews>
  <sheetFormatPr defaultColWidth="9.00390625" defaultRowHeight="12.75"/>
  <cols>
    <col min="1" max="2" width="10.875" style="123" customWidth="1"/>
    <col min="3" max="4" width="15.875" style="123" customWidth="1"/>
    <col min="5" max="5" width="13.875" style="123" customWidth="1"/>
    <col min="6" max="9" width="15.875" style="123" customWidth="1"/>
    <col min="10" max="16384" width="9.375" style="123" customWidth="1"/>
  </cols>
  <sheetData>
    <row r="1" spans="1:9" ht="12.75">
      <c r="A1" s="255"/>
      <c r="B1" s="256"/>
      <c r="C1" s="170"/>
      <c r="G1" s="170"/>
      <c r="H1" s="170"/>
      <c r="I1" s="170"/>
    </row>
    <row r="2" spans="1:9" ht="12.75">
      <c r="A2" s="257" t="s">
        <v>148</v>
      </c>
      <c r="B2" s="258"/>
      <c r="C2" s="259"/>
      <c r="D2" s="260"/>
      <c r="E2" s="261" t="s">
        <v>725</v>
      </c>
      <c r="F2" s="262"/>
      <c r="G2" s="170"/>
      <c r="H2" s="170"/>
      <c r="I2" s="170"/>
    </row>
    <row r="3" spans="1:9" ht="12.75">
      <c r="A3" s="263" t="str">
        <f>tp_heading</f>
        <v>For Twelve Months Ended September 30, 2008</v>
      </c>
      <c r="D3" s="264"/>
      <c r="E3" s="265" t="str">
        <f>"C-DEP-"&amp;months&amp;rbcalc</f>
        <v>C-DEP-12A</v>
      </c>
      <c r="F3" s="266"/>
      <c r="G3" s="170"/>
      <c r="H3" s="170"/>
      <c r="I3" s="170"/>
    </row>
    <row r="4" spans="1:9" ht="12.75">
      <c r="A4" s="267" t="str">
        <f>rbcalc_heading</f>
        <v>Average of Monthly Averages Basis</v>
      </c>
      <c r="B4" s="268"/>
      <c r="C4" s="269"/>
      <c r="D4" s="270"/>
      <c r="E4" s="271"/>
      <c r="F4" s="262"/>
      <c r="G4" s="170"/>
      <c r="H4" s="170"/>
      <c r="I4" s="170"/>
    </row>
    <row r="6" spans="1:9" ht="12.75">
      <c r="A6" s="272"/>
      <c r="B6" s="273"/>
      <c r="C6" s="272"/>
      <c r="D6" s="272"/>
      <c r="E6" s="262"/>
      <c r="G6" s="148" t="s">
        <v>548</v>
      </c>
      <c r="H6" s="148" t="s">
        <v>548</v>
      </c>
      <c r="I6" s="148" t="s">
        <v>548</v>
      </c>
    </row>
    <row r="7" spans="1:9" ht="12.75">
      <c r="A7" s="274" t="s">
        <v>2</v>
      </c>
      <c r="B7" s="275"/>
      <c r="C7" s="274" t="s">
        <v>844</v>
      </c>
      <c r="D7" s="269"/>
      <c r="E7" s="269"/>
      <c r="F7" s="276" t="s">
        <v>891</v>
      </c>
      <c r="G7" s="274" t="s">
        <v>149</v>
      </c>
      <c r="H7" s="274" t="s">
        <v>257</v>
      </c>
      <c r="I7" s="274" t="s">
        <v>245</v>
      </c>
    </row>
    <row r="8" spans="1:9" ht="12.75">
      <c r="A8" s="255"/>
      <c r="B8" s="277"/>
      <c r="G8" s="170"/>
      <c r="H8" s="170"/>
      <c r="I8" s="278"/>
    </row>
    <row r="9" spans="1:9" ht="12.75">
      <c r="A9" s="255">
        <v>7</v>
      </c>
      <c r="B9" s="277" t="s">
        <v>150</v>
      </c>
      <c r="C9" s="170" t="s">
        <v>866</v>
      </c>
      <c r="F9" s="170">
        <f>+Data!H52</f>
        <v>5475146</v>
      </c>
      <c r="G9" s="170">
        <f>F9*VLOOKUP(A9,Allocators,7)</f>
        <v>3939915</v>
      </c>
      <c r="H9" s="170">
        <f>F9*VLOOKUP(A9,Allocators,8)</f>
        <v>1050133</v>
      </c>
      <c r="I9" s="278">
        <f>F9*VLOOKUP(A9,Allocators,9)</f>
        <v>485098</v>
      </c>
    </row>
    <row r="10" spans="1:9" ht="12.75">
      <c r="A10" s="255">
        <v>8</v>
      </c>
      <c r="B10" s="277"/>
      <c r="C10" s="170" t="s">
        <v>867</v>
      </c>
      <c r="F10" s="170">
        <f>+Data!H53</f>
        <v>114082</v>
      </c>
      <c r="G10" s="170">
        <f>F10*VLOOKUP(A10,Allocators,7)</f>
        <v>0</v>
      </c>
      <c r="H10" s="170">
        <f>F10*VLOOKUP(A10,Allocators,8)</f>
        <v>77755</v>
      </c>
      <c r="I10" s="278">
        <f>F10*VLOOKUP(A10,Allocators,9)</f>
        <v>36327</v>
      </c>
    </row>
    <row r="11" spans="1:9" ht="12.75">
      <c r="A11" s="255">
        <v>9</v>
      </c>
      <c r="B11" s="277"/>
      <c r="C11" s="170" t="s">
        <v>869</v>
      </c>
      <c r="F11" s="170">
        <f>+Data!I54</f>
        <v>740570</v>
      </c>
      <c r="G11" s="170">
        <f>F11*VLOOKUP(A11,Allocators,7)</f>
        <v>585954</v>
      </c>
      <c r="H11" s="170">
        <f>F11*VLOOKUP(A11,Allocators,8)</f>
        <v>154616</v>
      </c>
      <c r="I11" s="278">
        <f>F11*VLOOKUP(A11,Allocators,9)</f>
        <v>0</v>
      </c>
    </row>
    <row r="12" spans="1:9" ht="12.75">
      <c r="A12" s="255">
        <v>9</v>
      </c>
      <c r="B12" s="277"/>
      <c r="C12" s="170" t="s">
        <v>165</v>
      </c>
      <c r="F12" s="170">
        <f>+Data!J54</f>
        <v>86581</v>
      </c>
      <c r="G12" s="170">
        <f>F12*VLOOKUP(A12,Allocators,7)</f>
        <v>68505</v>
      </c>
      <c r="H12" s="170">
        <f>F12*VLOOKUP(A12,Allocators,8)</f>
        <v>18076</v>
      </c>
      <c r="I12" s="278">
        <f>F12*VLOOKUP(A12,Allocators,9)</f>
        <v>0</v>
      </c>
    </row>
    <row r="13" spans="1:9" ht="12.75">
      <c r="A13" s="255">
        <v>9</v>
      </c>
      <c r="B13" s="277"/>
      <c r="C13" s="170" t="s">
        <v>166</v>
      </c>
      <c r="F13" s="170">
        <f>+Data!K54</f>
        <v>102544</v>
      </c>
      <c r="G13" s="170">
        <f>F13*VLOOKUP(A13,Allocators,7)</f>
        <v>81135</v>
      </c>
      <c r="H13" s="170">
        <f>F13*VLOOKUP(A13,Allocators,8)</f>
        <v>21409</v>
      </c>
      <c r="I13" s="278">
        <f>F13*VLOOKUP(A13,Allocators,9)</f>
        <v>0</v>
      </c>
    </row>
    <row r="14" spans="1:9" ht="12.75">
      <c r="A14" s="255"/>
      <c r="B14" s="277"/>
      <c r="C14" s="170"/>
      <c r="F14" s="170"/>
      <c r="G14" s="170"/>
      <c r="H14" s="170"/>
      <c r="I14" s="278"/>
    </row>
    <row r="15" spans="1:9" ht="13.5" thickBot="1">
      <c r="A15" s="255"/>
      <c r="B15" s="277"/>
      <c r="C15" s="170"/>
      <c r="F15" s="171">
        <f>SUM(F9:F14)</f>
        <v>6518923</v>
      </c>
      <c r="G15" s="171">
        <f>SUM(G9:G14)</f>
        <v>4675509</v>
      </c>
      <c r="H15" s="171">
        <f>SUM(H9:H14)</f>
        <v>1321989</v>
      </c>
      <c r="I15" s="171">
        <f>SUM(I9:I14)</f>
        <v>521425</v>
      </c>
    </row>
    <row r="16" spans="1:9" ht="13.5" thickTop="1">
      <c r="A16" s="255"/>
      <c r="B16" s="277"/>
      <c r="C16" s="170"/>
      <c r="G16" s="170"/>
      <c r="H16" s="170"/>
      <c r="I16" s="278"/>
    </row>
    <row r="17" spans="1:9" ht="12.75">
      <c r="A17" s="255">
        <v>7</v>
      </c>
      <c r="B17" s="277" t="s">
        <v>151</v>
      </c>
      <c r="C17" s="170" t="s">
        <v>866</v>
      </c>
      <c r="F17" s="170">
        <f>+Data!H56</f>
        <v>2037</v>
      </c>
      <c r="G17" s="170">
        <f>F17*VLOOKUP(A17,Allocators,7)</f>
        <v>1466</v>
      </c>
      <c r="H17" s="170">
        <f>F17*VLOOKUP(A17,Allocators,8)</f>
        <v>391</v>
      </c>
      <c r="I17" s="278">
        <f>F17*VLOOKUP(A17,Allocators,9)</f>
        <v>180</v>
      </c>
    </row>
    <row r="18" spans="1:9" ht="12.75">
      <c r="A18" s="255">
        <v>8</v>
      </c>
      <c r="B18" s="277"/>
      <c r="C18" s="170" t="s">
        <v>867</v>
      </c>
      <c r="F18" s="170">
        <f>+Data!H57</f>
        <v>0</v>
      </c>
      <c r="G18" s="170">
        <f>F18*VLOOKUP(A18,Allocators,7)</f>
        <v>0</v>
      </c>
      <c r="H18" s="170">
        <f>F18*VLOOKUP(A18,Allocators,8)</f>
        <v>0</v>
      </c>
      <c r="I18" s="278">
        <f>F18*VLOOKUP(A18,Allocators,9)</f>
        <v>0</v>
      </c>
    </row>
    <row r="19" spans="1:9" ht="12.75">
      <c r="A19" s="255">
        <v>9</v>
      </c>
      <c r="B19" s="277"/>
      <c r="C19" s="170" t="s">
        <v>869</v>
      </c>
      <c r="F19" s="170">
        <f>+Data!H58</f>
        <v>12818</v>
      </c>
      <c r="G19" s="170">
        <f>F19*VLOOKUP(A19,Allocators,7)</f>
        <v>10142</v>
      </c>
      <c r="H19" s="170">
        <f>F19*VLOOKUP(A19,Allocators,8)</f>
        <v>2676</v>
      </c>
      <c r="I19" s="278">
        <f>F19*VLOOKUP(A19,Allocators,9)</f>
        <v>0</v>
      </c>
    </row>
    <row r="20" spans="1:9" ht="12.75">
      <c r="A20" s="255"/>
      <c r="B20" s="277"/>
      <c r="C20" s="170"/>
      <c r="G20" s="170"/>
      <c r="H20" s="170"/>
      <c r="I20" s="278"/>
    </row>
    <row r="21" spans="1:9" ht="13.5" thickBot="1">
      <c r="A21" s="255"/>
      <c r="B21" s="256"/>
      <c r="C21" s="170" t="s">
        <v>152</v>
      </c>
      <c r="F21" s="171">
        <f>SUM(F17:F20)</f>
        <v>14855</v>
      </c>
      <c r="G21" s="171">
        <f>SUM(G17:G20)</f>
        <v>11608</v>
      </c>
      <c r="H21" s="171">
        <f>SUM(H17:H20)</f>
        <v>3067</v>
      </c>
      <c r="I21" s="171">
        <f>SUM(I17:I20)</f>
        <v>180</v>
      </c>
    </row>
    <row r="22" spans="1:9" ht="13.5" thickTop="1">
      <c r="A22" s="255"/>
      <c r="B22" s="256"/>
      <c r="C22" s="170"/>
      <c r="D22" s="170"/>
      <c r="E22" s="170"/>
      <c r="F22" s="170"/>
      <c r="G22" s="170"/>
      <c r="H22" s="170"/>
      <c r="I22" s="170"/>
    </row>
    <row r="23" spans="1:9" ht="12.75">
      <c r="A23" s="170" t="s">
        <v>341</v>
      </c>
      <c r="B23" s="256"/>
      <c r="C23" s="170"/>
      <c r="G23" s="170"/>
      <c r="H23" s="170"/>
      <c r="I23" s="170"/>
    </row>
    <row r="24" spans="1:9" ht="12.75">
      <c r="A24" s="255" t="s">
        <v>153</v>
      </c>
      <c r="B24" s="279">
        <v>7</v>
      </c>
      <c r="C24" s="280" t="s">
        <v>229</v>
      </c>
      <c r="F24" s="281">
        <f>VLOOKUP(B24,Allocators,6)</f>
        <v>1</v>
      </c>
      <c r="G24" s="281">
        <f>VLOOKUP(B24,Allocators,7)</f>
        <v>0.7196</v>
      </c>
      <c r="H24" s="281">
        <f>VLOOKUP(B24,Allocators,8)</f>
        <v>0.1918</v>
      </c>
      <c r="I24" s="281">
        <f>VLOOKUP(B24,Allocators,9)</f>
        <v>0.0886</v>
      </c>
    </row>
    <row r="25" spans="1:9" ht="12.75">
      <c r="A25" s="255" t="s">
        <v>153</v>
      </c>
      <c r="B25" s="279">
        <v>8</v>
      </c>
      <c r="C25" s="280" t="s">
        <v>900</v>
      </c>
      <c r="F25" s="281">
        <f>VLOOKUP(B25,Allocators,6)</f>
        <v>1</v>
      </c>
      <c r="G25" s="281">
        <f>VLOOKUP(B25,Allocators,7)</f>
        <v>0</v>
      </c>
      <c r="H25" s="281">
        <f>VLOOKUP(B25,Allocators,8)</f>
        <v>0.68157</v>
      </c>
      <c r="I25" s="281">
        <f>VLOOKUP(B25,Allocators,9)</f>
        <v>0.31843</v>
      </c>
    </row>
    <row r="26" spans="1:9" ht="12.75">
      <c r="A26" s="255" t="s">
        <v>153</v>
      </c>
      <c r="B26" s="279">
        <v>9</v>
      </c>
      <c r="C26" s="280" t="s">
        <v>230</v>
      </c>
      <c r="F26" s="281">
        <f>VLOOKUP(B26,Allocators,6)</f>
        <v>1</v>
      </c>
      <c r="G26" s="281">
        <f>VLOOKUP(B26,Allocators,7)</f>
        <v>0.79122</v>
      </c>
      <c r="H26" s="281">
        <f>VLOOKUP(B26,Allocators,8)</f>
        <v>0.20878</v>
      </c>
      <c r="I26" s="281">
        <f>VLOOKUP(B26,Allocators,9)</f>
        <v>0</v>
      </c>
    </row>
    <row r="27" spans="1:9" ht="12.75">
      <c r="A27" s="255"/>
      <c r="B27" s="256"/>
      <c r="C27" s="170"/>
      <c r="G27" s="170"/>
      <c r="H27" s="170"/>
      <c r="I27" s="170"/>
    </row>
  </sheetData>
  <printOptions/>
  <pageMargins left="0.75" right="0.75" top="1" bottom="1" header="0.5" footer="0.5"/>
  <pageSetup fitToHeight="1" fitToWidth="1" horizontalDpi="600" verticalDpi="600" orientation="landscape" r:id="rId1"/>
  <headerFooter alignWithMargins="0">
    <oddHeader>&amp;LAVISTA UTILITIES&amp;CRESULTS OF OPERATIONS&amp;RRUN DATE: &amp;D</oddHeader>
    <oddFooter>&amp;CPage &amp;P</oddFooter>
  </headerFooter>
</worksheet>
</file>

<file path=xl/worksheets/sheet17.xml><?xml version="1.0" encoding="utf-8"?>
<worksheet xmlns="http://schemas.openxmlformats.org/spreadsheetml/2006/main" xmlns:r="http://schemas.openxmlformats.org/officeDocument/2006/relationships">
  <sheetPr codeName="Sheet14"/>
  <dimension ref="A1:P134"/>
  <sheetViews>
    <sheetView workbookViewId="0" topLeftCell="A1">
      <pane xSplit="5" ySplit="5" topLeftCell="F6" activePane="bottomRight" state="frozen"/>
      <selection pane="topLeft" activeCell="H8" sqref="H8"/>
      <selection pane="topRight" activeCell="H8" sqref="H8"/>
      <selection pane="bottomLeft" activeCell="H8" sqref="H8"/>
      <selection pane="bottomRight" activeCell="F6" sqref="F6"/>
    </sheetView>
  </sheetViews>
  <sheetFormatPr defaultColWidth="9.00390625" defaultRowHeight="14.25" customHeight="1"/>
  <cols>
    <col min="1" max="1" width="9.375" style="84" customWidth="1"/>
    <col min="2" max="2" width="10.875" style="84" customWidth="1"/>
    <col min="3" max="3" width="16.625" style="84" customWidth="1"/>
    <col min="4" max="4" width="14.875" style="84" customWidth="1"/>
    <col min="5" max="5" width="15.375" style="84" customWidth="1"/>
    <col min="6" max="16" width="14.875" style="84" customWidth="1"/>
    <col min="17" max="16384" width="9.375" style="84" customWidth="1"/>
  </cols>
  <sheetData>
    <row r="1" spans="1:16" ht="14.25" customHeight="1">
      <c r="A1" s="82"/>
      <c r="B1" s="116"/>
      <c r="C1" s="77"/>
      <c r="F1" s="77"/>
      <c r="G1" s="117"/>
      <c r="H1" s="117"/>
      <c r="I1" s="117"/>
      <c r="J1" s="117"/>
      <c r="K1" s="117"/>
      <c r="L1" s="117"/>
      <c r="M1" s="117"/>
      <c r="P1" s="77"/>
    </row>
    <row r="2" spans="1:16" ht="14.25" customHeight="1">
      <c r="A2" s="85" t="s">
        <v>500</v>
      </c>
      <c r="B2" s="86"/>
      <c r="C2" s="87"/>
      <c r="D2" s="88"/>
      <c r="E2" s="89" t="s">
        <v>725</v>
      </c>
      <c r="F2" s="77"/>
      <c r="G2" s="77"/>
      <c r="H2" s="77"/>
      <c r="I2" s="77"/>
      <c r="J2" s="77"/>
      <c r="K2" s="77"/>
      <c r="L2" s="77"/>
      <c r="M2" s="77"/>
      <c r="P2" s="77"/>
    </row>
    <row r="3" spans="1:16" ht="14.25" customHeight="1">
      <c r="A3" s="91" t="str">
        <f>tp_heading</f>
        <v>For Twelve Months Ended September 30, 2008</v>
      </c>
      <c r="B3" s="83"/>
      <c r="D3" s="92"/>
      <c r="E3" s="93" t="str">
        <f>"C-GPL-"&amp;months&amp;rbcalc</f>
        <v>C-GPL-12A</v>
      </c>
      <c r="F3" s="77"/>
      <c r="G3" s="77"/>
      <c r="H3" s="77"/>
      <c r="I3" s="77"/>
      <c r="J3" s="77"/>
      <c r="K3" s="77"/>
      <c r="L3" s="77"/>
      <c r="M3" s="77"/>
      <c r="N3" s="77"/>
      <c r="O3" s="77"/>
      <c r="P3" s="77"/>
    </row>
    <row r="4" spans="1:16" ht="14.25" customHeight="1">
      <c r="A4" s="94" t="str">
        <f>rbcalc_heading</f>
        <v>Average of Monthly Averages Basis</v>
      </c>
      <c r="B4" s="95"/>
      <c r="C4" s="96"/>
      <c r="D4" s="97"/>
      <c r="E4" s="98"/>
      <c r="F4" s="364" t="s">
        <v>252</v>
      </c>
      <c r="G4" s="363"/>
      <c r="H4" s="363"/>
      <c r="I4" s="363"/>
      <c r="J4" s="363" t="s">
        <v>251</v>
      </c>
      <c r="K4" s="363"/>
      <c r="L4" s="363"/>
      <c r="M4" s="363"/>
      <c r="N4" s="363" t="s">
        <v>250</v>
      </c>
      <c r="O4" s="363"/>
      <c r="P4" s="363"/>
    </row>
    <row r="5" spans="1:16" ht="14.25" customHeight="1">
      <c r="A5" s="99" t="s">
        <v>2</v>
      </c>
      <c r="B5" s="100" t="s">
        <v>815</v>
      </c>
      <c r="C5" s="99" t="s">
        <v>844</v>
      </c>
      <c r="D5" s="96"/>
      <c r="E5" s="282" t="s">
        <v>891</v>
      </c>
      <c r="F5" s="99" t="s">
        <v>502</v>
      </c>
      <c r="G5" s="99" t="s">
        <v>503</v>
      </c>
      <c r="H5" s="99" t="s">
        <v>4</v>
      </c>
      <c r="I5" s="99" t="s">
        <v>891</v>
      </c>
      <c r="J5" s="99" t="s">
        <v>502</v>
      </c>
      <c r="K5" s="99" t="s">
        <v>503</v>
      </c>
      <c r="L5" s="99" t="s">
        <v>4</v>
      </c>
      <c r="M5" s="99" t="s">
        <v>891</v>
      </c>
      <c r="N5" s="99" t="s">
        <v>504</v>
      </c>
      <c r="O5" s="99" t="s">
        <v>4</v>
      </c>
      <c r="P5" s="99" t="s">
        <v>891</v>
      </c>
    </row>
    <row r="6" spans="1:14" ht="14.25" customHeight="1">
      <c r="A6" s="82"/>
      <c r="B6" s="106" t="s">
        <v>76</v>
      </c>
      <c r="C6" s="77" t="s">
        <v>404</v>
      </c>
      <c r="D6" s="77"/>
      <c r="E6" s="78"/>
      <c r="F6" s="77"/>
      <c r="G6" s="77"/>
      <c r="H6" s="77"/>
      <c r="I6" s="78"/>
      <c r="J6" s="77"/>
      <c r="K6" s="77"/>
      <c r="L6" s="77"/>
      <c r="M6" s="109"/>
      <c r="N6" s="85"/>
    </row>
    <row r="7" spans="1:16" ht="14.25" customHeight="1">
      <c r="A7" s="82">
        <v>99</v>
      </c>
      <c r="B7" s="106"/>
      <c r="C7" s="77" t="s">
        <v>506</v>
      </c>
      <c r="D7" s="77"/>
      <c r="E7" s="78">
        <f>+I7+M7+P7</f>
        <v>124681</v>
      </c>
      <c r="F7" s="77">
        <f>+Data!J435</f>
        <v>0</v>
      </c>
      <c r="G7" s="77">
        <f>+Data!K435</f>
        <v>101907</v>
      </c>
      <c r="H7" s="77">
        <f>+Data!I435</f>
        <v>22774</v>
      </c>
      <c r="I7" s="78">
        <f aca="true" t="shared" si="0" ref="I7:I14">SUM(F7:H7)</f>
        <v>124681</v>
      </c>
      <c r="J7" s="77">
        <v>0</v>
      </c>
      <c r="K7" s="77">
        <v>0</v>
      </c>
      <c r="L7" s="77">
        <v>0</v>
      </c>
      <c r="M7" s="109">
        <f aca="true" t="shared" si="1" ref="M7:M14">SUM(J7:L7)</f>
        <v>0</v>
      </c>
      <c r="N7" s="110">
        <v>0</v>
      </c>
      <c r="O7" s="77">
        <v>0</v>
      </c>
      <c r="P7" s="77">
        <f aca="true" t="shared" si="2" ref="P7:P14">SUM(N7:O7)</f>
        <v>0</v>
      </c>
    </row>
    <row r="8" spans="1:16" ht="14.25" customHeight="1">
      <c r="A8" s="82">
        <v>99</v>
      </c>
      <c r="B8" s="106"/>
      <c r="C8" s="77" t="s">
        <v>507</v>
      </c>
      <c r="D8" s="283"/>
      <c r="E8" s="78">
        <f>+I8+M8+P8</f>
        <v>0</v>
      </c>
      <c r="F8" s="77">
        <v>0</v>
      </c>
      <c r="G8" s="77">
        <v>0</v>
      </c>
      <c r="H8" s="77">
        <v>0</v>
      </c>
      <c r="I8" s="78">
        <f t="shared" si="0"/>
        <v>0</v>
      </c>
      <c r="J8" s="77">
        <f>+Data!J436</f>
        <v>0</v>
      </c>
      <c r="K8" s="77">
        <f>+Data!K436</f>
        <v>0</v>
      </c>
      <c r="L8" s="77">
        <f>+Data!I436</f>
        <v>0</v>
      </c>
      <c r="M8" s="109">
        <f t="shared" si="1"/>
        <v>0</v>
      </c>
      <c r="N8" s="110">
        <v>0</v>
      </c>
      <c r="O8" s="77">
        <v>0</v>
      </c>
      <c r="P8" s="77">
        <f t="shared" si="2"/>
        <v>0</v>
      </c>
    </row>
    <row r="9" spans="1:16" ht="14.25" customHeight="1">
      <c r="A9" s="82">
        <v>99</v>
      </c>
      <c r="B9" s="106"/>
      <c r="C9" s="77" t="s">
        <v>508</v>
      </c>
      <c r="D9" s="283"/>
      <c r="E9" s="78">
        <f>+I9+M9+P9</f>
        <v>260130</v>
      </c>
      <c r="F9" s="77">
        <v>0</v>
      </c>
      <c r="G9" s="77">
        <v>0</v>
      </c>
      <c r="H9" s="77">
        <v>0</v>
      </c>
      <c r="I9" s="78">
        <f t="shared" si="0"/>
        <v>0</v>
      </c>
      <c r="J9" s="77">
        <v>0</v>
      </c>
      <c r="K9" s="77">
        <v>0</v>
      </c>
      <c r="L9" s="77">
        <v>0</v>
      </c>
      <c r="M9" s="109">
        <f t="shared" si="1"/>
        <v>0</v>
      </c>
      <c r="N9" s="110">
        <f>+Data!J437</f>
        <v>260130</v>
      </c>
      <c r="O9" s="77">
        <f>+Data!I437</f>
        <v>0</v>
      </c>
      <c r="P9" s="77">
        <f t="shared" si="2"/>
        <v>260130</v>
      </c>
    </row>
    <row r="10" spans="1:16" ht="14.25" customHeight="1">
      <c r="A10" s="82">
        <v>7</v>
      </c>
      <c r="B10" s="106"/>
      <c r="C10" s="77" t="s">
        <v>509</v>
      </c>
      <c r="D10" s="283"/>
      <c r="E10" s="78">
        <f>+Data!H438</f>
        <v>1891856</v>
      </c>
      <c r="F10" s="77">
        <v>0</v>
      </c>
      <c r="G10" s="77">
        <v>0</v>
      </c>
      <c r="H10" s="77">
        <f>$E10*VLOOKUP($A10,Allocators,7)</f>
        <v>1361380</v>
      </c>
      <c r="I10" s="78">
        <f t="shared" si="0"/>
        <v>1361380</v>
      </c>
      <c r="J10" s="77">
        <v>0</v>
      </c>
      <c r="K10" s="77">
        <v>0</v>
      </c>
      <c r="L10" s="77">
        <f>$E10*VLOOKUP($A10,Allocators,8)</f>
        <v>362858</v>
      </c>
      <c r="M10" s="109">
        <f t="shared" si="1"/>
        <v>362858</v>
      </c>
      <c r="N10" s="110">
        <v>0</v>
      </c>
      <c r="O10" s="77">
        <f>$E10*VLOOKUP($A10,Allocators,9)</f>
        <v>167618</v>
      </c>
      <c r="P10" s="77">
        <f t="shared" si="2"/>
        <v>167618</v>
      </c>
    </row>
    <row r="11" spans="1:16" ht="14.25" customHeight="1">
      <c r="A11" s="82">
        <v>8</v>
      </c>
      <c r="B11" s="106"/>
      <c r="C11" s="77" t="s">
        <v>510</v>
      </c>
      <c r="D11" s="77"/>
      <c r="E11" s="78">
        <f>+Data!H439</f>
        <v>0</v>
      </c>
      <c r="F11" s="77">
        <v>0</v>
      </c>
      <c r="G11" s="77">
        <v>0</v>
      </c>
      <c r="H11" s="77">
        <f>$E11*VLOOKUP($A11,Allocators,7)</f>
        <v>0</v>
      </c>
      <c r="I11" s="78">
        <f t="shared" si="0"/>
        <v>0</v>
      </c>
      <c r="J11" s="77">
        <v>0</v>
      </c>
      <c r="K11" s="77">
        <v>0</v>
      </c>
      <c r="L11" s="77">
        <f>$E11*VLOOKUP($A11,Allocators,8)</f>
        <v>0</v>
      </c>
      <c r="M11" s="109">
        <f t="shared" si="1"/>
        <v>0</v>
      </c>
      <c r="N11" s="110">
        <v>0</v>
      </c>
      <c r="O11" s="77">
        <f>$E11*VLOOKUP($A11,Allocators,9)</f>
        <v>0</v>
      </c>
      <c r="P11" s="77">
        <f t="shared" si="2"/>
        <v>0</v>
      </c>
    </row>
    <row r="12" spans="1:16" ht="14.25" customHeight="1">
      <c r="A12" s="82">
        <v>9</v>
      </c>
      <c r="B12" s="106"/>
      <c r="C12" s="77" t="s">
        <v>511</v>
      </c>
      <c r="D12" s="77"/>
      <c r="E12" s="78">
        <f>+Data!J440</f>
        <v>470711</v>
      </c>
      <c r="F12" s="77">
        <f>$E12*VLOOKUP($A12,Allocators,7)</f>
        <v>372436</v>
      </c>
      <c r="G12" s="77">
        <v>0</v>
      </c>
      <c r="H12" s="77">
        <v>0</v>
      </c>
      <c r="I12" s="78">
        <f t="shared" si="0"/>
        <v>372436</v>
      </c>
      <c r="J12" s="77">
        <f>$E12*VLOOKUP($A12,Allocators,8)</f>
        <v>98275</v>
      </c>
      <c r="K12" s="77">
        <v>0</v>
      </c>
      <c r="L12" s="77">
        <v>0</v>
      </c>
      <c r="M12" s="109">
        <f t="shared" si="1"/>
        <v>98275</v>
      </c>
      <c r="N12" s="110">
        <v>0</v>
      </c>
      <c r="O12" s="77">
        <v>0</v>
      </c>
      <c r="P12" s="77">
        <f t="shared" si="2"/>
        <v>0</v>
      </c>
    </row>
    <row r="13" spans="1:16" ht="14.25" customHeight="1">
      <c r="A13" s="82">
        <v>9</v>
      </c>
      <c r="B13" s="106"/>
      <c r="C13" s="77" t="s">
        <v>512</v>
      </c>
      <c r="D13" s="77"/>
      <c r="E13" s="78">
        <f>+Data!K440</f>
        <v>437225</v>
      </c>
      <c r="F13" s="77">
        <v>0</v>
      </c>
      <c r="G13" s="77">
        <f>$E13*VLOOKUP($A13,Allocators,7)</f>
        <v>345941</v>
      </c>
      <c r="H13" s="77">
        <v>0</v>
      </c>
      <c r="I13" s="78">
        <f t="shared" si="0"/>
        <v>345941</v>
      </c>
      <c r="J13" s="77">
        <v>0</v>
      </c>
      <c r="K13" s="77">
        <f>$E13*VLOOKUP($A13,Allocators,8)</f>
        <v>91284</v>
      </c>
      <c r="L13" s="77">
        <v>0</v>
      </c>
      <c r="M13" s="109">
        <f t="shared" si="1"/>
        <v>91284</v>
      </c>
      <c r="N13" s="110">
        <v>0</v>
      </c>
      <c r="O13" s="77">
        <v>0</v>
      </c>
      <c r="P13" s="77">
        <f t="shared" si="2"/>
        <v>0</v>
      </c>
    </row>
    <row r="14" spans="1:16" ht="14.25" customHeight="1">
      <c r="A14" s="82">
        <v>9</v>
      </c>
      <c r="B14" s="106"/>
      <c r="C14" s="77" t="s">
        <v>513</v>
      </c>
      <c r="D14" s="283"/>
      <c r="E14" s="78">
        <f>+Data!I440</f>
        <v>263468</v>
      </c>
      <c r="F14" s="77">
        <v>0</v>
      </c>
      <c r="G14" s="77">
        <v>0</v>
      </c>
      <c r="H14" s="77">
        <f>$E14*VLOOKUP($A14,Allocators,7)</f>
        <v>208461</v>
      </c>
      <c r="I14" s="78">
        <f t="shared" si="0"/>
        <v>208461</v>
      </c>
      <c r="J14" s="77">
        <v>0</v>
      </c>
      <c r="K14" s="77">
        <v>0</v>
      </c>
      <c r="L14" s="77">
        <f>$E14*VLOOKUP($A14,Allocators,8)</f>
        <v>55007</v>
      </c>
      <c r="M14" s="109">
        <f t="shared" si="1"/>
        <v>55007</v>
      </c>
      <c r="N14" s="110">
        <v>0</v>
      </c>
      <c r="O14" s="77">
        <f>$E14*VLOOKUP($A14,Allocators,9)</f>
        <v>0</v>
      </c>
      <c r="P14" s="77">
        <f t="shared" si="2"/>
        <v>0</v>
      </c>
    </row>
    <row r="15" spans="1:16" ht="14.25" customHeight="1">
      <c r="A15" s="82"/>
      <c r="B15" s="106"/>
      <c r="C15" s="107" t="s">
        <v>514</v>
      </c>
      <c r="D15" s="284"/>
      <c r="E15" s="108">
        <f aca="true" t="shared" si="3" ref="E15:M15">SUM(E7:E14)</f>
        <v>3448071</v>
      </c>
      <c r="F15" s="107">
        <f t="shared" si="3"/>
        <v>372436</v>
      </c>
      <c r="G15" s="107">
        <f t="shared" si="3"/>
        <v>447848</v>
      </c>
      <c r="H15" s="107">
        <f t="shared" si="3"/>
        <v>1592615</v>
      </c>
      <c r="I15" s="108">
        <f t="shared" si="3"/>
        <v>2412899</v>
      </c>
      <c r="J15" s="107">
        <f t="shared" si="3"/>
        <v>98275</v>
      </c>
      <c r="K15" s="107">
        <f t="shared" si="3"/>
        <v>91284</v>
      </c>
      <c r="L15" s="107">
        <f t="shared" si="3"/>
        <v>417865</v>
      </c>
      <c r="M15" s="107">
        <f t="shared" si="3"/>
        <v>607424</v>
      </c>
      <c r="N15" s="253">
        <f>SUM(N7:N14)</f>
        <v>260130</v>
      </c>
      <c r="O15" s="107">
        <f>SUM(O7:O14)</f>
        <v>167618</v>
      </c>
      <c r="P15" s="107">
        <f>SUM(P7:P14)</f>
        <v>427748</v>
      </c>
    </row>
    <row r="16" spans="1:16" ht="14.25" customHeight="1">
      <c r="A16" s="82"/>
      <c r="B16" s="106"/>
      <c r="C16" s="77"/>
      <c r="D16" s="283"/>
      <c r="E16" s="78"/>
      <c r="F16" s="77"/>
      <c r="G16" s="77"/>
      <c r="H16" s="77"/>
      <c r="I16" s="78"/>
      <c r="J16" s="77"/>
      <c r="K16" s="77"/>
      <c r="L16" s="77"/>
      <c r="M16" s="109"/>
      <c r="N16" s="110"/>
      <c r="O16" s="77"/>
      <c r="P16" s="77"/>
    </row>
    <row r="17" spans="1:16" ht="14.25" customHeight="1">
      <c r="A17" s="82"/>
      <c r="B17" s="106"/>
      <c r="C17" s="77"/>
      <c r="D17" s="77"/>
      <c r="E17" s="78"/>
      <c r="F17" s="77"/>
      <c r="G17" s="77"/>
      <c r="H17" s="77"/>
      <c r="I17" s="78"/>
      <c r="J17" s="77"/>
      <c r="K17" s="77"/>
      <c r="L17" s="77"/>
      <c r="M17" s="109"/>
      <c r="N17" s="110"/>
      <c r="O17" s="77"/>
      <c r="P17" s="77"/>
    </row>
    <row r="18" spans="1:16" ht="14.25" customHeight="1">
      <c r="A18" s="82"/>
      <c r="B18" s="106" t="s">
        <v>90</v>
      </c>
      <c r="C18" s="77" t="s">
        <v>405</v>
      </c>
      <c r="D18" s="77"/>
      <c r="E18" s="78"/>
      <c r="F18" s="77"/>
      <c r="G18" s="77"/>
      <c r="H18" s="77"/>
      <c r="I18" s="78"/>
      <c r="J18" s="77"/>
      <c r="K18" s="77"/>
      <c r="L18" s="77"/>
      <c r="M18" s="109"/>
      <c r="N18" s="110"/>
      <c r="O18" s="77"/>
      <c r="P18" s="77"/>
    </row>
    <row r="19" spans="1:16" ht="14.25" customHeight="1">
      <c r="A19" s="82">
        <v>99</v>
      </c>
      <c r="B19" s="106"/>
      <c r="C19" s="77" t="s">
        <v>506</v>
      </c>
      <c r="D19" s="77"/>
      <c r="E19" s="78">
        <f>+I19+M19+P19</f>
        <v>2142296</v>
      </c>
      <c r="F19" s="77">
        <f>+Data!J441</f>
        <v>431813</v>
      </c>
      <c r="G19" s="77">
        <f>+Data!K441</f>
        <v>1112031</v>
      </c>
      <c r="H19" s="77">
        <f>+Data!I441</f>
        <v>598452</v>
      </c>
      <c r="I19" s="78">
        <f aca="true" t="shared" si="4" ref="I19:I26">SUM(F19:H19)</f>
        <v>2142296</v>
      </c>
      <c r="J19" s="77">
        <v>0</v>
      </c>
      <c r="K19" s="77">
        <v>0</v>
      </c>
      <c r="L19" s="77">
        <v>0</v>
      </c>
      <c r="M19" s="109">
        <f aca="true" t="shared" si="5" ref="M19:M26">SUM(J19:L19)</f>
        <v>0</v>
      </c>
      <c r="N19" s="110">
        <v>0</v>
      </c>
      <c r="O19" s="77">
        <v>0</v>
      </c>
      <c r="P19" s="77">
        <f aca="true" t="shared" si="6" ref="P19:P26">SUM(N19:O19)</f>
        <v>0</v>
      </c>
    </row>
    <row r="20" spans="1:16" ht="14.25" customHeight="1">
      <c r="A20" s="82">
        <v>99</v>
      </c>
      <c r="B20" s="106"/>
      <c r="C20" s="77" t="s">
        <v>507</v>
      </c>
      <c r="D20" s="283"/>
      <c r="E20" s="78">
        <f>+I20+M20+P20</f>
        <v>855883</v>
      </c>
      <c r="F20" s="77">
        <v>0</v>
      </c>
      <c r="G20" s="77">
        <v>0</v>
      </c>
      <c r="H20" s="77">
        <v>0</v>
      </c>
      <c r="I20" s="78">
        <f t="shared" si="4"/>
        <v>0</v>
      </c>
      <c r="J20" s="77">
        <f>+Data!J442</f>
        <v>855883</v>
      </c>
      <c r="K20" s="77">
        <f>+Data!K442</f>
        <v>0</v>
      </c>
      <c r="L20" s="77">
        <f>+Data!I442</f>
        <v>0</v>
      </c>
      <c r="M20" s="109">
        <f t="shared" si="5"/>
        <v>855883</v>
      </c>
      <c r="N20" s="110">
        <v>0</v>
      </c>
      <c r="O20" s="77">
        <v>0</v>
      </c>
      <c r="P20" s="77">
        <f t="shared" si="6"/>
        <v>0</v>
      </c>
    </row>
    <row r="21" spans="1:16" ht="14.25" customHeight="1">
      <c r="A21" s="82">
        <v>99</v>
      </c>
      <c r="B21" s="106"/>
      <c r="C21" s="77" t="s">
        <v>508</v>
      </c>
      <c r="D21" s="283"/>
      <c r="E21" s="78">
        <f>+I21+M21+P21</f>
        <v>2476537</v>
      </c>
      <c r="F21" s="77">
        <v>0</v>
      </c>
      <c r="G21" s="77">
        <v>0</v>
      </c>
      <c r="H21" s="77">
        <v>0</v>
      </c>
      <c r="I21" s="78">
        <f t="shared" si="4"/>
        <v>0</v>
      </c>
      <c r="J21" s="77">
        <v>0</v>
      </c>
      <c r="K21" s="77">
        <v>0</v>
      </c>
      <c r="L21" s="77">
        <v>0</v>
      </c>
      <c r="M21" s="109">
        <f t="shared" si="5"/>
        <v>0</v>
      </c>
      <c r="N21" s="110">
        <f>+Data!J443</f>
        <v>2476537</v>
      </c>
      <c r="O21" s="77">
        <f>+Data!I443</f>
        <v>0</v>
      </c>
      <c r="P21" s="77">
        <f t="shared" si="6"/>
        <v>2476537</v>
      </c>
    </row>
    <row r="22" spans="1:16" ht="14.25" customHeight="1">
      <c r="A22" s="82">
        <v>7</v>
      </c>
      <c r="B22" s="106"/>
      <c r="C22" s="77" t="s">
        <v>509</v>
      </c>
      <c r="D22" s="283"/>
      <c r="E22" s="78">
        <f>+Data!H444</f>
        <v>28155995</v>
      </c>
      <c r="F22" s="77">
        <v>0</v>
      </c>
      <c r="G22" s="77">
        <v>0</v>
      </c>
      <c r="H22" s="77">
        <f>$E22*VLOOKUP($A22,Allocators,7)</f>
        <v>20261054</v>
      </c>
      <c r="I22" s="78">
        <f t="shared" si="4"/>
        <v>20261054</v>
      </c>
      <c r="J22" s="77">
        <v>0</v>
      </c>
      <c r="K22" s="77">
        <v>0</v>
      </c>
      <c r="L22" s="77">
        <f>$E22*VLOOKUP($A22,Allocators,8)</f>
        <v>5400320</v>
      </c>
      <c r="M22" s="109">
        <f t="shared" si="5"/>
        <v>5400320</v>
      </c>
      <c r="N22" s="110">
        <v>0</v>
      </c>
      <c r="O22" s="77">
        <f>$E22*VLOOKUP($A22,Allocators,9)</f>
        <v>2494621</v>
      </c>
      <c r="P22" s="77">
        <f t="shared" si="6"/>
        <v>2494621</v>
      </c>
    </row>
    <row r="23" spans="1:16" ht="14.25" customHeight="1">
      <c r="A23" s="82">
        <v>8</v>
      </c>
      <c r="B23" s="106"/>
      <c r="C23" s="77" t="s">
        <v>510</v>
      </c>
      <c r="D23" s="77"/>
      <c r="E23" s="78">
        <f>+Data!H445</f>
        <v>0</v>
      </c>
      <c r="F23" s="77">
        <v>0</v>
      </c>
      <c r="G23" s="77">
        <v>0</v>
      </c>
      <c r="H23" s="77">
        <f>$E23*VLOOKUP($A23,Allocators,7)</f>
        <v>0</v>
      </c>
      <c r="I23" s="78">
        <f t="shared" si="4"/>
        <v>0</v>
      </c>
      <c r="J23" s="77">
        <v>0</v>
      </c>
      <c r="K23" s="77">
        <v>0</v>
      </c>
      <c r="L23" s="77">
        <f>$E23*VLOOKUP($A23,Allocators,8)</f>
        <v>0</v>
      </c>
      <c r="M23" s="109">
        <f t="shared" si="5"/>
        <v>0</v>
      </c>
      <c r="N23" s="110">
        <v>0</v>
      </c>
      <c r="O23" s="77">
        <f>$E23*VLOOKUP($A23,Allocators,9)</f>
        <v>0</v>
      </c>
      <c r="P23" s="77">
        <f t="shared" si="6"/>
        <v>0</v>
      </c>
    </row>
    <row r="24" spans="1:16" ht="14.25" customHeight="1">
      <c r="A24" s="82">
        <v>9</v>
      </c>
      <c r="B24" s="106"/>
      <c r="C24" s="77" t="s">
        <v>511</v>
      </c>
      <c r="D24" s="77"/>
      <c r="E24" s="78">
        <f>+Data!J446</f>
        <v>1549411</v>
      </c>
      <c r="F24" s="77">
        <f>$E24*VLOOKUP($A24,Allocators,7)</f>
        <v>1225925</v>
      </c>
      <c r="G24" s="77">
        <v>0</v>
      </c>
      <c r="H24" s="77">
        <v>0</v>
      </c>
      <c r="I24" s="78">
        <f t="shared" si="4"/>
        <v>1225925</v>
      </c>
      <c r="J24" s="77">
        <f>$E24*VLOOKUP($A24,Allocators,8)</f>
        <v>323486</v>
      </c>
      <c r="K24" s="77">
        <v>0</v>
      </c>
      <c r="L24" s="77">
        <v>0</v>
      </c>
      <c r="M24" s="109">
        <f t="shared" si="5"/>
        <v>323486</v>
      </c>
      <c r="N24" s="110">
        <v>0</v>
      </c>
      <c r="O24" s="77">
        <v>0</v>
      </c>
      <c r="P24" s="77">
        <f t="shared" si="6"/>
        <v>0</v>
      </c>
    </row>
    <row r="25" spans="1:16" ht="14.25" customHeight="1">
      <c r="A25" s="82">
        <v>9</v>
      </c>
      <c r="B25" s="106"/>
      <c r="C25" s="77" t="s">
        <v>512</v>
      </c>
      <c r="D25" s="77"/>
      <c r="E25" s="78">
        <f>+Data!K446</f>
        <v>3905871</v>
      </c>
      <c r="F25" s="77">
        <v>0</v>
      </c>
      <c r="G25" s="77">
        <f>$E25*VLOOKUP($A25,Allocators,7)</f>
        <v>3090403</v>
      </c>
      <c r="H25" s="77">
        <v>0</v>
      </c>
      <c r="I25" s="78">
        <f t="shared" si="4"/>
        <v>3090403</v>
      </c>
      <c r="J25" s="77">
        <v>0</v>
      </c>
      <c r="K25" s="77">
        <f>$E25*VLOOKUP($A25,Allocators,8)</f>
        <v>815468</v>
      </c>
      <c r="L25" s="77">
        <v>0</v>
      </c>
      <c r="M25" s="109">
        <f t="shared" si="5"/>
        <v>815468</v>
      </c>
      <c r="N25" s="110">
        <v>0</v>
      </c>
      <c r="O25" s="77">
        <v>0</v>
      </c>
      <c r="P25" s="77">
        <f t="shared" si="6"/>
        <v>0</v>
      </c>
    </row>
    <row r="26" spans="1:16" ht="14.25" customHeight="1">
      <c r="A26" s="82">
        <v>9</v>
      </c>
      <c r="B26" s="106"/>
      <c r="C26" s="77" t="s">
        <v>513</v>
      </c>
      <c r="D26" s="283"/>
      <c r="E26" s="78">
        <f>+Data!I446</f>
        <v>3432354</v>
      </c>
      <c r="F26" s="77">
        <v>0</v>
      </c>
      <c r="G26" s="77">
        <v>0</v>
      </c>
      <c r="H26" s="77">
        <f>$E26*VLOOKUP($A26,Allocators,7)</f>
        <v>2715747</v>
      </c>
      <c r="I26" s="78">
        <f t="shared" si="4"/>
        <v>2715747</v>
      </c>
      <c r="J26" s="77">
        <v>0</v>
      </c>
      <c r="K26" s="77">
        <v>0</v>
      </c>
      <c r="L26" s="77">
        <f>$E26*VLOOKUP($A26,Allocators,8)</f>
        <v>716607</v>
      </c>
      <c r="M26" s="109">
        <f t="shared" si="5"/>
        <v>716607</v>
      </c>
      <c r="N26" s="110">
        <v>0</v>
      </c>
      <c r="O26" s="77">
        <f>$E26*VLOOKUP($A26,Allocators,9)</f>
        <v>0</v>
      </c>
      <c r="P26" s="77">
        <f t="shared" si="6"/>
        <v>0</v>
      </c>
    </row>
    <row r="27" spans="1:16" ht="14.25" customHeight="1">
      <c r="A27" s="82"/>
      <c r="B27" s="106"/>
      <c r="C27" s="107" t="s">
        <v>514</v>
      </c>
      <c r="D27" s="284"/>
      <c r="E27" s="108">
        <f aca="true" t="shared" si="7" ref="E27:M27">SUM(E19:E26)</f>
        <v>42518347</v>
      </c>
      <c r="F27" s="107">
        <f t="shared" si="7"/>
        <v>1657738</v>
      </c>
      <c r="G27" s="107">
        <f t="shared" si="7"/>
        <v>4202434</v>
      </c>
      <c r="H27" s="107">
        <f t="shared" si="7"/>
        <v>23575253</v>
      </c>
      <c r="I27" s="108">
        <f t="shared" si="7"/>
        <v>29435425</v>
      </c>
      <c r="J27" s="107">
        <f t="shared" si="7"/>
        <v>1179369</v>
      </c>
      <c r="K27" s="107">
        <f t="shared" si="7"/>
        <v>815468</v>
      </c>
      <c r="L27" s="107">
        <f t="shared" si="7"/>
        <v>6116927</v>
      </c>
      <c r="M27" s="107">
        <f t="shared" si="7"/>
        <v>8111764</v>
      </c>
      <c r="N27" s="253">
        <f>SUM(N19:N26)</f>
        <v>2476537</v>
      </c>
      <c r="O27" s="107">
        <f>SUM(O19:O26)</f>
        <v>2494621</v>
      </c>
      <c r="P27" s="107">
        <f>SUM(P19:P26)</f>
        <v>4971158</v>
      </c>
    </row>
    <row r="28" spans="1:16" ht="14.25" customHeight="1">
      <c r="A28" s="82"/>
      <c r="B28" s="106"/>
      <c r="C28" s="77"/>
      <c r="D28" s="77"/>
      <c r="E28" s="78"/>
      <c r="F28" s="77"/>
      <c r="G28" s="77"/>
      <c r="H28" s="77"/>
      <c r="I28" s="78"/>
      <c r="J28" s="77"/>
      <c r="K28" s="77"/>
      <c r="L28" s="77"/>
      <c r="M28" s="109"/>
      <c r="N28" s="110"/>
      <c r="O28" s="77"/>
      <c r="P28" s="77"/>
    </row>
    <row r="29" spans="1:16" ht="14.25" customHeight="1">
      <c r="A29" s="82"/>
      <c r="B29" s="106"/>
      <c r="C29" s="77"/>
      <c r="D29" s="77"/>
      <c r="E29" s="78"/>
      <c r="F29" s="77"/>
      <c r="G29" s="77"/>
      <c r="H29" s="77"/>
      <c r="I29" s="78"/>
      <c r="J29" s="77"/>
      <c r="K29" s="77"/>
      <c r="L29" s="77"/>
      <c r="M29" s="109"/>
      <c r="N29" s="110"/>
      <c r="O29" s="77"/>
      <c r="P29" s="77"/>
    </row>
    <row r="30" spans="1:16" ht="14.25" customHeight="1">
      <c r="A30" s="82"/>
      <c r="B30" s="106" t="s">
        <v>91</v>
      </c>
      <c r="C30" s="77" t="s">
        <v>459</v>
      </c>
      <c r="D30" s="77"/>
      <c r="E30" s="78"/>
      <c r="F30" s="77"/>
      <c r="G30" s="77"/>
      <c r="H30" s="77"/>
      <c r="I30" s="78"/>
      <c r="J30" s="77"/>
      <c r="K30" s="77"/>
      <c r="L30" s="77"/>
      <c r="M30" s="109"/>
      <c r="N30" s="110"/>
      <c r="O30" s="77"/>
      <c r="P30" s="77"/>
    </row>
    <row r="31" spans="1:16" ht="14.25" customHeight="1">
      <c r="A31" s="82">
        <v>99</v>
      </c>
      <c r="B31" s="106"/>
      <c r="C31" s="77" t="s">
        <v>506</v>
      </c>
      <c r="D31" s="77"/>
      <c r="E31" s="78">
        <f>+I31+M31+P31</f>
        <v>568347</v>
      </c>
      <c r="F31" s="77">
        <f>+Data!J447</f>
        <v>0</v>
      </c>
      <c r="G31" s="77">
        <f>+Data!K447</f>
        <v>0</v>
      </c>
      <c r="H31" s="77">
        <f>+Data!I447</f>
        <v>568347</v>
      </c>
      <c r="I31" s="78">
        <f aca="true" t="shared" si="8" ref="I31:I38">SUM(F31:H31)</f>
        <v>568347</v>
      </c>
      <c r="J31" s="77">
        <v>0</v>
      </c>
      <c r="K31" s="77">
        <v>0</v>
      </c>
      <c r="L31" s="77">
        <v>0</v>
      </c>
      <c r="M31" s="109">
        <f aca="true" t="shared" si="9" ref="M31:M38">SUM(J31:L31)</f>
        <v>0</v>
      </c>
      <c r="N31" s="110">
        <v>0</v>
      </c>
      <c r="O31" s="77">
        <v>0</v>
      </c>
      <c r="P31" s="77">
        <f aca="true" t="shared" si="10" ref="P31:P38">SUM(N31:O31)</f>
        <v>0</v>
      </c>
    </row>
    <row r="32" spans="1:16" ht="14.25" customHeight="1">
      <c r="A32" s="82">
        <v>99</v>
      </c>
      <c r="B32" s="106"/>
      <c r="C32" s="77" t="s">
        <v>507</v>
      </c>
      <c r="D32" s="283"/>
      <c r="E32" s="78">
        <f>+I32+M32+P32</f>
        <v>0</v>
      </c>
      <c r="F32" s="77">
        <v>0</v>
      </c>
      <c r="G32" s="77">
        <v>0</v>
      </c>
      <c r="H32" s="77">
        <v>0</v>
      </c>
      <c r="I32" s="78">
        <f t="shared" si="8"/>
        <v>0</v>
      </c>
      <c r="J32" s="77">
        <f>+Data!J448</f>
        <v>0</v>
      </c>
      <c r="K32" s="77">
        <f>+Data!K448</f>
        <v>0</v>
      </c>
      <c r="L32" s="77">
        <f>+Data!I448</f>
        <v>0</v>
      </c>
      <c r="M32" s="109">
        <f t="shared" si="9"/>
        <v>0</v>
      </c>
      <c r="N32" s="110">
        <v>0</v>
      </c>
      <c r="O32" s="77">
        <v>0</v>
      </c>
      <c r="P32" s="77">
        <f t="shared" si="10"/>
        <v>0</v>
      </c>
    </row>
    <row r="33" spans="1:16" ht="14.25" customHeight="1">
      <c r="A33" s="82">
        <v>99</v>
      </c>
      <c r="B33" s="106"/>
      <c r="C33" s="77" t="s">
        <v>508</v>
      </c>
      <c r="D33" s="283"/>
      <c r="E33" s="78">
        <f>+I33+M33+P33</f>
        <v>2018</v>
      </c>
      <c r="F33" s="77">
        <v>0</v>
      </c>
      <c r="G33" s="77">
        <v>0</v>
      </c>
      <c r="H33" s="77">
        <v>0</v>
      </c>
      <c r="I33" s="78">
        <f t="shared" si="8"/>
        <v>0</v>
      </c>
      <c r="J33" s="77">
        <v>0</v>
      </c>
      <c r="K33" s="77">
        <v>0</v>
      </c>
      <c r="L33" s="77">
        <v>0</v>
      </c>
      <c r="M33" s="109">
        <f t="shared" si="9"/>
        <v>0</v>
      </c>
      <c r="N33" s="110">
        <f>+Data!J449</f>
        <v>2018</v>
      </c>
      <c r="O33" s="77">
        <f>+Data!I449</f>
        <v>0</v>
      </c>
      <c r="P33" s="77">
        <f t="shared" si="10"/>
        <v>2018</v>
      </c>
    </row>
    <row r="34" spans="1:16" ht="14.25" customHeight="1">
      <c r="A34" s="82">
        <v>7</v>
      </c>
      <c r="B34" s="106"/>
      <c r="C34" s="77" t="s">
        <v>509</v>
      </c>
      <c r="D34" s="283"/>
      <c r="E34" s="78">
        <f>+Data!H450</f>
        <v>27096640</v>
      </c>
      <c r="F34" s="77">
        <v>0</v>
      </c>
      <c r="G34" s="77">
        <v>0</v>
      </c>
      <c r="H34" s="77">
        <f>$E34*VLOOKUP($A34,Allocators,7)</f>
        <v>19498742</v>
      </c>
      <c r="I34" s="78">
        <f t="shared" si="8"/>
        <v>19498742</v>
      </c>
      <c r="J34" s="77">
        <v>0</v>
      </c>
      <c r="K34" s="77">
        <v>0</v>
      </c>
      <c r="L34" s="77">
        <f>$E34*VLOOKUP($A34,Allocators,8)</f>
        <v>5197136</v>
      </c>
      <c r="M34" s="109">
        <f t="shared" si="9"/>
        <v>5197136</v>
      </c>
      <c r="N34" s="110">
        <v>0</v>
      </c>
      <c r="O34" s="77">
        <f>$E34*VLOOKUP($A34,Allocators,9)</f>
        <v>2400762</v>
      </c>
      <c r="P34" s="77">
        <f t="shared" si="10"/>
        <v>2400762</v>
      </c>
    </row>
    <row r="35" spans="1:16" ht="14.25" customHeight="1">
      <c r="A35" s="82">
        <v>8</v>
      </c>
      <c r="B35" s="106"/>
      <c r="C35" s="77" t="s">
        <v>510</v>
      </c>
      <c r="D35" s="77"/>
      <c r="E35" s="78">
        <f>+Data!H451</f>
        <v>378871</v>
      </c>
      <c r="F35" s="77">
        <v>0</v>
      </c>
      <c r="G35" s="77">
        <v>0</v>
      </c>
      <c r="H35" s="77">
        <f>$E35*VLOOKUP($A35,Allocators,7)</f>
        <v>0</v>
      </c>
      <c r="I35" s="78">
        <f t="shared" si="8"/>
        <v>0</v>
      </c>
      <c r="J35" s="77">
        <v>0</v>
      </c>
      <c r="K35" s="77">
        <v>0</v>
      </c>
      <c r="L35" s="77">
        <f>$E35*VLOOKUP($A35,Allocators,8)</f>
        <v>258227</v>
      </c>
      <c r="M35" s="109">
        <f t="shared" si="9"/>
        <v>258227</v>
      </c>
      <c r="N35" s="110">
        <v>0</v>
      </c>
      <c r="O35" s="77">
        <f>$E35*VLOOKUP($A35,Allocators,9)</f>
        <v>120644</v>
      </c>
      <c r="P35" s="77">
        <f t="shared" si="10"/>
        <v>120644</v>
      </c>
    </row>
    <row r="36" spans="1:16" ht="14.25" customHeight="1">
      <c r="A36" s="82">
        <v>9</v>
      </c>
      <c r="B36" s="106"/>
      <c r="C36" s="77" t="s">
        <v>511</v>
      </c>
      <c r="D36" s="77"/>
      <c r="E36" s="78">
        <f>+Data!J452</f>
        <v>0</v>
      </c>
      <c r="F36" s="77">
        <f>$E36*VLOOKUP($A36,Allocators,7)</f>
        <v>0</v>
      </c>
      <c r="G36" s="77">
        <v>0</v>
      </c>
      <c r="H36" s="77">
        <v>0</v>
      </c>
      <c r="I36" s="78">
        <f t="shared" si="8"/>
        <v>0</v>
      </c>
      <c r="J36" s="77">
        <f>$E36*VLOOKUP($A36,Allocators,8)</f>
        <v>0</v>
      </c>
      <c r="K36" s="77">
        <v>0</v>
      </c>
      <c r="L36" s="77">
        <v>0</v>
      </c>
      <c r="M36" s="109">
        <f t="shared" si="9"/>
        <v>0</v>
      </c>
      <c r="N36" s="110">
        <v>0</v>
      </c>
      <c r="O36" s="77">
        <v>0</v>
      </c>
      <c r="P36" s="77">
        <f t="shared" si="10"/>
        <v>0</v>
      </c>
    </row>
    <row r="37" spans="1:16" ht="14.25" customHeight="1">
      <c r="A37" s="82">
        <v>9</v>
      </c>
      <c r="B37" s="106"/>
      <c r="C37" s="77" t="s">
        <v>512</v>
      </c>
      <c r="D37" s="77"/>
      <c r="E37" s="78">
        <f>+Data!K452</f>
        <v>0</v>
      </c>
      <c r="F37" s="77">
        <v>0</v>
      </c>
      <c r="G37" s="77">
        <f>$E37*VLOOKUP($A37,Allocators,7)</f>
        <v>0</v>
      </c>
      <c r="H37" s="77">
        <v>0</v>
      </c>
      <c r="I37" s="78">
        <f t="shared" si="8"/>
        <v>0</v>
      </c>
      <c r="J37" s="77">
        <v>0</v>
      </c>
      <c r="K37" s="77">
        <f>$E37*VLOOKUP($A37,Allocators,8)</f>
        <v>0</v>
      </c>
      <c r="L37" s="77">
        <v>0</v>
      </c>
      <c r="M37" s="109">
        <f t="shared" si="9"/>
        <v>0</v>
      </c>
      <c r="N37" s="110">
        <v>0</v>
      </c>
      <c r="O37" s="77">
        <v>0</v>
      </c>
      <c r="P37" s="77">
        <f t="shared" si="10"/>
        <v>0</v>
      </c>
    </row>
    <row r="38" spans="1:16" ht="14.25" customHeight="1">
      <c r="A38" s="82">
        <v>9</v>
      </c>
      <c r="B38" s="106"/>
      <c r="C38" s="77" t="s">
        <v>513</v>
      </c>
      <c r="D38" s="283"/>
      <c r="E38" s="78">
        <f>+Data!I452</f>
        <v>0</v>
      </c>
      <c r="F38" s="77">
        <v>0</v>
      </c>
      <c r="G38" s="77">
        <v>0</v>
      </c>
      <c r="H38" s="77">
        <f>$E38*VLOOKUP($A38,Allocators,7)</f>
        <v>0</v>
      </c>
      <c r="I38" s="78">
        <f t="shared" si="8"/>
        <v>0</v>
      </c>
      <c r="J38" s="77">
        <v>0</v>
      </c>
      <c r="K38" s="77">
        <v>0</v>
      </c>
      <c r="L38" s="77">
        <f>$E38*VLOOKUP($A38,Allocators,8)</f>
        <v>0</v>
      </c>
      <c r="M38" s="109">
        <f t="shared" si="9"/>
        <v>0</v>
      </c>
      <c r="N38" s="110">
        <v>0</v>
      </c>
      <c r="O38" s="77">
        <f>$E38*VLOOKUP($A38,Allocators,9)</f>
        <v>0</v>
      </c>
      <c r="P38" s="77">
        <f t="shared" si="10"/>
        <v>0</v>
      </c>
    </row>
    <row r="39" spans="1:16" ht="14.25" customHeight="1">
      <c r="A39" s="82"/>
      <c r="B39" s="106"/>
      <c r="C39" s="107" t="s">
        <v>514</v>
      </c>
      <c r="D39" s="284"/>
      <c r="E39" s="108">
        <f aca="true" t="shared" si="11" ref="E39:M39">SUM(E31:E38)</f>
        <v>28045876</v>
      </c>
      <c r="F39" s="107">
        <f t="shared" si="11"/>
        <v>0</v>
      </c>
      <c r="G39" s="107">
        <f t="shared" si="11"/>
        <v>0</v>
      </c>
      <c r="H39" s="107">
        <f t="shared" si="11"/>
        <v>20067089</v>
      </c>
      <c r="I39" s="108">
        <f t="shared" si="11"/>
        <v>20067089</v>
      </c>
      <c r="J39" s="107">
        <f t="shared" si="11"/>
        <v>0</v>
      </c>
      <c r="K39" s="107">
        <f t="shared" si="11"/>
        <v>0</v>
      </c>
      <c r="L39" s="107">
        <f t="shared" si="11"/>
        <v>5455363</v>
      </c>
      <c r="M39" s="107">
        <f t="shared" si="11"/>
        <v>5455363</v>
      </c>
      <c r="N39" s="253">
        <f>SUM(N31:N38)</f>
        <v>2018</v>
      </c>
      <c r="O39" s="107">
        <f>SUM(O31:O38)</f>
        <v>2521406</v>
      </c>
      <c r="P39" s="107">
        <f>SUM(P31:P38)</f>
        <v>2523424</v>
      </c>
    </row>
    <row r="40" spans="1:16" ht="14.25" customHeight="1">
      <c r="A40" s="82"/>
      <c r="B40" s="106"/>
      <c r="C40" s="77"/>
      <c r="D40" s="77"/>
      <c r="E40" s="78"/>
      <c r="F40" s="77"/>
      <c r="G40" s="77"/>
      <c r="H40" s="77"/>
      <c r="I40" s="78"/>
      <c r="J40" s="77"/>
      <c r="K40" s="77"/>
      <c r="L40" s="77"/>
      <c r="M40" s="109"/>
      <c r="N40" s="110"/>
      <c r="O40" s="77"/>
      <c r="P40" s="77"/>
    </row>
    <row r="41" spans="1:16" ht="14.25" customHeight="1">
      <c r="A41" s="82"/>
      <c r="B41" s="106"/>
      <c r="C41" s="77"/>
      <c r="D41" s="77"/>
      <c r="E41" s="78"/>
      <c r="F41" s="77"/>
      <c r="G41" s="77"/>
      <c r="H41" s="77"/>
      <c r="I41" s="78"/>
      <c r="J41" s="77"/>
      <c r="K41" s="77"/>
      <c r="L41" s="77"/>
      <c r="M41" s="109"/>
      <c r="N41" s="110"/>
      <c r="O41" s="77"/>
      <c r="P41" s="77"/>
    </row>
    <row r="42" spans="1:16" ht="14.25" customHeight="1">
      <c r="A42" s="82"/>
      <c r="B42" s="106" t="s">
        <v>92</v>
      </c>
      <c r="C42" s="77" t="s">
        <v>460</v>
      </c>
      <c r="D42" s="77"/>
      <c r="E42" s="78"/>
      <c r="F42" s="77"/>
      <c r="G42" s="77"/>
      <c r="H42" s="77"/>
      <c r="I42" s="78"/>
      <c r="J42" s="77"/>
      <c r="K42" s="77"/>
      <c r="L42" s="77"/>
      <c r="M42" s="109"/>
      <c r="N42" s="110"/>
      <c r="O42" s="77"/>
      <c r="P42" s="77"/>
    </row>
    <row r="43" spans="1:16" ht="14.25" customHeight="1">
      <c r="A43" s="82">
        <v>99</v>
      </c>
      <c r="B43" s="106"/>
      <c r="C43" s="77" t="s">
        <v>506</v>
      </c>
      <c r="D43" s="77"/>
      <c r="E43" s="78">
        <f>+I43+M43+P43</f>
        <v>8584930</v>
      </c>
      <c r="F43" s="77">
        <f>+Data!J453</f>
        <v>3542906</v>
      </c>
      <c r="G43" s="77">
        <f>+Data!K453</f>
        <v>1376441</v>
      </c>
      <c r="H43" s="77">
        <f>+Data!I453</f>
        <v>3665583</v>
      </c>
      <c r="I43" s="78">
        <f aca="true" t="shared" si="12" ref="I43:I50">SUM(F43:H43)</f>
        <v>8584930</v>
      </c>
      <c r="J43" s="77">
        <v>0</v>
      </c>
      <c r="K43" s="77">
        <v>0</v>
      </c>
      <c r="L43" s="77">
        <v>0</v>
      </c>
      <c r="M43" s="109">
        <f aca="true" t="shared" si="13" ref="M43:M50">SUM(J43:L43)</f>
        <v>0</v>
      </c>
      <c r="N43" s="110">
        <v>0</v>
      </c>
      <c r="O43" s="77">
        <v>0</v>
      </c>
      <c r="P43" s="77">
        <f aca="true" t="shared" si="14" ref="P43:P50">SUM(N43:O43)</f>
        <v>0</v>
      </c>
    </row>
    <row r="44" spans="1:16" ht="14.25" customHeight="1">
      <c r="A44" s="82">
        <v>99</v>
      </c>
      <c r="B44" s="106"/>
      <c r="C44" s="77" t="s">
        <v>507</v>
      </c>
      <c r="D44" s="283"/>
      <c r="E44" s="78">
        <f>+I44+M44+P44</f>
        <v>3556349</v>
      </c>
      <c r="F44" s="77">
        <v>0</v>
      </c>
      <c r="G44" s="77">
        <v>0</v>
      </c>
      <c r="H44" s="77">
        <v>0</v>
      </c>
      <c r="I44" s="78">
        <f t="shared" si="12"/>
        <v>0</v>
      </c>
      <c r="J44" s="77">
        <f>+Data!J454</f>
        <v>2428819</v>
      </c>
      <c r="K44" s="77">
        <f>+Data!K454</f>
        <v>788616</v>
      </c>
      <c r="L44" s="77">
        <f>+Data!I454</f>
        <v>338914</v>
      </c>
      <c r="M44" s="109">
        <f t="shared" si="13"/>
        <v>3556349</v>
      </c>
      <c r="N44" s="110">
        <v>0</v>
      </c>
      <c r="O44" s="77">
        <v>0</v>
      </c>
      <c r="P44" s="77">
        <f t="shared" si="14"/>
        <v>0</v>
      </c>
    </row>
    <row r="45" spans="1:16" ht="14.25" customHeight="1">
      <c r="A45" s="82">
        <v>99</v>
      </c>
      <c r="B45" s="106"/>
      <c r="C45" s="77" t="s">
        <v>508</v>
      </c>
      <c r="D45" s="283"/>
      <c r="E45" s="78">
        <f>+I45+M45+P45</f>
        <v>1590413</v>
      </c>
      <c r="F45" s="77">
        <v>0</v>
      </c>
      <c r="G45" s="77">
        <v>0</v>
      </c>
      <c r="H45" s="77">
        <v>0</v>
      </c>
      <c r="I45" s="78">
        <f t="shared" si="12"/>
        <v>0</v>
      </c>
      <c r="J45" s="77">
        <v>0</v>
      </c>
      <c r="K45" s="77">
        <v>0</v>
      </c>
      <c r="L45" s="77">
        <v>0</v>
      </c>
      <c r="M45" s="109">
        <f t="shared" si="13"/>
        <v>0</v>
      </c>
      <c r="N45" s="110">
        <f>+Data!J455</f>
        <v>1590413</v>
      </c>
      <c r="O45" s="77">
        <f>+Data!I455</f>
        <v>0</v>
      </c>
      <c r="P45" s="77">
        <f t="shared" si="14"/>
        <v>1590413</v>
      </c>
    </row>
    <row r="46" spans="1:16" ht="14.25" customHeight="1">
      <c r="A46" s="82">
        <v>7</v>
      </c>
      <c r="B46" s="106"/>
      <c r="C46" s="77" t="s">
        <v>509</v>
      </c>
      <c r="D46" s="283"/>
      <c r="E46" s="78">
        <f>+Data!H456</f>
        <v>99294</v>
      </c>
      <c r="F46" s="77">
        <v>0</v>
      </c>
      <c r="G46" s="77">
        <v>0</v>
      </c>
      <c r="H46" s="77">
        <f>$E46*VLOOKUP($A46,Allocators,7)</f>
        <v>71452</v>
      </c>
      <c r="I46" s="78">
        <f t="shared" si="12"/>
        <v>71452</v>
      </c>
      <c r="J46" s="77">
        <v>0</v>
      </c>
      <c r="K46" s="77">
        <v>0</v>
      </c>
      <c r="L46" s="77">
        <f>$E46*VLOOKUP($A46,Allocators,8)</f>
        <v>19045</v>
      </c>
      <c r="M46" s="109">
        <f t="shared" si="13"/>
        <v>19045</v>
      </c>
      <c r="N46" s="110">
        <v>0</v>
      </c>
      <c r="O46" s="77">
        <f>$E46*VLOOKUP($A46,Allocators,9)</f>
        <v>8797</v>
      </c>
      <c r="P46" s="77">
        <f t="shared" si="14"/>
        <v>8797</v>
      </c>
    </row>
    <row r="47" spans="1:16" ht="14.25" customHeight="1">
      <c r="A47" s="82">
        <v>8</v>
      </c>
      <c r="B47" s="106"/>
      <c r="C47" s="77" t="s">
        <v>510</v>
      </c>
      <c r="D47" s="77"/>
      <c r="E47" s="78">
        <f>+Data!H457</f>
        <v>0</v>
      </c>
      <c r="F47" s="77">
        <v>0</v>
      </c>
      <c r="G47" s="77">
        <v>0</v>
      </c>
      <c r="H47" s="77">
        <f>$E47*VLOOKUP($A47,Allocators,7)</f>
        <v>0</v>
      </c>
      <c r="I47" s="78">
        <f t="shared" si="12"/>
        <v>0</v>
      </c>
      <c r="J47" s="77">
        <v>0</v>
      </c>
      <c r="K47" s="77">
        <v>0</v>
      </c>
      <c r="L47" s="77">
        <f>$E47*VLOOKUP($A47,Allocators,8)</f>
        <v>0</v>
      </c>
      <c r="M47" s="109">
        <f t="shared" si="13"/>
        <v>0</v>
      </c>
      <c r="N47" s="110">
        <v>0</v>
      </c>
      <c r="O47" s="77">
        <f>$E47*VLOOKUP($A47,Allocators,9)</f>
        <v>0</v>
      </c>
      <c r="P47" s="77">
        <f t="shared" si="14"/>
        <v>0</v>
      </c>
    </row>
    <row r="48" spans="1:16" ht="14.25" customHeight="1">
      <c r="A48" s="82">
        <v>9</v>
      </c>
      <c r="B48" s="106"/>
      <c r="C48" s="77" t="s">
        <v>511</v>
      </c>
      <c r="D48" s="77"/>
      <c r="E48" s="78">
        <f>+Data!J458</f>
        <v>732678</v>
      </c>
      <c r="F48" s="77">
        <f>$E48*VLOOKUP($A48,Allocators,7)</f>
        <v>579709</v>
      </c>
      <c r="G48" s="77">
        <v>0</v>
      </c>
      <c r="H48" s="77">
        <v>0</v>
      </c>
      <c r="I48" s="78">
        <f t="shared" si="12"/>
        <v>579709</v>
      </c>
      <c r="J48" s="77">
        <f>$E48*VLOOKUP($A48,Allocators,8)</f>
        <v>152969</v>
      </c>
      <c r="K48" s="77">
        <v>0</v>
      </c>
      <c r="L48" s="77">
        <v>0</v>
      </c>
      <c r="M48" s="109">
        <f t="shared" si="13"/>
        <v>152969</v>
      </c>
      <c r="N48" s="110">
        <v>0</v>
      </c>
      <c r="O48" s="77">
        <v>0</v>
      </c>
      <c r="P48" s="77">
        <f t="shared" si="14"/>
        <v>0</v>
      </c>
    </row>
    <row r="49" spans="1:16" ht="14.25" customHeight="1">
      <c r="A49" s="82">
        <v>9</v>
      </c>
      <c r="B49" s="106"/>
      <c r="C49" s="77" t="s">
        <v>512</v>
      </c>
      <c r="D49" s="77"/>
      <c r="E49" s="78">
        <f>+Data!K458</f>
        <v>458552</v>
      </c>
      <c r="F49" s="77">
        <v>0</v>
      </c>
      <c r="G49" s="77">
        <f>$E49*VLOOKUP($A49,Allocators,7)</f>
        <v>362816</v>
      </c>
      <c r="H49" s="77">
        <v>0</v>
      </c>
      <c r="I49" s="78">
        <f t="shared" si="12"/>
        <v>362816</v>
      </c>
      <c r="J49" s="77">
        <v>0</v>
      </c>
      <c r="K49" s="77">
        <f>$E49*VLOOKUP($A49,Allocators,8)</f>
        <v>95736</v>
      </c>
      <c r="L49" s="77">
        <v>0</v>
      </c>
      <c r="M49" s="109">
        <f t="shared" si="13"/>
        <v>95736</v>
      </c>
      <c r="N49" s="110">
        <v>0</v>
      </c>
      <c r="O49" s="77">
        <v>0</v>
      </c>
      <c r="P49" s="77">
        <f t="shared" si="14"/>
        <v>0</v>
      </c>
    </row>
    <row r="50" spans="1:16" ht="14.25" customHeight="1">
      <c r="A50" s="82">
        <v>9</v>
      </c>
      <c r="B50" s="106"/>
      <c r="C50" s="77" t="s">
        <v>513</v>
      </c>
      <c r="D50" s="283"/>
      <c r="E50" s="78">
        <f>+Data!I458</f>
        <v>624628</v>
      </c>
      <c r="F50" s="77">
        <v>0</v>
      </c>
      <c r="G50" s="77">
        <v>0</v>
      </c>
      <c r="H50" s="77">
        <f>$E50*VLOOKUP($A50,Allocators,7)</f>
        <v>494218</v>
      </c>
      <c r="I50" s="78">
        <f t="shared" si="12"/>
        <v>494218</v>
      </c>
      <c r="J50" s="77">
        <v>0</v>
      </c>
      <c r="K50" s="77">
        <v>0</v>
      </c>
      <c r="L50" s="77">
        <f>$E50*VLOOKUP($A50,Allocators,8)</f>
        <v>130410</v>
      </c>
      <c r="M50" s="109">
        <f t="shared" si="13"/>
        <v>130410</v>
      </c>
      <c r="N50" s="110">
        <v>0</v>
      </c>
      <c r="O50" s="77">
        <f>$E50*VLOOKUP($A50,Allocators,9)</f>
        <v>0</v>
      </c>
      <c r="P50" s="77">
        <f t="shared" si="14"/>
        <v>0</v>
      </c>
    </row>
    <row r="51" spans="1:16" ht="14.25" customHeight="1">
      <c r="A51" s="82"/>
      <c r="B51" s="106"/>
      <c r="C51" s="107" t="s">
        <v>514</v>
      </c>
      <c r="D51" s="284"/>
      <c r="E51" s="108">
        <f aca="true" t="shared" si="15" ref="E51:M51">SUM(E43:E50)</f>
        <v>15646844</v>
      </c>
      <c r="F51" s="107">
        <f t="shared" si="15"/>
        <v>4122615</v>
      </c>
      <c r="G51" s="107">
        <f t="shared" si="15"/>
        <v>1739257</v>
      </c>
      <c r="H51" s="107">
        <f t="shared" si="15"/>
        <v>4231253</v>
      </c>
      <c r="I51" s="108">
        <f t="shared" si="15"/>
        <v>10093125</v>
      </c>
      <c r="J51" s="107">
        <f t="shared" si="15"/>
        <v>2581788</v>
      </c>
      <c r="K51" s="107">
        <f t="shared" si="15"/>
        <v>884352</v>
      </c>
      <c r="L51" s="107">
        <f t="shared" si="15"/>
        <v>488369</v>
      </c>
      <c r="M51" s="107">
        <f t="shared" si="15"/>
        <v>3954509</v>
      </c>
      <c r="N51" s="253">
        <f>SUM(N43:N50)</f>
        <v>1590413</v>
      </c>
      <c r="O51" s="107">
        <f>SUM(O43:O50)</f>
        <v>8797</v>
      </c>
      <c r="P51" s="107">
        <f>SUM(P43:P50)</f>
        <v>1599210</v>
      </c>
    </row>
    <row r="52" spans="1:16" ht="14.25" customHeight="1">
      <c r="A52" s="82"/>
      <c r="B52" s="106"/>
      <c r="C52" s="77"/>
      <c r="D52" s="77"/>
      <c r="E52" s="78"/>
      <c r="F52" s="77"/>
      <c r="G52" s="77"/>
      <c r="H52" s="77"/>
      <c r="I52" s="78"/>
      <c r="J52" s="77"/>
      <c r="K52" s="77"/>
      <c r="L52" s="77"/>
      <c r="M52" s="109"/>
      <c r="N52" s="110"/>
      <c r="O52" s="77"/>
      <c r="P52" s="77"/>
    </row>
    <row r="53" spans="1:16" ht="14.25" customHeight="1">
      <c r="A53" s="82"/>
      <c r="B53" s="106"/>
      <c r="C53" s="77"/>
      <c r="D53" s="77"/>
      <c r="E53" s="78"/>
      <c r="F53" s="77"/>
      <c r="G53" s="77"/>
      <c r="H53" s="77"/>
      <c r="I53" s="78"/>
      <c r="J53" s="77"/>
      <c r="K53" s="77"/>
      <c r="L53" s="77"/>
      <c r="M53" s="109"/>
      <c r="N53" s="110"/>
      <c r="O53" s="77"/>
      <c r="P53" s="77"/>
    </row>
    <row r="54" spans="1:16" ht="14.25" customHeight="1">
      <c r="A54" s="82"/>
      <c r="B54" s="105">
        <v>393000</v>
      </c>
      <c r="C54" s="77" t="s">
        <v>461</v>
      </c>
      <c r="D54" s="77"/>
      <c r="E54" s="78"/>
      <c r="F54" s="77"/>
      <c r="G54" s="77"/>
      <c r="H54" s="77"/>
      <c r="I54" s="78"/>
      <c r="J54" s="77"/>
      <c r="K54" s="77"/>
      <c r="L54" s="77"/>
      <c r="M54" s="109"/>
      <c r="N54" s="110"/>
      <c r="O54" s="77"/>
      <c r="P54" s="77"/>
    </row>
    <row r="55" spans="1:16" ht="14.25" customHeight="1">
      <c r="A55" s="82">
        <v>99</v>
      </c>
      <c r="B55" s="106"/>
      <c r="C55" s="77" t="s">
        <v>506</v>
      </c>
      <c r="D55" s="77"/>
      <c r="E55" s="78">
        <f>+I55+M55+P55</f>
        <v>320697</v>
      </c>
      <c r="F55" s="77">
        <f>+Data!J459</f>
        <v>21953</v>
      </c>
      <c r="G55" s="77">
        <f>+Data!K459</f>
        <v>30140</v>
      </c>
      <c r="H55" s="77">
        <f>+Data!I459</f>
        <v>268604</v>
      </c>
      <c r="I55" s="78">
        <f aca="true" t="shared" si="16" ref="I55:I62">SUM(F55:H55)</f>
        <v>320697</v>
      </c>
      <c r="J55" s="77">
        <v>0</v>
      </c>
      <c r="K55" s="77">
        <v>0</v>
      </c>
      <c r="L55" s="77">
        <v>0</v>
      </c>
      <c r="M55" s="109">
        <f aca="true" t="shared" si="17" ref="M55:M62">SUM(J55:L55)</f>
        <v>0</v>
      </c>
      <c r="N55" s="110">
        <v>0</v>
      </c>
      <c r="O55" s="77">
        <v>0</v>
      </c>
      <c r="P55" s="77">
        <f aca="true" t="shared" si="18" ref="P55:P62">SUM(N55:O55)</f>
        <v>0</v>
      </c>
    </row>
    <row r="56" spans="1:16" ht="14.25" customHeight="1">
      <c r="A56" s="82">
        <v>99</v>
      </c>
      <c r="B56" s="106"/>
      <c r="C56" s="77" t="s">
        <v>507</v>
      </c>
      <c r="D56" s="283"/>
      <c r="E56" s="78">
        <f>+I56+M56+P56</f>
        <v>84271</v>
      </c>
      <c r="F56" s="77">
        <v>0</v>
      </c>
      <c r="G56" s="77">
        <v>0</v>
      </c>
      <c r="H56" s="77">
        <v>0</v>
      </c>
      <c r="I56" s="78">
        <f t="shared" si="16"/>
        <v>0</v>
      </c>
      <c r="J56" s="77">
        <f>+Data!J460</f>
        <v>84271</v>
      </c>
      <c r="K56" s="77">
        <f>+Data!K460</f>
        <v>0</v>
      </c>
      <c r="L56" s="77">
        <f>+Data!I460</f>
        <v>0</v>
      </c>
      <c r="M56" s="109">
        <f t="shared" si="17"/>
        <v>84271</v>
      </c>
      <c r="N56" s="110">
        <v>0</v>
      </c>
      <c r="O56" s="77">
        <v>0</v>
      </c>
      <c r="P56" s="77">
        <f t="shared" si="18"/>
        <v>0</v>
      </c>
    </row>
    <row r="57" spans="1:16" ht="14.25" customHeight="1">
      <c r="A57" s="82">
        <v>99</v>
      </c>
      <c r="B57" s="106"/>
      <c r="C57" s="77" t="s">
        <v>508</v>
      </c>
      <c r="D57" s="283"/>
      <c r="E57" s="78">
        <f>+I57+M57+P57</f>
        <v>54847</v>
      </c>
      <c r="F57" s="77">
        <v>0</v>
      </c>
      <c r="G57" s="77">
        <v>0</v>
      </c>
      <c r="H57" s="77">
        <v>0</v>
      </c>
      <c r="I57" s="78">
        <f t="shared" si="16"/>
        <v>0</v>
      </c>
      <c r="J57" s="77">
        <v>0</v>
      </c>
      <c r="K57" s="77">
        <v>0</v>
      </c>
      <c r="L57" s="77">
        <v>0</v>
      </c>
      <c r="M57" s="109">
        <f t="shared" si="17"/>
        <v>0</v>
      </c>
      <c r="N57" s="110">
        <f>+Data!J461</f>
        <v>54847</v>
      </c>
      <c r="O57" s="77">
        <f>+Data!I461</f>
        <v>0</v>
      </c>
      <c r="P57" s="77">
        <f t="shared" si="18"/>
        <v>54847</v>
      </c>
    </row>
    <row r="58" spans="1:16" ht="14.25" customHeight="1">
      <c r="A58" s="82">
        <v>7</v>
      </c>
      <c r="B58" s="106"/>
      <c r="C58" s="77" t="s">
        <v>509</v>
      </c>
      <c r="D58" s="283"/>
      <c r="E58" s="78">
        <f>+Data!H462</f>
        <v>0</v>
      </c>
      <c r="F58" s="77">
        <v>0</v>
      </c>
      <c r="G58" s="77">
        <v>0</v>
      </c>
      <c r="H58" s="77">
        <f>$E58*VLOOKUP($A58,Allocators,7)</f>
        <v>0</v>
      </c>
      <c r="I58" s="78">
        <f t="shared" si="16"/>
        <v>0</v>
      </c>
      <c r="J58" s="77">
        <v>0</v>
      </c>
      <c r="K58" s="77">
        <v>0</v>
      </c>
      <c r="L58" s="77">
        <f>$E58*VLOOKUP($A58,Allocators,8)</f>
        <v>0</v>
      </c>
      <c r="M58" s="109">
        <f t="shared" si="17"/>
        <v>0</v>
      </c>
      <c r="N58" s="110">
        <v>0</v>
      </c>
      <c r="O58" s="77">
        <f>$E58*VLOOKUP($A58,Allocators,9)</f>
        <v>0</v>
      </c>
      <c r="P58" s="77">
        <f t="shared" si="18"/>
        <v>0</v>
      </c>
    </row>
    <row r="59" spans="1:16" ht="14.25" customHeight="1">
      <c r="A59" s="82">
        <v>8</v>
      </c>
      <c r="B59" s="106"/>
      <c r="C59" s="77" t="s">
        <v>510</v>
      </c>
      <c r="D59" s="77"/>
      <c r="E59" s="78">
        <f>+Data!H463</f>
        <v>0</v>
      </c>
      <c r="F59" s="77">
        <v>0</v>
      </c>
      <c r="G59" s="77">
        <v>0</v>
      </c>
      <c r="H59" s="77">
        <f>$E59*VLOOKUP($A59,Allocators,7)</f>
        <v>0</v>
      </c>
      <c r="I59" s="78">
        <f t="shared" si="16"/>
        <v>0</v>
      </c>
      <c r="J59" s="77">
        <v>0</v>
      </c>
      <c r="K59" s="77">
        <v>0</v>
      </c>
      <c r="L59" s="77">
        <f>$E59*VLOOKUP($A59,Allocators,8)</f>
        <v>0</v>
      </c>
      <c r="M59" s="109">
        <f t="shared" si="17"/>
        <v>0</v>
      </c>
      <c r="N59" s="110">
        <v>0</v>
      </c>
      <c r="O59" s="77">
        <f>$E59*VLOOKUP($A59,Allocators,9)</f>
        <v>0</v>
      </c>
      <c r="P59" s="77">
        <f t="shared" si="18"/>
        <v>0</v>
      </c>
    </row>
    <row r="60" spans="1:16" ht="14.25" customHeight="1">
      <c r="A60" s="82">
        <v>9</v>
      </c>
      <c r="B60" s="106"/>
      <c r="C60" s="77" t="s">
        <v>511</v>
      </c>
      <c r="D60" s="77"/>
      <c r="E60" s="78">
        <f>+Data!J464</f>
        <v>138960</v>
      </c>
      <c r="F60" s="77">
        <f>$E60*VLOOKUP($A60,Allocators,7)</f>
        <v>109948</v>
      </c>
      <c r="G60" s="77">
        <v>0</v>
      </c>
      <c r="H60" s="77">
        <v>0</v>
      </c>
      <c r="I60" s="78">
        <f t="shared" si="16"/>
        <v>109948</v>
      </c>
      <c r="J60" s="77">
        <f>$E60*VLOOKUP($A60,Allocators,8)</f>
        <v>29012</v>
      </c>
      <c r="K60" s="77">
        <v>0</v>
      </c>
      <c r="L60" s="77">
        <v>0</v>
      </c>
      <c r="M60" s="109">
        <f t="shared" si="17"/>
        <v>29012</v>
      </c>
      <c r="N60" s="110">
        <v>0</v>
      </c>
      <c r="O60" s="77">
        <v>0</v>
      </c>
      <c r="P60" s="77">
        <f t="shared" si="18"/>
        <v>0</v>
      </c>
    </row>
    <row r="61" spans="1:16" ht="14.25" customHeight="1">
      <c r="A61" s="82">
        <v>9</v>
      </c>
      <c r="B61" s="106"/>
      <c r="C61" s="77" t="s">
        <v>512</v>
      </c>
      <c r="D61" s="77"/>
      <c r="E61" s="78">
        <f>+Data!K464</f>
        <v>230173</v>
      </c>
      <c r="F61" s="77">
        <v>0</v>
      </c>
      <c r="G61" s="77">
        <f>$E61*VLOOKUP($A61,Allocators,7)</f>
        <v>182117</v>
      </c>
      <c r="H61" s="77">
        <v>0</v>
      </c>
      <c r="I61" s="78">
        <f t="shared" si="16"/>
        <v>182117</v>
      </c>
      <c r="J61" s="77">
        <v>0</v>
      </c>
      <c r="K61" s="77">
        <f>$E61*VLOOKUP($A61,Allocators,8)</f>
        <v>48056</v>
      </c>
      <c r="L61" s="77">
        <v>0</v>
      </c>
      <c r="M61" s="109">
        <f t="shared" si="17"/>
        <v>48056</v>
      </c>
      <c r="N61" s="110">
        <v>0</v>
      </c>
      <c r="O61" s="77">
        <v>0</v>
      </c>
      <c r="P61" s="77">
        <f t="shared" si="18"/>
        <v>0</v>
      </c>
    </row>
    <row r="62" spans="1:16" ht="14.25" customHeight="1">
      <c r="A62" s="82">
        <v>9</v>
      </c>
      <c r="B62" s="106"/>
      <c r="C62" s="77" t="s">
        <v>513</v>
      </c>
      <c r="D62" s="283"/>
      <c r="E62" s="78">
        <f>+Data!I464</f>
        <v>614771</v>
      </c>
      <c r="F62" s="77">
        <v>0</v>
      </c>
      <c r="G62" s="77">
        <v>0</v>
      </c>
      <c r="H62" s="77">
        <f>$E62*VLOOKUP($A62,Allocators,7)</f>
        <v>486419</v>
      </c>
      <c r="I62" s="78">
        <f t="shared" si="16"/>
        <v>486419</v>
      </c>
      <c r="J62" s="77">
        <v>0</v>
      </c>
      <c r="K62" s="77">
        <v>0</v>
      </c>
      <c r="L62" s="77">
        <f>$E62*VLOOKUP($A62,Allocators,8)</f>
        <v>128352</v>
      </c>
      <c r="M62" s="109">
        <f t="shared" si="17"/>
        <v>128352</v>
      </c>
      <c r="N62" s="110">
        <v>0</v>
      </c>
      <c r="O62" s="77">
        <f>$E62*VLOOKUP($A62,Allocators,9)</f>
        <v>0</v>
      </c>
      <c r="P62" s="77">
        <f t="shared" si="18"/>
        <v>0</v>
      </c>
    </row>
    <row r="63" spans="1:16" ht="14.25" customHeight="1">
      <c r="A63" s="82"/>
      <c r="B63" s="106"/>
      <c r="C63" s="107" t="s">
        <v>514</v>
      </c>
      <c r="D63" s="284"/>
      <c r="E63" s="108">
        <f aca="true" t="shared" si="19" ref="E63:M63">SUM(E55:E62)</f>
        <v>1443719</v>
      </c>
      <c r="F63" s="107">
        <f t="shared" si="19"/>
        <v>131901</v>
      </c>
      <c r="G63" s="107">
        <f t="shared" si="19"/>
        <v>212257</v>
      </c>
      <c r="H63" s="107">
        <f t="shared" si="19"/>
        <v>755023</v>
      </c>
      <c r="I63" s="108">
        <f t="shared" si="19"/>
        <v>1099181</v>
      </c>
      <c r="J63" s="107">
        <f t="shared" si="19"/>
        <v>113283</v>
      </c>
      <c r="K63" s="107">
        <f t="shared" si="19"/>
        <v>48056</v>
      </c>
      <c r="L63" s="107">
        <f t="shared" si="19"/>
        <v>128352</v>
      </c>
      <c r="M63" s="107">
        <f t="shared" si="19"/>
        <v>289691</v>
      </c>
      <c r="N63" s="253">
        <f>SUM(N55:N62)</f>
        <v>54847</v>
      </c>
      <c r="O63" s="107">
        <f>SUM(O55:O62)</f>
        <v>0</v>
      </c>
      <c r="P63" s="107">
        <f>SUM(P55:P62)</f>
        <v>54847</v>
      </c>
    </row>
    <row r="64" spans="1:16" ht="14.25" customHeight="1">
      <c r="A64" s="82"/>
      <c r="B64" s="106"/>
      <c r="C64" s="77"/>
      <c r="D64" s="77"/>
      <c r="E64" s="78"/>
      <c r="F64" s="77"/>
      <c r="G64" s="77"/>
      <c r="H64" s="77"/>
      <c r="I64" s="78"/>
      <c r="J64" s="77"/>
      <c r="K64" s="77"/>
      <c r="L64" s="77"/>
      <c r="M64" s="109"/>
      <c r="N64" s="110"/>
      <c r="O64" s="77"/>
      <c r="P64" s="77"/>
    </row>
    <row r="65" spans="1:16" ht="14.25" customHeight="1">
      <c r="A65" s="82"/>
      <c r="B65" s="106"/>
      <c r="C65" s="77"/>
      <c r="D65" s="77"/>
      <c r="E65" s="78"/>
      <c r="F65" s="77"/>
      <c r="G65" s="77"/>
      <c r="H65" s="77"/>
      <c r="I65" s="78"/>
      <c r="J65" s="77"/>
      <c r="K65" s="77"/>
      <c r="L65" s="77"/>
      <c r="M65" s="109"/>
      <c r="N65" s="110"/>
      <c r="O65" s="77"/>
      <c r="P65" s="77"/>
    </row>
    <row r="66" spans="1:16" ht="14.25" customHeight="1">
      <c r="A66" s="82"/>
      <c r="B66" s="105">
        <v>394000</v>
      </c>
      <c r="C66" s="77" t="s">
        <v>515</v>
      </c>
      <c r="D66" s="77"/>
      <c r="E66" s="78"/>
      <c r="F66" s="77"/>
      <c r="G66" s="77"/>
      <c r="H66" s="77"/>
      <c r="I66" s="78"/>
      <c r="J66" s="77"/>
      <c r="K66" s="77"/>
      <c r="L66" s="77"/>
      <c r="M66" s="109"/>
      <c r="N66" s="110"/>
      <c r="O66" s="77"/>
      <c r="P66" s="77"/>
    </row>
    <row r="67" spans="1:16" ht="14.25" customHeight="1">
      <c r="A67" s="82">
        <v>99</v>
      </c>
      <c r="B67" s="106"/>
      <c r="C67" s="77" t="s">
        <v>506</v>
      </c>
      <c r="D67" s="77"/>
      <c r="E67" s="78">
        <f>+I67+M67+P67</f>
        <v>3309862</v>
      </c>
      <c r="F67" s="77">
        <f>+Data!J465</f>
        <v>1269769</v>
      </c>
      <c r="G67" s="77">
        <f>+Data!K465</f>
        <v>436974</v>
      </c>
      <c r="H67" s="77">
        <f>+Data!I465</f>
        <v>1603119</v>
      </c>
      <c r="I67" s="78">
        <f aca="true" t="shared" si="20" ref="I67:I74">SUM(F67:H67)</f>
        <v>3309862</v>
      </c>
      <c r="J67" s="77">
        <v>0</v>
      </c>
      <c r="K67" s="77">
        <v>0</v>
      </c>
      <c r="L67" s="77">
        <v>0</v>
      </c>
      <c r="M67" s="109">
        <f aca="true" t="shared" si="21" ref="M67:M74">SUM(J67:L67)</f>
        <v>0</v>
      </c>
      <c r="N67" s="110">
        <v>0</v>
      </c>
      <c r="O67" s="77">
        <v>0</v>
      </c>
      <c r="P67" s="77">
        <f aca="true" t="shared" si="22" ref="P67:P74">SUM(N67:O67)</f>
        <v>0</v>
      </c>
    </row>
    <row r="68" spans="1:16" ht="14.25" customHeight="1">
      <c r="A68" s="82">
        <v>99</v>
      </c>
      <c r="B68" s="106"/>
      <c r="C68" s="77" t="s">
        <v>507</v>
      </c>
      <c r="D68" s="283"/>
      <c r="E68" s="78">
        <f>+I68+M68+P68</f>
        <v>1813630</v>
      </c>
      <c r="F68" s="77">
        <v>0</v>
      </c>
      <c r="G68" s="77">
        <v>0</v>
      </c>
      <c r="H68" s="77">
        <v>0</v>
      </c>
      <c r="I68" s="78">
        <f t="shared" si="20"/>
        <v>0</v>
      </c>
      <c r="J68" s="77">
        <f>+Data!J466</f>
        <v>939129</v>
      </c>
      <c r="K68" s="77">
        <f>+Data!K466</f>
        <v>446951</v>
      </c>
      <c r="L68" s="77">
        <f>+Data!I466</f>
        <v>427550</v>
      </c>
      <c r="M68" s="109">
        <f t="shared" si="21"/>
        <v>1813630</v>
      </c>
      <c r="N68" s="110">
        <v>0</v>
      </c>
      <c r="O68" s="77">
        <v>0</v>
      </c>
      <c r="P68" s="77">
        <f t="shared" si="22"/>
        <v>0</v>
      </c>
    </row>
    <row r="69" spans="1:16" ht="14.25" customHeight="1">
      <c r="A69" s="82">
        <v>99</v>
      </c>
      <c r="B69" s="106"/>
      <c r="C69" s="77" t="s">
        <v>508</v>
      </c>
      <c r="D69" s="283"/>
      <c r="E69" s="78">
        <f>+I69+M69+P69</f>
        <v>974497</v>
      </c>
      <c r="F69" s="77">
        <v>0</v>
      </c>
      <c r="G69" s="77">
        <v>0</v>
      </c>
      <c r="H69" s="77">
        <v>0</v>
      </c>
      <c r="I69" s="78">
        <f t="shared" si="20"/>
        <v>0</v>
      </c>
      <c r="J69" s="77">
        <v>0</v>
      </c>
      <c r="K69" s="77">
        <v>0</v>
      </c>
      <c r="L69" s="77">
        <v>0</v>
      </c>
      <c r="M69" s="109">
        <f t="shared" si="21"/>
        <v>0</v>
      </c>
      <c r="N69" s="110">
        <f>+Data!J467</f>
        <v>974497</v>
      </c>
      <c r="O69" s="77">
        <f>+Data!I467</f>
        <v>0</v>
      </c>
      <c r="P69" s="77">
        <f t="shared" si="22"/>
        <v>974497</v>
      </c>
    </row>
    <row r="70" spans="1:16" ht="14.25" customHeight="1">
      <c r="A70" s="82">
        <v>7</v>
      </c>
      <c r="B70" s="106"/>
      <c r="C70" s="77" t="s">
        <v>509</v>
      </c>
      <c r="D70" s="283"/>
      <c r="E70" s="78">
        <f>+Data!H468</f>
        <v>1220629</v>
      </c>
      <c r="F70" s="77">
        <v>0</v>
      </c>
      <c r="G70" s="77">
        <v>0</v>
      </c>
      <c r="H70" s="77">
        <f>$E70*VLOOKUP($A70,Allocators,7)</f>
        <v>878365</v>
      </c>
      <c r="I70" s="78">
        <f t="shared" si="20"/>
        <v>878365</v>
      </c>
      <c r="J70" s="77">
        <v>0</v>
      </c>
      <c r="K70" s="77">
        <v>0</v>
      </c>
      <c r="L70" s="77">
        <f>$E70*VLOOKUP($A70,Allocators,8)</f>
        <v>234117</v>
      </c>
      <c r="M70" s="109">
        <f t="shared" si="21"/>
        <v>234117</v>
      </c>
      <c r="N70" s="110">
        <v>0</v>
      </c>
      <c r="O70" s="77">
        <f>$E70*VLOOKUP($A70,Allocators,9)</f>
        <v>108148</v>
      </c>
      <c r="P70" s="77">
        <f t="shared" si="22"/>
        <v>108148</v>
      </c>
    </row>
    <row r="71" spans="1:16" ht="14.25" customHeight="1">
      <c r="A71" s="82">
        <v>8</v>
      </c>
      <c r="B71" s="106"/>
      <c r="C71" s="77" t="s">
        <v>510</v>
      </c>
      <c r="D71" s="77"/>
      <c r="E71" s="78">
        <f>+Data!H469</f>
        <v>441135</v>
      </c>
      <c r="F71" s="77">
        <v>0</v>
      </c>
      <c r="G71" s="77">
        <v>0</v>
      </c>
      <c r="H71" s="77">
        <f>$E71*VLOOKUP($A71,Allocators,7)</f>
        <v>0</v>
      </c>
      <c r="I71" s="78">
        <f t="shared" si="20"/>
        <v>0</v>
      </c>
      <c r="J71" s="77">
        <v>0</v>
      </c>
      <c r="K71" s="77">
        <v>0</v>
      </c>
      <c r="L71" s="77">
        <f>$E71*VLOOKUP($A71,Allocators,8)</f>
        <v>300664</v>
      </c>
      <c r="M71" s="109">
        <f t="shared" si="21"/>
        <v>300664</v>
      </c>
      <c r="N71" s="110">
        <v>0</v>
      </c>
      <c r="O71" s="77">
        <f>$E71*VLOOKUP($A71,Allocators,9)</f>
        <v>140471</v>
      </c>
      <c r="P71" s="77">
        <f t="shared" si="22"/>
        <v>140471</v>
      </c>
    </row>
    <row r="72" spans="1:16" ht="14.25" customHeight="1">
      <c r="A72" s="82">
        <v>9</v>
      </c>
      <c r="B72" s="106"/>
      <c r="C72" s="77" t="s">
        <v>511</v>
      </c>
      <c r="D72" s="77"/>
      <c r="E72" s="78">
        <f>+Data!J470</f>
        <v>44906</v>
      </c>
      <c r="F72" s="77">
        <f>$E72*VLOOKUP($A72,Allocators,7)</f>
        <v>35531</v>
      </c>
      <c r="G72" s="77">
        <v>0</v>
      </c>
      <c r="H72" s="77">
        <v>0</v>
      </c>
      <c r="I72" s="78">
        <f t="shared" si="20"/>
        <v>35531</v>
      </c>
      <c r="J72" s="77">
        <f>$E72*VLOOKUP($A72,Allocators,8)</f>
        <v>9375</v>
      </c>
      <c r="K72" s="77">
        <v>0</v>
      </c>
      <c r="L72" s="77">
        <v>0</v>
      </c>
      <c r="M72" s="109">
        <f t="shared" si="21"/>
        <v>9375</v>
      </c>
      <c r="N72" s="110">
        <v>0</v>
      </c>
      <c r="O72" s="77">
        <v>0</v>
      </c>
      <c r="P72" s="77">
        <f t="shared" si="22"/>
        <v>0</v>
      </c>
    </row>
    <row r="73" spans="1:16" ht="14.25" customHeight="1">
      <c r="A73" s="82">
        <v>9</v>
      </c>
      <c r="B73" s="106"/>
      <c r="C73" s="77" t="s">
        <v>512</v>
      </c>
      <c r="D73" s="77"/>
      <c r="E73" s="78">
        <f>+Data!K470</f>
        <v>9569</v>
      </c>
      <c r="F73" s="77">
        <v>0</v>
      </c>
      <c r="G73" s="77">
        <f>$E73*VLOOKUP($A73,Allocators,7)</f>
        <v>7571</v>
      </c>
      <c r="H73" s="77">
        <v>0</v>
      </c>
      <c r="I73" s="78">
        <f t="shared" si="20"/>
        <v>7571</v>
      </c>
      <c r="J73" s="77">
        <v>0</v>
      </c>
      <c r="K73" s="77">
        <f>$E73*VLOOKUP($A73,Allocators,8)</f>
        <v>1998</v>
      </c>
      <c r="L73" s="77">
        <v>0</v>
      </c>
      <c r="M73" s="109">
        <f t="shared" si="21"/>
        <v>1998</v>
      </c>
      <c r="N73" s="110">
        <v>0</v>
      </c>
      <c r="O73" s="77">
        <v>0</v>
      </c>
      <c r="P73" s="77">
        <f t="shared" si="22"/>
        <v>0</v>
      </c>
    </row>
    <row r="74" spans="1:16" ht="14.25" customHeight="1">
      <c r="A74" s="82">
        <v>9</v>
      </c>
      <c r="B74" s="106"/>
      <c r="C74" s="77" t="s">
        <v>513</v>
      </c>
      <c r="D74" s="283"/>
      <c r="E74" s="78">
        <f>+Data!I470</f>
        <v>280894</v>
      </c>
      <c r="F74" s="77">
        <v>0</v>
      </c>
      <c r="G74" s="77">
        <v>0</v>
      </c>
      <c r="H74" s="77">
        <f>$E74*VLOOKUP($A74,Allocators,7)</f>
        <v>222249</v>
      </c>
      <c r="I74" s="78">
        <f t="shared" si="20"/>
        <v>222249</v>
      </c>
      <c r="J74" s="77">
        <v>0</v>
      </c>
      <c r="K74" s="77">
        <v>0</v>
      </c>
      <c r="L74" s="77">
        <f>$E74*VLOOKUP($A74,Allocators,8)</f>
        <v>58645</v>
      </c>
      <c r="M74" s="109">
        <f t="shared" si="21"/>
        <v>58645</v>
      </c>
      <c r="N74" s="110">
        <v>0</v>
      </c>
      <c r="O74" s="77">
        <f>$E74*VLOOKUP($A74,Allocators,9)</f>
        <v>0</v>
      </c>
      <c r="P74" s="77">
        <f t="shared" si="22"/>
        <v>0</v>
      </c>
    </row>
    <row r="75" spans="1:16" ht="14.25" customHeight="1">
      <c r="A75" s="82"/>
      <c r="B75" s="106"/>
      <c r="C75" s="107" t="s">
        <v>514</v>
      </c>
      <c r="D75" s="284"/>
      <c r="E75" s="108">
        <f aca="true" t="shared" si="23" ref="E75:M75">SUM(E67:E74)</f>
        <v>8095122</v>
      </c>
      <c r="F75" s="107">
        <f t="shared" si="23"/>
        <v>1305300</v>
      </c>
      <c r="G75" s="107">
        <f t="shared" si="23"/>
        <v>444545</v>
      </c>
      <c r="H75" s="107">
        <f t="shared" si="23"/>
        <v>2703733</v>
      </c>
      <c r="I75" s="108">
        <f t="shared" si="23"/>
        <v>4453578</v>
      </c>
      <c r="J75" s="107">
        <f t="shared" si="23"/>
        <v>948504</v>
      </c>
      <c r="K75" s="107">
        <f t="shared" si="23"/>
        <v>448949</v>
      </c>
      <c r="L75" s="107">
        <f t="shared" si="23"/>
        <v>1020976</v>
      </c>
      <c r="M75" s="107">
        <f t="shared" si="23"/>
        <v>2418429</v>
      </c>
      <c r="N75" s="253">
        <f>SUM(N67:N74)</f>
        <v>974497</v>
      </c>
      <c r="O75" s="107">
        <f>SUM(O67:O74)</f>
        <v>248619</v>
      </c>
      <c r="P75" s="107">
        <f>SUM(P67:P74)</f>
        <v>1223116</v>
      </c>
    </row>
    <row r="76" spans="1:16" ht="14.25" customHeight="1">
      <c r="A76" s="82"/>
      <c r="B76" s="106"/>
      <c r="C76" s="77"/>
      <c r="D76" s="77"/>
      <c r="E76" s="78"/>
      <c r="F76" s="77"/>
      <c r="G76" s="77"/>
      <c r="H76" s="77"/>
      <c r="I76" s="78"/>
      <c r="J76" s="77"/>
      <c r="K76" s="77"/>
      <c r="L76" s="77"/>
      <c r="M76" s="109"/>
      <c r="N76" s="110"/>
      <c r="O76" s="77"/>
      <c r="P76" s="77"/>
    </row>
    <row r="77" spans="1:16" ht="14.25" customHeight="1">
      <c r="A77" s="82"/>
      <c r="B77" s="106"/>
      <c r="C77" s="77"/>
      <c r="D77" s="77"/>
      <c r="E77" s="78"/>
      <c r="F77" s="77"/>
      <c r="G77" s="77"/>
      <c r="H77" s="77"/>
      <c r="I77" s="78"/>
      <c r="J77" s="77"/>
      <c r="K77" s="77"/>
      <c r="L77" s="77"/>
      <c r="M77" s="109"/>
      <c r="N77" s="110"/>
      <c r="O77" s="77"/>
      <c r="P77" s="77"/>
    </row>
    <row r="78" spans="1:16" ht="14.25" customHeight="1">
      <c r="A78" s="82"/>
      <c r="B78" s="105">
        <v>395000</v>
      </c>
      <c r="C78" s="77" t="s">
        <v>464</v>
      </c>
      <c r="D78" s="77"/>
      <c r="E78" s="78"/>
      <c r="F78" s="77"/>
      <c r="G78" s="77"/>
      <c r="H78" s="77"/>
      <c r="I78" s="78"/>
      <c r="J78" s="77"/>
      <c r="K78" s="77"/>
      <c r="L78" s="77"/>
      <c r="M78" s="109"/>
      <c r="N78" s="110"/>
      <c r="O78" s="77"/>
      <c r="P78" s="77"/>
    </row>
    <row r="79" spans="1:16" ht="14.25" customHeight="1">
      <c r="A79" s="82">
        <v>99</v>
      </c>
      <c r="B79" s="106"/>
      <c r="C79" s="77" t="s">
        <v>506</v>
      </c>
      <c r="D79" s="77"/>
      <c r="E79" s="78">
        <f>+I79+M79+P79</f>
        <v>3074890</v>
      </c>
      <c r="F79" s="77">
        <f>+Data!J471</f>
        <v>359816</v>
      </c>
      <c r="G79" s="77">
        <f>+Data!K471</f>
        <v>314247</v>
      </c>
      <c r="H79" s="77">
        <f>+Data!I471</f>
        <v>2400827</v>
      </c>
      <c r="I79" s="78">
        <f aca="true" t="shared" si="24" ref="I79:I86">SUM(F79:H79)</f>
        <v>3074890</v>
      </c>
      <c r="J79" s="77">
        <v>0</v>
      </c>
      <c r="K79" s="77">
        <v>0</v>
      </c>
      <c r="L79" s="77">
        <v>0</v>
      </c>
      <c r="M79" s="109">
        <f aca="true" t="shared" si="25" ref="M79:M86">SUM(J79:L79)</f>
        <v>0</v>
      </c>
      <c r="N79" s="110">
        <v>0</v>
      </c>
      <c r="O79" s="77">
        <v>0</v>
      </c>
      <c r="P79" s="77">
        <f aca="true" t="shared" si="26" ref="P79:P86">SUM(N79:O79)</f>
        <v>0</v>
      </c>
    </row>
    <row r="80" spans="1:16" ht="14.25" customHeight="1">
      <c r="A80" s="82">
        <v>99</v>
      </c>
      <c r="B80" s="106"/>
      <c r="C80" s="77" t="s">
        <v>507</v>
      </c>
      <c r="D80" s="283"/>
      <c r="E80" s="78">
        <f>+I80+M80+P80</f>
        <v>553056</v>
      </c>
      <c r="F80" s="77">
        <v>0</v>
      </c>
      <c r="G80" s="77">
        <v>0</v>
      </c>
      <c r="H80" s="77">
        <v>0</v>
      </c>
      <c r="I80" s="78">
        <f t="shared" si="24"/>
        <v>0</v>
      </c>
      <c r="J80" s="77">
        <f>+Data!J472</f>
        <v>179979</v>
      </c>
      <c r="K80" s="77">
        <f>+Data!K472</f>
        <v>58697</v>
      </c>
      <c r="L80" s="77">
        <f>+Data!I472</f>
        <v>314380</v>
      </c>
      <c r="M80" s="109">
        <f t="shared" si="25"/>
        <v>553056</v>
      </c>
      <c r="N80" s="110">
        <v>0</v>
      </c>
      <c r="O80" s="77">
        <v>0</v>
      </c>
      <c r="P80" s="77">
        <f t="shared" si="26"/>
        <v>0</v>
      </c>
    </row>
    <row r="81" spans="1:16" ht="14.25" customHeight="1">
      <c r="A81" s="82">
        <v>99</v>
      </c>
      <c r="B81" s="106"/>
      <c r="C81" s="77" t="s">
        <v>508</v>
      </c>
      <c r="D81" s="283"/>
      <c r="E81" s="78">
        <f>+I81+M81+P81</f>
        <v>343390</v>
      </c>
      <c r="F81" s="77">
        <v>0</v>
      </c>
      <c r="G81" s="77">
        <v>0</v>
      </c>
      <c r="H81" s="77">
        <v>0</v>
      </c>
      <c r="I81" s="78">
        <f t="shared" si="24"/>
        <v>0</v>
      </c>
      <c r="J81" s="77">
        <v>0</v>
      </c>
      <c r="K81" s="77">
        <v>0</v>
      </c>
      <c r="L81" s="77">
        <v>0</v>
      </c>
      <c r="M81" s="109">
        <f t="shared" si="25"/>
        <v>0</v>
      </c>
      <c r="N81" s="110">
        <f>+Data!J473</f>
        <v>343390</v>
      </c>
      <c r="O81" s="77">
        <f>+Data!I473</f>
        <v>0</v>
      </c>
      <c r="P81" s="77">
        <f t="shared" si="26"/>
        <v>343390</v>
      </c>
    </row>
    <row r="82" spans="1:16" ht="14.25" customHeight="1">
      <c r="A82" s="82">
        <v>7</v>
      </c>
      <c r="B82" s="106"/>
      <c r="C82" s="77" t="s">
        <v>509</v>
      </c>
      <c r="D82" s="283"/>
      <c r="E82" s="78">
        <f>+Data!H474</f>
        <v>200228</v>
      </c>
      <c r="F82" s="77">
        <v>0</v>
      </c>
      <c r="G82" s="77">
        <v>0</v>
      </c>
      <c r="H82" s="77">
        <f>$E82*VLOOKUP($A82,Allocators,7)</f>
        <v>144084</v>
      </c>
      <c r="I82" s="78">
        <f t="shared" si="24"/>
        <v>144084</v>
      </c>
      <c r="J82" s="77">
        <v>0</v>
      </c>
      <c r="K82" s="77">
        <v>0</v>
      </c>
      <c r="L82" s="77">
        <f>$E82*VLOOKUP($A82,Allocators,8)</f>
        <v>38404</v>
      </c>
      <c r="M82" s="109">
        <f t="shared" si="25"/>
        <v>38404</v>
      </c>
      <c r="N82" s="110">
        <v>0</v>
      </c>
      <c r="O82" s="77">
        <f>$E82*VLOOKUP($A82,Allocators,9)</f>
        <v>17740</v>
      </c>
      <c r="P82" s="77">
        <f t="shared" si="26"/>
        <v>17740</v>
      </c>
    </row>
    <row r="83" spans="1:16" ht="14.25" customHeight="1">
      <c r="A83" s="82">
        <v>8</v>
      </c>
      <c r="B83" s="106"/>
      <c r="C83" s="77" t="s">
        <v>510</v>
      </c>
      <c r="D83" s="77"/>
      <c r="E83" s="78">
        <f>+Data!H475</f>
        <v>17266</v>
      </c>
      <c r="F83" s="77">
        <v>0</v>
      </c>
      <c r="G83" s="77">
        <v>0</v>
      </c>
      <c r="H83" s="77">
        <f>$E83*VLOOKUP($A83,Allocators,7)</f>
        <v>0</v>
      </c>
      <c r="I83" s="78">
        <f t="shared" si="24"/>
        <v>0</v>
      </c>
      <c r="J83" s="77">
        <v>0</v>
      </c>
      <c r="K83" s="77">
        <v>0</v>
      </c>
      <c r="L83" s="77">
        <f>$E83*VLOOKUP($A83,Allocators,8)</f>
        <v>11768</v>
      </c>
      <c r="M83" s="109">
        <f t="shared" si="25"/>
        <v>11768</v>
      </c>
      <c r="N83" s="110">
        <v>0</v>
      </c>
      <c r="O83" s="77">
        <f>$E83*VLOOKUP($A83,Allocators,9)</f>
        <v>5498</v>
      </c>
      <c r="P83" s="77">
        <f t="shared" si="26"/>
        <v>5498</v>
      </c>
    </row>
    <row r="84" spans="1:16" ht="14.25" customHeight="1">
      <c r="A84" s="82">
        <v>9</v>
      </c>
      <c r="B84" s="106"/>
      <c r="C84" s="77" t="s">
        <v>511</v>
      </c>
      <c r="D84" s="77"/>
      <c r="E84" s="78">
        <f>+Data!J476</f>
        <v>47504</v>
      </c>
      <c r="F84" s="77">
        <f>$E84*VLOOKUP($A84,Allocators,7)</f>
        <v>37586</v>
      </c>
      <c r="G84" s="77">
        <v>0</v>
      </c>
      <c r="H84" s="77">
        <v>0</v>
      </c>
      <c r="I84" s="78">
        <f t="shared" si="24"/>
        <v>37586</v>
      </c>
      <c r="J84" s="77">
        <f>$E84*VLOOKUP($A84,Allocators,8)</f>
        <v>9918</v>
      </c>
      <c r="K84" s="77">
        <v>0</v>
      </c>
      <c r="L84" s="77">
        <v>0</v>
      </c>
      <c r="M84" s="109">
        <f t="shared" si="25"/>
        <v>9918</v>
      </c>
      <c r="N84" s="110">
        <v>0</v>
      </c>
      <c r="O84" s="77">
        <v>0</v>
      </c>
      <c r="P84" s="77">
        <f t="shared" si="26"/>
        <v>0</v>
      </c>
    </row>
    <row r="85" spans="1:16" ht="14.25" customHeight="1">
      <c r="A85" s="82">
        <v>9</v>
      </c>
      <c r="B85" s="106"/>
      <c r="C85" s="77" t="s">
        <v>512</v>
      </c>
      <c r="D85" s="77"/>
      <c r="E85" s="78">
        <f>+Data!K476</f>
        <v>15164</v>
      </c>
      <c r="F85" s="77">
        <v>0</v>
      </c>
      <c r="G85" s="77">
        <f>$E85*VLOOKUP($A85,Allocators,7)</f>
        <v>11998</v>
      </c>
      <c r="H85" s="77">
        <v>0</v>
      </c>
      <c r="I85" s="78">
        <f t="shared" si="24"/>
        <v>11998</v>
      </c>
      <c r="J85" s="77">
        <v>0</v>
      </c>
      <c r="K85" s="77">
        <f>$E85*VLOOKUP($A85,Allocators,8)</f>
        <v>3166</v>
      </c>
      <c r="L85" s="77">
        <v>0</v>
      </c>
      <c r="M85" s="109">
        <f t="shared" si="25"/>
        <v>3166</v>
      </c>
      <c r="N85" s="110">
        <v>0</v>
      </c>
      <c r="O85" s="77">
        <v>0</v>
      </c>
      <c r="P85" s="77">
        <f t="shared" si="26"/>
        <v>0</v>
      </c>
    </row>
    <row r="86" spans="1:16" ht="14.25" customHeight="1">
      <c r="A86" s="82">
        <v>9</v>
      </c>
      <c r="B86" s="106"/>
      <c r="C86" s="77" t="s">
        <v>513</v>
      </c>
      <c r="D86" s="283"/>
      <c r="E86" s="78">
        <f>+Data!I476</f>
        <v>701141</v>
      </c>
      <c r="F86" s="77">
        <v>0</v>
      </c>
      <c r="G86" s="77">
        <v>0</v>
      </c>
      <c r="H86" s="77">
        <f>$E86*VLOOKUP($A86,Allocators,7)</f>
        <v>554757</v>
      </c>
      <c r="I86" s="78">
        <f t="shared" si="24"/>
        <v>554757</v>
      </c>
      <c r="J86" s="77">
        <v>0</v>
      </c>
      <c r="K86" s="77">
        <v>0</v>
      </c>
      <c r="L86" s="77">
        <f>$E86*VLOOKUP($A86,Allocators,8)</f>
        <v>146384</v>
      </c>
      <c r="M86" s="109">
        <f t="shared" si="25"/>
        <v>146384</v>
      </c>
      <c r="N86" s="110">
        <v>0</v>
      </c>
      <c r="O86" s="77">
        <f>$E86*VLOOKUP($A86,Allocators,9)</f>
        <v>0</v>
      </c>
      <c r="P86" s="77">
        <f t="shared" si="26"/>
        <v>0</v>
      </c>
    </row>
    <row r="87" spans="1:16" ht="14.25" customHeight="1">
      <c r="A87" s="82"/>
      <c r="B87" s="106"/>
      <c r="C87" s="107" t="s">
        <v>514</v>
      </c>
      <c r="D87" s="284"/>
      <c r="E87" s="108">
        <f aca="true" t="shared" si="27" ref="E87:M87">SUM(E79:E86)</f>
        <v>4952639</v>
      </c>
      <c r="F87" s="107">
        <f t="shared" si="27"/>
        <v>397402</v>
      </c>
      <c r="G87" s="107">
        <f t="shared" si="27"/>
        <v>326245</v>
      </c>
      <c r="H87" s="107">
        <f t="shared" si="27"/>
        <v>3099668</v>
      </c>
      <c r="I87" s="108">
        <f t="shared" si="27"/>
        <v>3823315</v>
      </c>
      <c r="J87" s="107">
        <f t="shared" si="27"/>
        <v>189897</v>
      </c>
      <c r="K87" s="107">
        <f t="shared" si="27"/>
        <v>61863</v>
      </c>
      <c r="L87" s="107">
        <f t="shared" si="27"/>
        <v>510936</v>
      </c>
      <c r="M87" s="107">
        <f t="shared" si="27"/>
        <v>762696</v>
      </c>
      <c r="N87" s="253">
        <f>SUM(N79:N86)</f>
        <v>343390</v>
      </c>
      <c r="O87" s="107">
        <f>SUM(O79:O86)</f>
        <v>23238</v>
      </c>
      <c r="P87" s="107">
        <f>SUM(P79:P86)</f>
        <v>366628</v>
      </c>
    </row>
    <row r="88" spans="1:16" ht="14.25" customHeight="1">
      <c r="A88" s="82"/>
      <c r="B88" s="106"/>
      <c r="C88" s="77"/>
      <c r="D88" s="77"/>
      <c r="E88" s="78"/>
      <c r="F88" s="77"/>
      <c r="G88" s="77"/>
      <c r="H88" s="77"/>
      <c r="I88" s="78"/>
      <c r="J88" s="77"/>
      <c r="K88" s="77"/>
      <c r="L88" s="77"/>
      <c r="M88" s="109"/>
      <c r="N88" s="110"/>
      <c r="O88" s="77"/>
      <c r="P88" s="77"/>
    </row>
    <row r="89" spans="1:16" ht="14.25" customHeight="1">
      <c r="A89" s="82"/>
      <c r="B89" s="106"/>
      <c r="C89" s="77"/>
      <c r="D89" s="77"/>
      <c r="E89" s="78"/>
      <c r="F89" s="77"/>
      <c r="G89" s="77"/>
      <c r="H89" s="77"/>
      <c r="I89" s="78"/>
      <c r="J89" s="77"/>
      <c r="K89" s="77"/>
      <c r="L89" s="77"/>
      <c r="M89" s="109"/>
      <c r="N89" s="110"/>
      <c r="O89" s="77"/>
      <c r="P89" s="77"/>
    </row>
    <row r="90" spans="1:16" ht="14.25" customHeight="1">
      <c r="A90" s="82"/>
      <c r="B90" s="285" t="s">
        <v>93</v>
      </c>
      <c r="C90" s="77" t="s">
        <v>465</v>
      </c>
      <c r="D90" s="77"/>
      <c r="E90" s="78"/>
      <c r="F90" s="77"/>
      <c r="G90" s="77"/>
      <c r="H90" s="77"/>
      <c r="I90" s="78"/>
      <c r="J90" s="77"/>
      <c r="K90" s="77"/>
      <c r="L90" s="77"/>
      <c r="M90" s="109"/>
      <c r="N90" s="110"/>
      <c r="O90" s="77"/>
      <c r="P90" s="77"/>
    </row>
    <row r="91" spans="1:16" ht="14.25" customHeight="1">
      <c r="A91" s="82">
        <v>99</v>
      </c>
      <c r="B91" s="106"/>
      <c r="C91" s="77" t="s">
        <v>506</v>
      </c>
      <c r="D91" s="77"/>
      <c r="E91" s="78">
        <f>+I91+M91+P91</f>
        <v>20921987</v>
      </c>
      <c r="F91" s="77">
        <f>+Data!J477</f>
        <v>10041555</v>
      </c>
      <c r="G91" s="77">
        <f>+Data!K477</f>
        <v>5535251</v>
      </c>
      <c r="H91" s="77">
        <f>+Data!I477</f>
        <v>5345181</v>
      </c>
      <c r="I91" s="78">
        <f aca="true" t="shared" si="28" ref="I91:I98">SUM(F91:H91)</f>
        <v>20921987</v>
      </c>
      <c r="J91" s="77">
        <v>0</v>
      </c>
      <c r="K91" s="77">
        <v>0</v>
      </c>
      <c r="L91" s="77">
        <v>0</v>
      </c>
      <c r="M91" s="109">
        <f aca="true" t="shared" si="29" ref="M91:M98">SUM(J91:L91)</f>
        <v>0</v>
      </c>
      <c r="N91" s="110">
        <v>0</v>
      </c>
      <c r="O91" s="77">
        <v>0</v>
      </c>
      <c r="P91" s="77">
        <f aca="true" t="shared" si="30" ref="P91:P98">SUM(N91:O91)</f>
        <v>0</v>
      </c>
    </row>
    <row r="92" spans="1:16" ht="14.25" customHeight="1">
      <c r="A92" s="82">
        <v>99</v>
      </c>
      <c r="B92" s="106"/>
      <c r="C92" s="77" t="s">
        <v>507</v>
      </c>
      <c r="D92" s="283"/>
      <c r="E92" s="78">
        <f>+I92+M92+P92</f>
        <v>3714534</v>
      </c>
      <c r="F92" s="77">
        <v>0</v>
      </c>
      <c r="G92" s="77">
        <v>0</v>
      </c>
      <c r="H92" s="77">
        <v>0</v>
      </c>
      <c r="I92" s="78">
        <f t="shared" si="28"/>
        <v>0</v>
      </c>
      <c r="J92" s="77">
        <f>+Data!J478</f>
        <v>2584858</v>
      </c>
      <c r="K92" s="77">
        <f>+Data!K478</f>
        <v>761532</v>
      </c>
      <c r="L92" s="77">
        <f>+Data!I478</f>
        <v>368144</v>
      </c>
      <c r="M92" s="109">
        <f t="shared" si="29"/>
        <v>3714534</v>
      </c>
      <c r="N92" s="110">
        <v>0</v>
      </c>
      <c r="O92" s="77">
        <v>0</v>
      </c>
      <c r="P92" s="77">
        <f t="shared" si="30"/>
        <v>0</v>
      </c>
    </row>
    <row r="93" spans="1:16" ht="14.25" customHeight="1">
      <c r="A93" s="82">
        <v>99</v>
      </c>
      <c r="B93" s="106"/>
      <c r="C93" s="77" t="s">
        <v>508</v>
      </c>
      <c r="D93" s="283"/>
      <c r="E93" s="78">
        <f>+I93+M93+P93</f>
        <v>43834</v>
      </c>
      <c r="F93" s="77">
        <v>0</v>
      </c>
      <c r="G93" s="77">
        <v>0</v>
      </c>
      <c r="H93" s="77">
        <v>0</v>
      </c>
      <c r="I93" s="78">
        <f t="shared" si="28"/>
        <v>0</v>
      </c>
      <c r="J93" s="77">
        <v>0</v>
      </c>
      <c r="K93" s="77">
        <v>0</v>
      </c>
      <c r="L93" s="77">
        <v>0</v>
      </c>
      <c r="M93" s="109">
        <f t="shared" si="29"/>
        <v>0</v>
      </c>
      <c r="N93" s="110">
        <f>+Data!J479</f>
        <v>43834</v>
      </c>
      <c r="O93" s="77">
        <f>+Data!I479</f>
        <v>0</v>
      </c>
      <c r="P93" s="77">
        <f t="shared" si="30"/>
        <v>43834</v>
      </c>
    </row>
    <row r="94" spans="1:16" ht="14.25" customHeight="1">
      <c r="A94" s="82">
        <v>7</v>
      </c>
      <c r="B94" s="106"/>
      <c r="C94" s="77" t="s">
        <v>509</v>
      </c>
      <c r="D94" s="283"/>
      <c r="E94" s="78">
        <f>+Data!H480</f>
        <v>554036</v>
      </c>
      <c r="F94" s="77">
        <v>0</v>
      </c>
      <c r="G94" s="77">
        <v>0</v>
      </c>
      <c r="H94" s="77">
        <f>$E94*VLOOKUP($A94,Allocators,7)</f>
        <v>398684</v>
      </c>
      <c r="I94" s="78">
        <f t="shared" si="28"/>
        <v>398684</v>
      </c>
      <c r="J94" s="77">
        <v>0</v>
      </c>
      <c r="K94" s="77">
        <v>0</v>
      </c>
      <c r="L94" s="77">
        <f>$E94*VLOOKUP($A94,Allocators,8)</f>
        <v>106264</v>
      </c>
      <c r="M94" s="109">
        <f t="shared" si="29"/>
        <v>106264</v>
      </c>
      <c r="N94" s="110">
        <v>0</v>
      </c>
      <c r="O94" s="77">
        <f>$E94*VLOOKUP($A94,Allocators,9)</f>
        <v>49088</v>
      </c>
      <c r="P94" s="77">
        <f t="shared" si="30"/>
        <v>49088</v>
      </c>
    </row>
    <row r="95" spans="1:16" ht="14.25" customHeight="1">
      <c r="A95" s="82">
        <v>8</v>
      </c>
      <c r="B95" s="106"/>
      <c r="C95" s="77" t="s">
        <v>510</v>
      </c>
      <c r="D95" s="77"/>
      <c r="E95" s="78">
        <f>+Data!H481</f>
        <v>0</v>
      </c>
      <c r="F95" s="77">
        <v>0</v>
      </c>
      <c r="G95" s="77">
        <v>0</v>
      </c>
      <c r="H95" s="77">
        <f>$E95*VLOOKUP($A95,Allocators,7)</f>
        <v>0</v>
      </c>
      <c r="I95" s="78">
        <f t="shared" si="28"/>
        <v>0</v>
      </c>
      <c r="J95" s="77">
        <v>0</v>
      </c>
      <c r="K95" s="77">
        <v>0</v>
      </c>
      <c r="L95" s="77">
        <f>$E95*VLOOKUP($A95,Allocators,8)</f>
        <v>0</v>
      </c>
      <c r="M95" s="109">
        <f t="shared" si="29"/>
        <v>0</v>
      </c>
      <c r="N95" s="110">
        <v>0</v>
      </c>
      <c r="O95" s="77">
        <f>$E95*VLOOKUP($A95,Allocators,9)</f>
        <v>0</v>
      </c>
      <c r="P95" s="77">
        <f t="shared" si="30"/>
        <v>0</v>
      </c>
    </row>
    <row r="96" spans="1:16" ht="14.25" customHeight="1">
      <c r="A96" s="82">
        <v>9</v>
      </c>
      <c r="B96" s="106"/>
      <c r="C96" s="77" t="s">
        <v>511</v>
      </c>
      <c r="D96" s="77"/>
      <c r="E96" s="78">
        <f>+Data!J482</f>
        <v>316068</v>
      </c>
      <c r="F96" s="77">
        <f>$E96*VLOOKUP($A96,Allocators,7)</f>
        <v>250079</v>
      </c>
      <c r="G96" s="77">
        <v>0</v>
      </c>
      <c r="H96" s="77">
        <v>0</v>
      </c>
      <c r="I96" s="78">
        <f t="shared" si="28"/>
        <v>250079</v>
      </c>
      <c r="J96" s="77">
        <f>$E96*VLOOKUP($A96,Allocators,8)</f>
        <v>65989</v>
      </c>
      <c r="K96" s="77">
        <v>0</v>
      </c>
      <c r="L96" s="77">
        <v>0</v>
      </c>
      <c r="M96" s="109">
        <f t="shared" si="29"/>
        <v>65989</v>
      </c>
      <c r="N96" s="110">
        <v>0</v>
      </c>
      <c r="O96" s="77">
        <v>0</v>
      </c>
      <c r="P96" s="77">
        <f t="shared" si="30"/>
        <v>0</v>
      </c>
    </row>
    <row r="97" spans="1:16" ht="14.25" customHeight="1">
      <c r="A97" s="82">
        <v>9</v>
      </c>
      <c r="B97" s="106"/>
      <c r="C97" s="77" t="s">
        <v>512</v>
      </c>
      <c r="D97" s="77"/>
      <c r="E97" s="78">
        <f>+Data!K482</f>
        <v>234212</v>
      </c>
      <c r="F97" s="77">
        <v>0</v>
      </c>
      <c r="G97" s="77">
        <f>$E97*VLOOKUP($A97,Allocators,7)</f>
        <v>185313</v>
      </c>
      <c r="H97" s="77">
        <v>0</v>
      </c>
      <c r="I97" s="78">
        <f t="shared" si="28"/>
        <v>185313</v>
      </c>
      <c r="J97" s="77">
        <v>0</v>
      </c>
      <c r="K97" s="77">
        <f>$E97*VLOOKUP($A97,Allocators,8)</f>
        <v>48899</v>
      </c>
      <c r="L97" s="77">
        <v>0</v>
      </c>
      <c r="M97" s="109">
        <f t="shared" si="29"/>
        <v>48899</v>
      </c>
      <c r="N97" s="110">
        <v>0</v>
      </c>
      <c r="O97" s="77">
        <v>0</v>
      </c>
      <c r="P97" s="77">
        <f t="shared" si="30"/>
        <v>0</v>
      </c>
    </row>
    <row r="98" spans="1:16" ht="14.25" customHeight="1">
      <c r="A98" s="82">
        <v>9</v>
      </c>
      <c r="B98" s="106"/>
      <c r="C98" s="77" t="s">
        <v>513</v>
      </c>
      <c r="D98" s="283"/>
      <c r="E98" s="78">
        <f>+Data!I482</f>
        <v>398842</v>
      </c>
      <c r="F98" s="77">
        <v>0</v>
      </c>
      <c r="G98" s="77">
        <v>0</v>
      </c>
      <c r="H98" s="77">
        <f>$E98*VLOOKUP($A98,Allocators,7)</f>
        <v>315572</v>
      </c>
      <c r="I98" s="78">
        <f t="shared" si="28"/>
        <v>315572</v>
      </c>
      <c r="J98" s="77">
        <v>0</v>
      </c>
      <c r="K98" s="77">
        <v>0</v>
      </c>
      <c r="L98" s="77">
        <f>$E98*VLOOKUP($A98,Allocators,8)</f>
        <v>83270</v>
      </c>
      <c r="M98" s="109">
        <f t="shared" si="29"/>
        <v>83270</v>
      </c>
      <c r="N98" s="110">
        <v>0</v>
      </c>
      <c r="O98" s="77">
        <f>$E98*VLOOKUP($A98,Allocators,9)</f>
        <v>0</v>
      </c>
      <c r="P98" s="77">
        <f t="shared" si="30"/>
        <v>0</v>
      </c>
    </row>
    <row r="99" spans="1:16" ht="14.25" customHeight="1">
      <c r="A99" s="82"/>
      <c r="B99" s="106"/>
      <c r="C99" s="107" t="s">
        <v>514</v>
      </c>
      <c r="D99" s="284"/>
      <c r="E99" s="108">
        <f aca="true" t="shared" si="31" ref="E99:M99">SUM(E91:E98)</f>
        <v>26183513</v>
      </c>
      <c r="F99" s="107">
        <f t="shared" si="31"/>
        <v>10291634</v>
      </c>
      <c r="G99" s="107">
        <f t="shared" si="31"/>
        <v>5720564</v>
      </c>
      <c r="H99" s="107">
        <f t="shared" si="31"/>
        <v>6059437</v>
      </c>
      <c r="I99" s="108">
        <f t="shared" si="31"/>
        <v>22071635</v>
      </c>
      <c r="J99" s="107">
        <f t="shared" si="31"/>
        <v>2650847</v>
      </c>
      <c r="K99" s="107">
        <f t="shared" si="31"/>
        <v>810431</v>
      </c>
      <c r="L99" s="107">
        <f t="shared" si="31"/>
        <v>557678</v>
      </c>
      <c r="M99" s="107">
        <f t="shared" si="31"/>
        <v>4018956</v>
      </c>
      <c r="N99" s="253">
        <f>SUM(N91:N98)</f>
        <v>43834</v>
      </c>
      <c r="O99" s="107">
        <f>SUM(O91:O98)</f>
        <v>49088</v>
      </c>
      <c r="P99" s="107">
        <f>SUM(P91:P98)</f>
        <v>92922</v>
      </c>
    </row>
    <row r="100" spans="1:16" ht="14.25" customHeight="1">
      <c r="A100" s="82"/>
      <c r="B100" s="106"/>
      <c r="C100" s="77"/>
      <c r="D100" s="77"/>
      <c r="E100" s="78"/>
      <c r="F100" s="77"/>
      <c r="G100" s="77"/>
      <c r="H100" s="77"/>
      <c r="I100" s="78"/>
      <c r="J100" s="77"/>
      <c r="K100" s="77"/>
      <c r="L100" s="77"/>
      <c r="M100" s="109"/>
      <c r="N100" s="110"/>
      <c r="O100" s="77"/>
      <c r="P100" s="77"/>
    </row>
    <row r="101" spans="1:16" ht="14.25" customHeight="1">
      <c r="A101" s="82"/>
      <c r="B101" s="106"/>
      <c r="C101" s="77"/>
      <c r="D101" s="77"/>
      <c r="E101" s="78"/>
      <c r="F101" s="77"/>
      <c r="G101" s="77"/>
      <c r="H101" s="77"/>
      <c r="I101" s="78"/>
      <c r="J101" s="77"/>
      <c r="K101" s="77"/>
      <c r="L101" s="77"/>
      <c r="M101" s="109"/>
      <c r="N101" s="110"/>
      <c r="O101" s="77"/>
      <c r="P101" s="77"/>
    </row>
    <row r="102" spans="1:16" ht="14.25" customHeight="1">
      <c r="A102" s="82"/>
      <c r="B102" s="105" t="s">
        <v>94</v>
      </c>
      <c r="C102" s="77" t="s">
        <v>516</v>
      </c>
      <c r="D102" s="77"/>
      <c r="E102" s="78"/>
      <c r="F102" s="77"/>
      <c r="G102" s="77"/>
      <c r="H102" s="77"/>
      <c r="I102" s="78"/>
      <c r="J102" s="77"/>
      <c r="K102" s="77"/>
      <c r="L102" s="77"/>
      <c r="M102" s="109"/>
      <c r="N102" s="110"/>
      <c r="O102" s="77"/>
      <c r="P102" s="77"/>
    </row>
    <row r="103" spans="1:16" ht="14.25" customHeight="1">
      <c r="A103" s="82">
        <v>99</v>
      </c>
      <c r="B103" s="106"/>
      <c r="C103" s="77" t="s">
        <v>506</v>
      </c>
      <c r="D103" s="77"/>
      <c r="E103" s="78">
        <f>+I103+M103+P103</f>
        <v>33048082</v>
      </c>
      <c r="F103" s="77">
        <f>+Data!J483</f>
        <v>4461948</v>
      </c>
      <c r="G103" s="77">
        <f>+Data!K483</f>
        <v>1836589</v>
      </c>
      <c r="H103" s="77">
        <f>+Data!I483</f>
        <v>26749545</v>
      </c>
      <c r="I103" s="78">
        <f aca="true" t="shared" si="32" ref="I103:I110">SUM(F103:H103)</f>
        <v>33048082</v>
      </c>
      <c r="J103" s="77">
        <v>0</v>
      </c>
      <c r="K103" s="77">
        <v>0</v>
      </c>
      <c r="L103" s="77">
        <v>0</v>
      </c>
      <c r="M103" s="109">
        <f aca="true" t="shared" si="33" ref="M103:M110">SUM(J103:L103)</f>
        <v>0</v>
      </c>
      <c r="N103" s="110">
        <v>0</v>
      </c>
      <c r="O103" s="77">
        <v>0</v>
      </c>
      <c r="P103" s="77">
        <f aca="true" t="shared" si="34" ref="P103:P110">SUM(N103:O103)</f>
        <v>0</v>
      </c>
    </row>
    <row r="104" spans="1:16" ht="14.25" customHeight="1">
      <c r="A104" s="82">
        <v>99</v>
      </c>
      <c r="B104" s="106"/>
      <c r="C104" s="77" t="s">
        <v>507</v>
      </c>
      <c r="D104" s="283"/>
      <c r="E104" s="78">
        <f>+I104+M104+P104</f>
        <v>719183</v>
      </c>
      <c r="F104" s="77">
        <v>0</v>
      </c>
      <c r="G104" s="77">
        <v>0</v>
      </c>
      <c r="H104" s="77">
        <v>0</v>
      </c>
      <c r="I104" s="78">
        <f t="shared" si="32"/>
        <v>0</v>
      </c>
      <c r="J104" s="77">
        <f>+Data!J484</f>
        <v>420569</v>
      </c>
      <c r="K104" s="77">
        <f>+Data!K484</f>
        <v>298614</v>
      </c>
      <c r="L104" s="77">
        <f>+Data!I484</f>
        <v>0</v>
      </c>
      <c r="M104" s="109">
        <f t="shared" si="33"/>
        <v>719183</v>
      </c>
      <c r="N104" s="110">
        <v>0</v>
      </c>
      <c r="O104" s="77">
        <v>0</v>
      </c>
      <c r="P104" s="77">
        <f t="shared" si="34"/>
        <v>0</v>
      </c>
    </row>
    <row r="105" spans="1:16" ht="14.25" customHeight="1">
      <c r="A105" s="82">
        <v>99</v>
      </c>
      <c r="B105" s="106"/>
      <c r="C105" s="77" t="s">
        <v>508</v>
      </c>
      <c r="D105" s="283"/>
      <c r="E105" s="78">
        <f>+I105+M105+P105</f>
        <v>477092</v>
      </c>
      <c r="F105" s="77">
        <v>0</v>
      </c>
      <c r="G105" s="77">
        <v>0</v>
      </c>
      <c r="H105" s="77">
        <v>0</v>
      </c>
      <c r="I105" s="78">
        <f t="shared" si="32"/>
        <v>0</v>
      </c>
      <c r="J105" s="77">
        <v>0</v>
      </c>
      <c r="K105" s="77">
        <v>0</v>
      </c>
      <c r="L105" s="77">
        <v>0</v>
      </c>
      <c r="M105" s="109">
        <f t="shared" si="33"/>
        <v>0</v>
      </c>
      <c r="N105" s="110">
        <f>+Data!J485</f>
        <v>477508</v>
      </c>
      <c r="O105" s="77">
        <f>+Data!I485</f>
        <v>-416</v>
      </c>
      <c r="P105" s="77">
        <f t="shared" si="34"/>
        <v>477092</v>
      </c>
    </row>
    <row r="106" spans="1:16" ht="14.25" customHeight="1">
      <c r="A106" s="82">
        <v>7</v>
      </c>
      <c r="B106" s="106"/>
      <c r="C106" s="77" t="s">
        <v>509</v>
      </c>
      <c r="D106" s="283"/>
      <c r="E106" s="78">
        <f>+Data!H486</f>
        <v>6439200</v>
      </c>
      <c r="F106" s="77">
        <v>0</v>
      </c>
      <c r="G106" s="77">
        <v>0</v>
      </c>
      <c r="H106" s="77">
        <f>$E106*VLOOKUP($A106,Allocators,7)</f>
        <v>4633648</v>
      </c>
      <c r="I106" s="78">
        <f t="shared" si="32"/>
        <v>4633648</v>
      </c>
      <c r="J106" s="77">
        <v>0</v>
      </c>
      <c r="K106" s="77">
        <v>0</v>
      </c>
      <c r="L106" s="77">
        <f>$E106*VLOOKUP($A106,Allocators,8)</f>
        <v>1235039</v>
      </c>
      <c r="M106" s="109">
        <f t="shared" si="33"/>
        <v>1235039</v>
      </c>
      <c r="N106" s="110">
        <v>0</v>
      </c>
      <c r="O106" s="77">
        <f>$E106*VLOOKUP($A106,Allocators,9)</f>
        <v>570513</v>
      </c>
      <c r="P106" s="77">
        <f t="shared" si="34"/>
        <v>570513</v>
      </c>
    </row>
    <row r="107" spans="1:16" ht="14.25" customHeight="1">
      <c r="A107" s="82">
        <v>8</v>
      </c>
      <c r="B107" s="106"/>
      <c r="C107" s="77" t="s">
        <v>510</v>
      </c>
      <c r="D107" s="77"/>
      <c r="E107" s="78">
        <f>+Data!H487</f>
        <v>951505</v>
      </c>
      <c r="F107" s="77">
        <v>0</v>
      </c>
      <c r="G107" s="77">
        <v>0</v>
      </c>
      <c r="H107" s="77">
        <f>$E107*VLOOKUP($A107,Allocators,7)</f>
        <v>0</v>
      </c>
      <c r="I107" s="78">
        <f t="shared" si="32"/>
        <v>0</v>
      </c>
      <c r="J107" s="77">
        <v>0</v>
      </c>
      <c r="K107" s="77">
        <v>0</v>
      </c>
      <c r="L107" s="77">
        <f>$E107*VLOOKUP($A107,Allocators,8)</f>
        <v>648517</v>
      </c>
      <c r="M107" s="109">
        <f t="shared" si="33"/>
        <v>648517</v>
      </c>
      <c r="N107" s="110">
        <v>0</v>
      </c>
      <c r="O107" s="77">
        <f>$E107*VLOOKUP($A107,Allocators,9)</f>
        <v>302988</v>
      </c>
      <c r="P107" s="77">
        <f t="shared" si="34"/>
        <v>302988</v>
      </c>
    </row>
    <row r="108" spans="1:16" ht="14.25" customHeight="1">
      <c r="A108" s="82">
        <v>9</v>
      </c>
      <c r="B108" s="106"/>
      <c r="C108" s="77" t="s">
        <v>511</v>
      </c>
      <c r="D108" s="77"/>
      <c r="E108" s="78">
        <f>+Data!J488</f>
        <v>450006</v>
      </c>
      <c r="F108" s="77">
        <f>$E108*VLOOKUP($A108,Allocators,7)</f>
        <v>356054</v>
      </c>
      <c r="G108" s="77">
        <v>0</v>
      </c>
      <c r="H108" s="77">
        <v>0</v>
      </c>
      <c r="I108" s="78">
        <f t="shared" si="32"/>
        <v>356054</v>
      </c>
      <c r="J108" s="77">
        <f>$E108*VLOOKUP($A108,Allocators,8)</f>
        <v>93952</v>
      </c>
      <c r="K108" s="77">
        <v>0</v>
      </c>
      <c r="L108" s="77">
        <v>0</v>
      </c>
      <c r="M108" s="109">
        <f t="shared" si="33"/>
        <v>93952</v>
      </c>
      <c r="N108" s="110">
        <v>0</v>
      </c>
      <c r="O108" s="77">
        <v>0</v>
      </c>
      <c r="P108" s="77">
        <f t="shared" si="34"/>
        <v>0</v>
      </c>
    </row>
    <row r="109" spans="1:16" ht="14.25" customHeight="1">
      <c r="A109" s="82">
        <v>9</v>
      </c>
      <c r="B109" s="106"/>
      <c r="C109" s="77" t="s">
        <v>512</v>
      </c>
      <c r="D109" s="77"/>
      <c r="E109" s="78">
        <f>+Data!K488</f>
        <v>80952</v>
      </c>
      <c r="F109" s="77">
        <v>0</v>
      </c>
      <c r="G109" s="77">
        <f>$E109*VLOOKUP($A109,Allocators,7)</f>
        <v>64051</v>
      </c>
      <c r="H109" s="77">
        <v>0</v>
      </c>
      <c r="I109" s="78">
        <f t="shared" si="32"/>
        <v>64051</v>
      </c>
      <c r="J109" s="77">
        <v>0</v>
      </c>
      <c r="K109" s="77">
        <f>$E109*VLOOKUP($A109,Allocators,8)</f>
        <v>16901</v>
      </c>
      <c r="L109" s="77">
        <v>0</v>
      </c>
      <c r="M109" s="109">
        <f t="shared" si="33"/>
        <v>16901</v>
      </c>
      <c r="N109" s="110">
        <v>0</v>
      </c>
      <c r="O109" s="77">
        <v>0</v>
      </c>
      <c r="P109" s="77">
        <f t="shared" si="34"/>
        <v>0</v>
      </c>
    </row>
    <row r="110" spans="1:16" ht="14.25" customHeight="1">
      <c r="A110" s="82">
        <v>9</v>
      </c>
      <c r="B110" s="106"/>
      <c r="C110" s="77" t="s">
        <v>513</v>
      </c>
      <c r="D110" s="283"/>
      <c r="E110" s="78">
        <f>+Data!I488</f>
        <v>7362441</v>
      </c>
      <c r="F110" s="77">
        <v>0</v>
      </c>
      <c r="G110" s="77">
        <v>0</v>
      </c>
      <c r="H110" s="77">
        <f>$E110*VLOOKUP($A110,Allocators,7)</f>
        <v>5825311</v>
      </c>
      <c r="I110" s="78">
        <f t="shared" si="32"/>
        <v>5825311</v>
      </c>
      <c r="J110" s="77">
        <v>0</v>
      </c>
      <c r="K110" s="77">
        <v>0</v>
      </c>
      <c r="L110" s="77">
        <f>$E110*VLOOKUP($A110,Allocators,8)</f>
        <v>1537130</v>
      </c>
      <c r="M110" s="109">
        <f t="shared" si="33"/>
        <v>1537130</v>
      </c>
      <c r="N110" s="110">
        <v>0</v>
      </c>
      <c r="O110" s="77">
        <f>$E110*VLOOKUP($A110,Allocators,9)</f>
        <v>0</v>
      </c>
      <c r="P110" s="77">
        <f t="shared" si="34"/>
        <v>0</v>
      </c>
    </row>
    <row r="111" spans="1:16" ht="14.25" customHeight="1">
      <c r="A111" s="82"/>
      <c r="B111" s="106"/>
      <c r="C111" s="107" t="s">
        <v>514</v>
      </c>
      <c r="D111" s="284"/>
      <c r="E111" s="108">
        <f aca="true" t="shared" si="35" ref="E111:M111">SUM(E103:E110)</f>
        <v>49528461</v>
      </c>
      <c r="F111" s="107">
        <f t="shared" si="35"/>
        <v>4818002</v>
      </c>
      <c r="G111" s="107">
        <f t="shared" si="35"/>
        <v>1900640</v>
      </c>
      <c r="H111" s="107">
        <f t="shared" si="35"/>
        <v>37208504</v>
      </c>
      <c r="I111" s="108">
        <f t="shared" si="35"/>
        <v>43927146</v>
      </c>
      <c r="J111" s="107">
        <f t="shared" si="35"/>
        <v>514521</v>
      </c>
      <c r="K111" s="107">
        <f t="shared" si="35"/>
        <v>315515</v>
      </c>
      <c r="L111" s="107">
        <f t="shared" si="35"/>
        <v>3420686</v>
      </c>
      <c r="M111" s="107">
        <f t="shared" si="35"/>
        <v>4250722</v>
      </c>
      <c r="N111" s="253">
        <f>SUM(N103:N110)</f>
        <v>477508</v>
      </c>
      <c r="O111" s="107">
        <f>SUM(O103:O110)</f>
        <v>873085</v>
      </c>
      <c r="P111" s="107">
        <f>SUM(P103:P110)</f>
        <v>1350593</v>
      </c>
    </row>
    <row r="112" spans="1:16" ht="14.25" customHeight="1">
      <c r="A112" s="82"/>
      <c r="B112" s="106"/>
      <c r="C112" s="77"/>
      <c r="D112" s="77"/>
      <c r="E112" s="78"/>
      <c r="F112" s="77"/>
      <c r="G112" s="77"/>
      <c r="H112" s="77"/>
      <c r="I112" s="78"/>
      <c r="J112" s="77"/>
      <c r="K112" s="77"/>
      <c r="L112" s="77"/>
      <c r="M112" s="109"/>
      <c r="N112" s="110"/>
      <c r="O112" s="77"/>
      <c r="P112" s="77"/>
    </row>
    <row r="113" spans="1:16" ht="14.25" customHeight="1">
      <c r="A113" s="82"/>
      <c r="B113" s="106"/>
      <c r="C113" s="77"/>
      <c r="D113" s="77"/>
      <c r="E113" s="78"/>
      <c r="F113" s="77"/>
      <c r="G113" s="77"/>
      <c r="H113" s="77"/>
      <c r="I113" s="78"/>
      <c r="J113" s="77"/>
      <c r="K113" s="77"/>
      <c r="L113" s="77"/>
      <c r="M113" s="109"/>
      <c r="N113" s="110"/>
      <c r="O113" s="77"/>
      <c r="P113" s="77"/>
    </row>
    <row r="114" spans="1:16" ht="14.25" customHeight="1">
      <c r="A114" s="82"/>
      <c r="B114" s="105">
        <v>398000</v>
      </c>
      <c r="C114" s="77" t="s">
        <v>467</v>
      </c>
      <c r="D114" s="77"/>
      <c r="E114" s="78"/>
      <c r="F114" s="77"/>
      <c r="G114" s="77"/>
      <c r="H114" s="77"/>
      <c r="I114" s="78"/>
      <c r="J114" s="77"/>
      <c r="K114" s="77"/>
      <c r="L114" s="77"/>
      <c r="M114" s="109"/>
      <c r="N114" s="110"/>
      <c r="O114" s="77"/>
      <c r="P114" s="77"/>
    </row>
    <row r="115" spans="1:16" ht="14.25" customHeight="1">
      <c r="A115" s="82">
        <v>99</v>
      </c>
      <c r="B115" s="83"/>
      <c r="C115" s="77" t="s">
        <v>506</v>
      </c>
      <c r="D115" s="77"/>
      <c r="E115" s="78">
        <f>+I115+M115+P115</f>
        <v>3905</v>
      </c>
      <c r="F115" s="77">
        <f>+Data!J489</f>
        <v>0</v>
      </c>
      <c r="G115" s="77">
        <f>+Data!K489</f>
        <v>2785</v>
      </c>
      <c r="H115" s="77">
        <f>+Data!I489</f>
        <v>1120</v>
      </c>
      <c r="I115" s="78">
        <f aca="true" t="shared" si="36" ref="I115:I122">SUM(F115:H115)</f>
        <v>3905</v>
      </c>
      <c r="J115" s="77">
        <v>0</v>
      </c>
      <c r="K115" s="77">
        <v>0</v>
      </c>
      <c r="L115" s="77">
        <v>0</v>
      </c>
      <c r="M115" s="109">
        <f aca="true" t="shared" si="37" ref="M115:M122">SUM(J115:L115)</f>
        <v>0</v>
      </c>
      <c r="N115" s="110">
        <v>0</v>
      </c>
      <c r="O115" s="77">
        <v>0</v>
      </c>
      <c r="P115" s="77">
        <f aca="true" t="shared" si="38" ref="P115:P122">SUM(N115:O115)</f>
        <v>0</v>
      </c>
    </row>
    <row r="116" spans="1:16" ht="14.25" customHeight="1">
      <c r="A116" s="82">
        <v>99</v>
      </c>
      <c r="B116" s="83"/>
      <c r="C116" s="77" t="s">
        <v>507</v>
      </c>
      <c r="D116" s="283"/>
      <c r="E116" s="78">
        <f>+I116+M116+P116</f>
        <v>31332</v>
      </c>
      <c r="F116" s="77">
        <v>0</v>
      </c>
      <c r="G116" s="77">
        <v>0</v>
      </c>
      <c r="H116" s="77">
        <v>0</v>
      </c>
      <c r="I116" s="78">
        <f t="shared" si="36"/>
        <v>0</v>
      </c>
      <c r="J116" s="77">
        <f>+Data!J490</f>
        <v>0</v>
      </c>
      <c r="K116" s="77">
        <f>+Data!K490</f>
        <v>0</v>
      </c>
      <c r="L116" s="77">
        <f>+Data!I490</f>
        <v>31332</v>
      </c>
      <c r="M116" s="109">
        <f t="shared" si="37"/>
        <v>31332</v>
      </c>
      <c r="N116" s="110">
        <v>0</v>
      </c>
      <c r="O116" s="77">
        <v>0</v>
      </c>
      <c r="P116" s="77">
        <f t="shared" si="38"/>
        <v>0</v>
      </c>
    </row>
    <row r="117" spans="1:16" ht="14.25" customHeight="1">
      <c r="A117" s="82">
        <v>99</v>
      </c>
      <c r="B117" s="83"/>
      <c r="C117" s="77" t="s">
        <v>508</v>
      </c>
      <c r="D117" s="283"/>
      <c r="E117" s="78">
        <f>+I117+M117+P117</f>
        <v>0</v>
      </c>
      <c r="F117" s="77">
        <v>0</v>
      </c>
      <c r="G117" s="77">
        <v>0</v>
      </c>
      <c r="H117" s="77">
        <v>0</v>
      </c>
      <c r="I117" s="78">
        <f t="shared" si="36"/>
        <v>0</v>
      </c>
      <c r="J117" s="77">
        <v>0</v>
      </c>
      <c r="K117" s="77">
        <v>0</v>
      </c>
      <c r="L117" s="77">
        <v>0</v>
      </c>
      <c r="M117" s="109">
        <f t="shared" si="37"/>
        <v>0</v>
      </c>
      <c r="N117" s="110">
        <f>+Data!J491</f>
        <v>0</v>
      </c>
      <c r="O117" s="77">
        <f>+Data!I491</f>
        <v>0</v>
      </c>
      <c r="P117" s="77">
        <f t="shared" si="38"/>
        <v>0</v>
      </c>
    </row>
    <row r="118" spans="1:16" ht="14.25" customHeight="1">
      <c r="A118" s="82">
        <v>7</v>
      </c>
      <c r="B118" s="83"/>
      <c r="C118" s="77" t="s">
        <v>509</v>
      </c>
      <c r="D118" s="283"/>
      <c r="E118" s="78">
        <f>+Data!H492</f>
        <v>625485</v>
      </c>
      <c r="F118" s="77">
        <v>0</v>
      </c>
      <c r="G118" s="77">
        <v>0</v>
      </c>
      <c r="H118" s="77">
        <f>$E118*VLOOKUP($A118,Allocators,7)</f>
        <v>450099</v>
      </c>
      <c r="I118" s="78">
        <f t="shared" si="36"/>
        <v>450099</v>
      </c>
      <c r="J118" s="77">
        <v>0</v>
      </c>
      <c r="K118" s="77">
        <v>0</v>
      </c>
      <c r="L118" s="77">
        <f>$E118*VLOOKUP($A118,Allocators,8)</f>
        <v>119968</v>
      </c>
      <c r="M118" s="109">
        <f t="shared" si="37"/>
        <v>119968</v>
      </c>
      <c r="N118" s="110">
        <v>0</v>
      </c>
      <c r="O118" s="77">
        <f>$E118*VLOOKUP($A118,Allocators,9)</f>
        <v>55418</v>
      </c>
      <c r="P118" s="77">
        <f t="shared" si="38"/>
        <v>55418</v>
      </c>
    </row>
    <row r="119" spans="1:16" ht="14.25" customHeight="1">
      <c r="A119" s="82">
        <v>8</v>
      </c>
      <c r="B119" s="83"/>
      <c r="C119" s="77" t="s">
        <v>510</v>
      </c>
      <c r="D119" s="77"/>
      <c r="E119" s="78">
        <f>+Data!H493</f>
        <v>0</v>
      </c>
      <c r="F119" s="77">
        <v>0</v>
      </c>
      <c r="G119" s="77">
        <v>0</v>
      </c>
      <c r="H119" s="77">
        <f>$E119*VLOOKUP($A119,Allocators,7)</f>
        <v>0</v>
      </c>
      <c r="I119" s="78">
        <f t="shared" si="36"/>
        <v>0</v>
      </c>
      <c r="J119" s="77">
        <v>0</v>
      </c>
      <c r="K119" s="77">
        <v>0</v>
      </c>
      <c r="L119" s="77">
        <f>$E119*VLOOKUP($A119,Allocators,8)</f>
        <v>0</v>
      </c>
      <c r="M119" s="109">
        <f t="shared" si="37"/>
        <v>0</v>
      </c>
      <c r="N119" s="110">
        <v>0</v>
      </c>
      <c r="O119" s="77">
        <f>$E119*VLOOKUP($A119,Allocators,9)</f>
        <v>0</v>
      </c>
      <c r="P119" s="77">
        <f t="shared" si="38"/>
        <v>0</v>
      </c>
    </row>
    <row r="120" spans="1:16" ht="14.25" customHeight="1">
      <c r="A120" s="82">
        <v>9</v>
      </c>
      <c r="B120" s="83"/>
      <c r="C120" s="77" t="s">
        <v>511</v>
      </c>
      <c r="D120" s="77"/>
      <c r="E120" s="78">
        <f>+Data!J494</f>
        <v>5389</v>
      </c>
      <c r="F120" s="77">
        <f>$E120*VLOOKUP($A120,Allocators,7)</f>
        <v>4264</v>
      </c>
      <c r="G120" s="77">
        <v>0</v>
      </c>
      <c r="H120" s="77">
        <v>0</v>
      </c>
      <c r="I120" s="78">
        <f t="shared" si="36"/>
        <v>4264</v>
      </c>
      <c r="J120" s="77">
        <f>$E120*VLOOKUP($A120,Allocators,8)</f>
        <v>1125</v>
      </c>
      <c r="K120" s="77">
        <v>0</v>
      </c>
      <c r="L120" s="77">
        <v>0</v>
      </c>
      <c r="M120" s="109">
        <f t="shared" si="37"/>
        <v>1125</v>
      </c>
      <c r="N120" s="110">
        <v>0</v>
      </c>
      <c r="O120" s="77">
        <v>0</v>
      </c>
      <c r="P120" s="77">
        <f t="shared" si="38"/>
        <v>0</v>
      </c>
    </row>
    <row r="121" spans="1:16" ht="14.25" customHeight="1">
      <c r="A121" s="82">
        <v>9</v>
      </c>
      <c r="B121" s="83"/>
      <c r="C121" s="77" t="s">
        <v>512</v>
      </c>
      <c r="D121" s="77"/>
      <c r="E121" s="78">
        <f>+Data!K494</f>
        <v>7173</v>
      </c>
      <c r="F121" s="77">
        <v>0</v>
      </c>
      <c r="G121" s="77">
        <f>$E121*VLOOKUP($A121,Allocators,7)</f>
        <v>5675</v>
      </c>
      <c r="H121" s="77">
        <v>0</v>
      </c>
      <c r="I121" s="78">
        <f t="shared" si="36"/>
        <v>5675</v>
      </c>
      <c r="J121" s="77">
        <v>0</v>
      </c>
      <c r="K121" s="77">
        <f>$E121*VLOOKUP($A121,Allocators,8)</f>
        <v>1498</v>
      </c>
      <c r="L121" s="77">
        <v>0</v>
      </c>
      <c r="M121" s="109">
        <f t="shared" si="37"/>
        <v>1498</v>
      </c>
      <c r="N121" s="110">
        <v>0</v>
      </c>
      <c r="O121" s="77">
        <v>0</v>
      </c>
      <c r="P121" s="77">
        <f t="shared" si="38"/>
        <v>0</v>
      </c>
    </row>
    <row r="122" spans="1:16" ht="14.25" customHeight="1">
      <c r="A122" s="82">
        <v>9</v>
      </c>
      <c r="B122" s="83"/>
      <c r="C122" s="77" t="s">
        <v>513</v>
      </c>
      <c r="D122" s="283"/>
      <c r="E122" s="78">
        <f>+Data!I494</f>
        <v>8183</v>
      </c>
      <c r="F122" s="77">
        <v>0</v>
      </c>
      <c r="G122" s="77">
        <v>0</v>
      </c>
      <c r="H122" s="77">
        <f>$E122*VLOOKUP($A122,Allocators,7)</f>
        <v>6475</v>
      </c>
      <c r="I122" s="78">
        <f t="shared" si="36"/>
        <v>6475</v>
      </c>
      <c r="J122" s="77">
        <v>0</v>
      </c>
      <c r="K122" s="77">
        <v>0</v>
      </c>
      <c r="L122" s="77">
        <f>$E122*VLOOKUP($A122,Allocators,8)</f>
        <v>1708</v>
      </c>
      <c r="M122" s="109">
        <f t="shared" si="37"/>
        <v>1708</v>
      </c>
      <c r="N122" s="110">
        <v>0</v>
      </c>
      <c r="O122" s="77">
        <f>$E122*VLOOKUP($A122,Allocators,9)</f>
        <v>0</v>
      </c>
      <c r="P122" s="77">
        <f t="shared" si="38"/>
        <v>0</v>
      </c>
    </row>
    <row r="123" spans="1:16" ht="14.25" customHeight="1">
      <c r="A123" s="82"/>
      <c r="B123" s="83"/>
      <c r="C123" s="107" t="s">
        <v>514</v>
      </c>
      <c r="D123" s="284"/>
      <c r="E123" s="108">
        <f aca="true" t="shared" si="39" ref="E123:M123">SUM(E115:E122)</f>
        <v>681467</v>
      </c>
      <c r="F123" s="107">
        <f t="shared" si="39"/>
        <v>4264</v>
      </c>
      <c r="G123" s="107">
        <f t="shared" si="39"/>
        <v>8460</v>
      </c>
      <c r="H123" s="107">
        <f t="shared" si="39"/>
        <v>457694</v>
      </c>
      <c r="I123" s="108">
        <f t="shared" si="39"/>
        <v>470418</v>
      </c>
      <c r="J123" s="107">
        <f t="shared" si="39"/>
        <v>1125</v>
      </c>
      <c r="K123" s="107">
        <f t="shared" si="39"/>
        <v>1498</v>
      </c>
      <c r="L123" s="107">
        <f t="shared" si="39"/>
        <v>153008</v>
      </c>
      <c r="M123" s="107">
        <f t="shared" si="39"/>
        <v>155631</v>
      </c>
      <c r="N123" s="253">
        <f>SUM(N115:N122)</f>
        <v>0</v>
      </c>
      <c r="O123" s="107">
        <f>SUM(O115:O122)</f>
        <v>55418</v>
      </c>
      <c r="P123" s="107">
        <f>SUM(P115:P122)</f>
        <v>55418</v>
      </c>
    </row>
    <row r="124" spans="1:16" ht="14.25" customHeight="1">
      <c r="A124" s="82"/>
      <c r="B124" s="83"/>
      <c r="C124" s="77"/>
      <c r="D124" s="77"/>
      <c r="E124" s="78"/>
      <c r="F124" s="77"/>
      <c r="G124" s="77"/>
      <c r="H124" s="77"/>
      <c r="I124" s="78"/>
      <c r="J124" s="77"/>
      <c r="K124" s="77"/>
      <c r="L124" s="77"/>
      <c r="M124" s="109"/>
      <c r="N124" s="110"/>
      <c r="O124" s="77"/>
      <c r="P124" s="77"/>
    </row>
    <row r="125" spans="1:16" ht="14.25" customHeight="1">
      <c r="A125" s="82"/>
      <c r="B125" s="83"/>
      <c r="C125" s="107" t="s">
        <v>468</v>
      </c>
      <c r="D125" s="107"/>
      <c r="E125" s="108">
        <f aca="true" t="shared" si="40" ref="E125:M125">E15+E27+E39+E51+E63+E75+E87+E99+E111+E123</f>
        <v>180544059</v>
      </c>
      <c r="F125" s="107">
        <f t="shared" si="40"/>
        <v>23101292</v>
      </c>
      <c r="G125" s="107">
        <f t="shared" si="40"/>
        <v>15002250</v>
      </c>
      <c r="H125" s="107">
        <f t="shared" si="40"/>
        <v>99750269</v>
      </c>
      <c r="I125" s="108">
        <f t="shared" si="40"/>
        <v>137853811</v>
      </c>
      <c r="J125" s="107">
        <f t="shared" si="40"/>
        <v>8277609</v>
      </c>
      <c r="K125" s="107">
        <f t="shared" si="40"/>
        <v>3477416</v>
      </c>
      <c r="L125" s="107">
        <f t="shared" si="40"/>
        <v>18270160</v>
      </c>
      <c r="M125" s="107">
        <f t="shared" si="40"/>
        <v>30025185</v>
      </c>
      <c r="N125" s="253">
        <f>N15+N27+N39+N51+N63+N75+N87+N99+N111+N123</f>
        <v>6223174</v>
      </c>
      <c r="O125" s="107">
        <f>O15+O27+O39+O51+O63+O75+O87+O99+O111+O123</f>
        <v>6441890</v>
      </c>
      <c r="P125" s="107">
        <f>P15+P27+P39+P51+P63+P75+P87+P99+P111+P123</f>
        <v>12665064</v>
      </c>
    </row>
    <row r="126" spans="1:16" ht="14.25" customHeight="1">
      <c r="A126" s="82"/>
      <c r="B126" s="83"/>
      <c r="C126" s="77"/>
      <c r="D126" s="77"/>
      <c r="E126" s="77"/>
      <c r="F126" s="77"/>
      <c r="G126" s="77"/>
      <c r="H126" s="77"/>
      <c r="I126" s="77"/>
      <c r="J126" s="77"/>
      <c r="K126" s="77"/>
      <c r="L126" s="77"/>
      <c r="M126" s="77"/>
      <c r="N126" s="77"/>
      <c r="O126" s="77"/>
      <c r="P126" s="77"/>
    </row>
    <row r="127" spans="1:16" ht="14.25" customHeight="1">
      <c r="A127" s="82"/>
      <c r="B127" s="83"/>
      <c r="C127" s="77"/>
      <c r="D127" s="77"/>
      <c r="E127" s="77"/>
      <c r="F127" s="77"/>
      <c r="G127" s="77"/>
      <c r="H127" s="77"/>
      <c r="I127" s="77"/>
      <c r="J127" s="77"/>
      <c r="K127" s="77"/>
      <c r="L127" s="77"/>
      <c r="M127" s="77"/>
      <c r="N127" s="77"/>
      <c r="O127" s="77"/>
      <c r="P127" s="77"/>
    </row>
    <row r="128" spans="1:16" ht="14.25" customHeight="1">
      <c r="A128" s="77" t="s">
        <v>341</v>
      </c>
      <c r="B128" s="115"/>
      <c r="C128" s="116"/>
      <c r="D128" s="116"/>
      <c r="E128" s="286"/>
      <c r="F128" s="117"/>
      <c r="G128" s="117"/>
      <c r="H128" s="117"/>
      <c r="I128" s="117"/>
      <c r="J128" s="77"/>
      <c r="K128" s="77"/>
      <c r="L128" s="77"/>
      <c r="M128" s="77"/>
      <c r="N128" s="77"/>
      <c r="O128" s="77"/>
      <c r="P128" s="77"/>
    </row>
    <row r="129" spans="1:16" ht="14.25" customHeight="1">
      <c r="A129" s="82" t="s">
        <v>735</v>
      </c>
      <c r="B129" s="116">
        <v>7</v>
      </c>
      <c r="C129" s="287" t="str">
        <f>+'E-ALL'!C39</f>
        <v>Elec/Gas North/Oregon 4-Factor</v>
      </c>
      <c r="D129" s="116"/>
      <c r="E129" s="286"/>
      <c r="F129" s="117">
        <f>VLOOKUP(B129,Allocators,6)</f>
        <v>1</v>
      </c>
      <c r="G129" s="117"/>
      <c r="H129" s="117">
        <f>VLOOKUP(B129,Allocators,7)</f>
        <v>0.7196</v>
      </c>
      <c r="I129" s="117"/>
      <c r="J129" s="77"/>
      <c r="K129" s="77"/>
      <c r="L129" s="117">
        <f>VLOOKUP(B129,Allocators,8)</f>
        <v>0.1918</v>
      </c>
      <c r="M129" s="77"/>
      <c r="N129" s="77"/>
      <c r="O129" s="117">
        <f>VLOOKUP(B129,Allocators,9)</f>
        <v>0.0886</v>
      </c>
      <c r="P129" s="77"/>
    </row>
    <row r="130" spans="1:16" ht="14.25" customHeight="1">
      <c r="A130" s="82" t="s">
        <v>735</v>
      </c>
      <c r="B130" s="116">
        <v>8</v>
      </c>
      <c r="C130" s="287" t="str">
        <f>+'E-ALL'!C62</f>
        <v>Gas North/Oregon 4-Factor</v>
      </c>
      <c r="D130" s="116"/>
      <c r="E130" s="286"/>
      <c r="F130" s="117">
        <f>VLOOKUP(B130,Allocators,6)</f>
        <v>1</v>
      </c>
      <c r="G130" s="117"/>
      <c r="H130" s="117">
        <f>VLOOKUP(B130,Allocators,7)</f>
        <v>0</v>
      </c>
      <c r="I130" s="117"/>
      <c r="J130" s="77"/>
      <c r="K130" s="77"/>
      <c r="L130" s="117">
        <f>VLOOKUP(B130,Allocators,8)</f>
        <v>0.68157</v>
      </c>
      <c r="M130" s="77"/>
      <c r="N130" s="77"/>
      <c r="O130" s="117">
        <f>VLOOKUP(B130,Allocators,9)</f>
        <v>0.31843</v>
      </c>
      <c r="P130" s="77"/>
    </row>
    <row r="131" spans="1:16" ht="14.25" customHeight="1">
      <c r="A131" s="82" t="s">
        <v>735</v>
      </c>
      <c r="B131" s="116">
        <v>9</v>
      </c>
      <c r="C131" s="287" t="str">
        <f>+'E-ALL'!C85</f>
        <v>Elec/Gas North 4-Factor</v>
      </c>
      <c r="D131" s="116"/>
      <c r="E131" s="286"/>
      <c r="F131" s="117">
        <f>VLOOKUP(B131,Allocators,6)</f>
        <v>1</v>
      </c>
      <c r="G131" s="117"/>
      <c r="H131" s="117">
        <f>VLOOKUP(B131,Allocators,7)</f>
        <v>0.79122</v>
      </c>
      <c r="I131" s="117"/>
      <c r="J131" s="77"/>
      <c r="K131" s="77"/>
      <c r="L131" s="117">
        <f>VLOOKUP(B131,Allocators,8)</f>
        <v>0.20878</v>
      </c>
      <c r="M131" s="77"/>
      <c r="N131" s="77"/>
      <c r="O131" s="117">
        <f>VLOOKUP(B131,Allocators,9)</f>
        <v>0</v>
      </c>
      <c r="P131" s="77"/>
    </row>
    <row r="132" spans="1:16" ht="14.25" customHeight="1">
      <c r="A132" s="82" t="s">
        <v>735</v>
      </c>
      <c r="B132" s="116">
        <v>99</v>
      </c>
      <c r="C132" s="287" t="s">
        <v>906</v>
      </c>
      <c r="D132" s="116"/>
      <c r="E132" s="286"/>
      <c r="F132" s="117">
        <v>0</v>
      </c>
      <c r="G132" s="117"/>
      <c r="H132" s="117">
        <v>0</v>
      </c>
      <c r="I132" s="117"/>
      <c r="J132" s="77"/>
      <c r="K132" s="77"/>
      <c r="L132" s="117">
        <v>0</v>
      </c>
      <c r="M132" s="77"/>
      <c r="N132" s="77"/>
      <c r="O132" s="117">
        <v>0</v>
      </c>
      <c r="P132" s="77"/>
    </row>
    <row r="133" spans="1:16" ht="14.25" customHeight="1">
      <c r="A133" s="82"/>
      <c r="B133" s="83"/>
      <c r="C133" s="77"/>
      <c r="D133" s="77"/>
      <c r="E133" s="77"/>
      <c r="F133" s="77"/>
      <c r="G133" s="77"/>
      <c r="H133" s="77"/>
      <c r="I133" s="77"/>
      <c r="J133" s="77"/>
      <c r="K133" s="77"/>
      <c r="L133" s="77"/>
      <c r="M133" s="77"/>
      <c r="N133" s="77"/>
      <c r="O133" s="77"/>
      <c r="P133" s="77"/>
    </row>
    <row r="134" spans="1:16" ht="14.25" customHeight="1">
      <c r="A134" s="82"/>
      <c r="B134" s="83"/>
      <c r="C134" s="77"/>
      <c r="D134" s="77"/>
      <c r="E134" s="77"/>
      <c r="F134" s="77"/>
      <c r="G134" s="77"/>
      <c r="H134" s="77"/>
      <c r="I134" s="77"/>
      <c r="J134" s="77"/>
      <c r="K134" s="77"/>
      <c r="L134" s="77"/>
      <c r="M134" s="77"/>
      <c r="N134" s="77"/>
      <c r="O134" s="77"/>
      <c r="P134" s="77"/>
    </row>
  </sheetData>
  <mergeCells count="3">
    <mergeCell ref="F4:I4"/>
    <mergeCell ref="J4:M4"/>
    <mergeCell ref="N4:P4"/>
  </mergeCells>
  <printOptions/>
  <pageMargins left="0.51" right="0.48" top="0.75" bottom="1" header="0.5" footer="0.5"/>
  <pageSetup fitToHeight="3" fitToWidth="2" horizontalDpi="300" verticalDpi="300" orientation="landscape" scale="61" r:id="rId1"/>
  <headerFooter alignWithMargins="0">
    <oddHeader>&amp;LAVISTA UTILITIES&amp;CRESULTS OF OPERATIONS&amp;RRUN DATE: &amp;D</oddHeader>
    <oddFooter>&amp;CPage &amp;P</oddFooter>
  </headerFooter>
  <rowBreaks count="2" manualBreakCount="2">
    <brk id="52" max="16" man="1"/>
    <brk id="99" max="255" man="1"/>
  </rowBreaks>
</worksheet>
</file>

<file path=xl/worksheets/sheet18.xml><?xml version="1.0" encoding="utf-8"?>
<worksheet xmlns="http://schemas.openxmlformats.org/spreadsheetml/2006/main" xmlns:r="http://schemas.openxmlformats.org/officeDocument/2006/relationships">
  <sheetPr codeName="Sheet15">
    <pageSetUpPr fitToPage="1"/>
  </sheetPr>
  <dimension ref="A1:R40"/>
  <sheetViews>
    <sheetView workbookViewId="0" topLeftCell="A1">
      <pane xSplit="5" ySplit="7" topLeftCell="F8" activePane="bottomRight" state="frozen"/>
      <selection pane="topLeft" activeCell="H8" sqref="H8"/>
      <selection pane="topRight" activeCell="H8" sqref="H8"/>
      <selection pane="bottomLeft" activeCell="H8" sqref="H8"/>
      <selection pane="bottomRight" activeCell="O29" sqref="O29"/>
    </sheetView>
  </sheetViews>
  <sheetFormatPr defaultColWidth="9.00390625" defaultRowHeight="16.5" customHeight="1"/>
  <cols>
    <col min="1" max="1" width="9.375" style="84" customWidth="1"/>
    <col min="2" max="2" width="9.875" style="84" customWidth="1"/>
    <col min="3" max="3" width="15.875" style="84" customWidth="1"/>
    <col min="4" max="5" width="14.875" style="84" customWidth="1"/>
    <col min="6" max="8" width="16.875" style="84" customWidth="1"/>
    <col min="9" max="9" width="17.875" style="84" bestFit="1" customWidth="1"/>
    <col min="10" max="14" width="15.875" style="84" customWidth="1"/>
    <col min="15" max="16384" width="9.375" style="84" customWidth="1"/>
  </cols>
  <sheetData>
    <row r="1" spans="1:18" ht="16.5" customHeight="1">
      <c r="A1" s="82"/>
      <c r="B1" s="83"/>
      <c r="C1" s="77"/>
      <c r="D1" s="77"/>
      <c r="E1" s="77"/>
      <c r="F1" s="77"/>
      <c r="G1" s="77"/>
      <c r="H1" s="77"/>
      <c r="I1" s="77"/>
      <c r="J1" s="77"/>
      <c r="K1" s="77"/>
      <c r="L1" s="77"/>
      <c r="M1" s="77"/>
      <c r="N1" s="77"/>
      <c r="O1" s="77"/>
      <c r="P1" s="77"/>
      <c r="Q1" s="77"/>
      <c r="R1" s="77"/>
    </row>
    <row r="2" spans="1:18" ht="16.5" customHeight="1">
      <c r="A2" s="85" t="s">
        <v>472</v>
      </c>
      <c r="B2" s="86"/>
      <c r="C2" s="87"/>
      <c r="D2" s="88"/>
      <c r="E2" s="89" t="s">
        <v>725</v>
      </c>
      <c r="F2" s="77"/>
      <c r="G2" s="77"/>
      <c r="H2" s="77"/>
      <c r="I2" s="77"/>
      <c r="J2" s="77"/>
      <c r="K2" s="77"/>
      <c r="L2" s="77"/>
      <c r="M2" s="77"/>
      <c r="N2" s="77"/>
      <c r="R2" s="77"/>
    </row>
    <row r="3" spans="1:18" ht="16.5" customHeight="1">
      <c r="A3" s="110" t="s">
        <v>517</v>
      </c>
      <c r="B3" s="83"/>
      <c r="D3" s="92"/>
      <c r="E3" s="93" t="str">
        <f>"C-ADP-"&amp;months&amp;rbcalc</f>
        <v>C-ADP-12A</v>
      </c>
      <c r="F3" s="77"/>
      <c r="G3" s="77"/>
      <c r="H3" s="77"/>
      <c r="I3" s="77"/>
      <c r="J3" s="77"/>
      <c r="K3" s="77"/>
      <c r="L3" s="77"/>
      <c r="M3" s="77"/>
      <c r="N3" s="77"/>
      <c r="R3" s="77"/>
    </row>
    <row r="4" spans="1:18" ht="16.5" customHeight="1">
      <c r="A4" s="91" t="str">
        <f>tp_heading</f>
        <v>For Twelve Months Ended September 30, 2008</v>
      </c>
      <c r="D4" s="92"/>
      <c r="E4" s="238"/>
      <c r="F4" s="77"/>
      <c r="G4" s="77"/>
      <c r="H4" s="77"/>
      <c r="I4" s="77"/>
      <c r="J4" s="77"/>
      <c r="K4" s="77"/>
      <c r="L4" s="77"/>
      <c r="M4" s="77"/>
      <c r="N4" s="77"/>
      <c r="R4" s="77"/>
    </row>
    <row r="5" spans="1:9" ht="16.5" customHeight="1">
      <c r="A5" s="94" t="str">
        <f>rbcalc_heading</f>
        <v>Average of Monthly Averages Basis</v>
      </c>
      <c r="B5" s="95"/>
      <c r="C5" s="96"/>
      <c r="D5" s="97"/>
      <c r="E5" s="98"/>
      <c r="F5" s="82"/>
      <c r="G5" s="82"/>
      <c r="H5" s="82"/>
      <c r="I5" s="82"/>
    </row>
    <row r="6" spans="1:9" ht="16.5" customHeight="1">
      <c r="A6" s="99" t="s">
        <v>2</v>
      </c>
      <c r="B6" s="100" t="s">
        <v>815</v>
      </c>
      <c r="C6" s="99" t="s">
        <v>844</v>
      </c>
      <c r="D6" s="96"/>
      <c r="E6" s="96"/>
      <c r="F6" s="99" t="s">
        <v>518</v>
      </c>
      <c r="G6" s="99" t="s">
        <v>519</v>
      </c>
      <c r="H6" s="99" t="s">
        <v>255</v>
      </c>
      <c r="I6" s="99" t="s">
        <v>256</v>
      </c>
    </row>
    <row r="7" spans="1:9" ht="16.5" customHeight="1">
      <c r="A7" s="82"/>
      <c r="B7" s="83"/>
      <c r="F7" s="77"/>
      <c r="G7" s="77"/>
      <c r="H7" s="77"/>
      <c r="I7" s="77"/>
    </row>
    <row r="8" spans="1:9" ht="16.5" customHeight="1">
      <c r="A8" s="82"/>
      <c r="B8" s="83"/>
      <c r="C8" s="77" t="s">
        <v>598</v>
      </c>
      <c r="F8" s="77"/>
      <c r="G8" s="77"/>
      <c r="H8" s="77"/>
      <c r="I8" s="77"/>
    </row>
    <row r="9" spans="1:9" ht="16.5" customHeight="1">
      <c r="A9" s="82">
        <v>99</v>
      </c>
      <c r="B9" s="106" t="s">
        <v>137</v>
      </c>
      <c r="C9" s="77" t="s">
        <v>506</v>
      </c>
      <c r="F9" s="77">
        <f>-Data!H343</f>
        <v>37696213</v>
      </c>
      <c r="G9" s="77">
        <f>+F9</f>
        <v>37696213</v>
      </c>
      <c r="H9" s="77">
        <v>0</v>
      </c>
      <c r="I9" s="77">
        <v>0</v>
      </c>
    </row>
    <row r="10" spans="1:9" ht="16.5" customHeight="1">
      <c r="A10" s="82">
        <v>99</v>
      </c>
      <c r="B10" s="106" t="s">
        <v>137</v>
      </c>
      <c r="C10" s="77" t="s">
        <v>327</v>
      </c>
      <c r="F10" s="77">
        <f>IF(E3="C-ADP-12A",SFAS143AccDep!F85,SFAS143AccDep!F83)</f>
        <v>-82721</v>
      </c>
      <c r="G10" s="77">
        <f>+F10</f>
        <v>-82721</v>
      </c>
      <c r="H10" s="77">
        <v>0</v>
      </c>
      <c r="I10" s="77">
        <v>0</v>
      </c>
    </row>
    <row r="11" spans="1:9" ht="16.5" customHeight="1">
      <c r="A11" s="82">
        <v>99</v>
      </c>
      <c r="B11" s="106" t="s">
        <v>137</v>
      </c>
      <c r="C11" s="77" t="s">
        <v>507</v>
      </c>
      <c r="F11" s="77">
        <f>-Data!H350</f>
        <v>3810493</v>
      </c>
      <c r="G11" s="77">
        <v>0</v>
      </c>
      <c r="H11" s="77">
        <f>+F11</f>
        <v>3810493</v>
      </c>
      <c r="I11" s="77">
        <v>0</v>
      </c>
    </row>
    <row r="12" spans="1:9" ht="16.5" customHeight="1">
      <c r="A12" s="82">
        <v>99</v>
      </c>
      <c r="B12" s="106" t="s">
        <v>137</v>
      </c>
      <c r="C12" s="77" t="s">
        <v>508</v>
      </c>
      <c r="F12" s="77">
        <f>-Data!H358</f>
        <v>1739066</v>
      </c>
      <c r="G12" s="77">
        <v>0</v>
      </c>
      <c r="H12" s="77">
        <v>0</v>
      </c>
      <c r="I12" s="77">
        <f>+F12</f>
        <v>1739066</v>
      </c>
    </row>
    <row r="13" spans="1:9" ht="16.5" customHeight="1">
      <c r="A13" s="82">
        <v>7</v>
      </c>
      <c r="B13" s="106" t="s">
        <v>137</v>
      </c>
      <c r="C13" s="77" t="s">
        <v>509</v>
      </c>
      <c r="F13" s="77">
        <f>-Data!H365</f>
        <v>9029092</v>
      </c>
      <c r="G13" s="77">
        <f aca="true" t="shared" si="0" ref="G13:G18">$F13*VLOOKUP($A13,Allocators,7)</f>
        <v>6497335</v>
      </c>
      <c r="H13" s="77">
        <f aca="true" t="shared" si="1" ref="H13:H18">$F13*VLOOKUP($A13,Allocators,8)</f>
        <v>1731780</v>
      </c>
      <c r="I13" s="77">
        <f aca="true" t="shared" si="2" ref="I13:I18">$F13*VLOOKUP($A13,Allocators,9)</f>
        <v>799978</v>
      </c>
    </row>
    <row r="14" spans="1:9" ht="16.5" customHeight="1">
      <c r="A14" s="82">
        <v>7</v>
      </c>
      <c r="B14" s="106" t="s">
        <v>137</v>
      </c>
      <c r="C14" s="288" t="s">
        <v>321</v>
      </c>
      <c r="D14" s="289"/>
      <c r="E14" s="289"/>
      <c r="F14" s="288">
        <f>IF(E3="C-ADP-12A",SFAS143AccDep!H85,SFAS143AccDep!H83)</f>
        <v>-329635</v>
      </c>
      <c r="G14" s="77">
        <f t="shared" si="0"/>
        <v>-237205</v>
      </c>
      <c r="H14" s="77">
        <f t="shared" si="1"/>
        <v>-63224</v>
      </c>
      <c r="I14" s="77">
        <f t="shared" si="2"/>
        <v>-29206</v>
      </c>
    </row>
    <row r="15" spans="1:9" ht="16.5" customHeight="1">
      <c r="A15" s="82">
        <v>7</v>
      </c>
      <c r="B15" s="106" t="s">
        <v>137</v>
      </c>
      <c r="C15" s="77" t="s">
        <v>261</v>
      </c>
      <c r="F15" s="77">
        <f>-Data!H367</f>
        <v>0</v>
      </c>
      <c r="G15" s="77">
        <f t="shared" si="0"/>
        <v>0</v>
      </c>
      <c r="H15" s="77">
        <f t="shared" si="1"/>
        <v>0</v>
      </c>
      <c r="I15" s="77">
        <f t="shared" si="2"/>
        <v>0</v>
      </c>
    </row>
    <row r="16" spans="1:9" ht="16.5" customHeight="1">
      <c r="A16" s="82">
        <v>7</v>
      </c>
      <c r="B16" s="106" t="s">
        <v>137</v>
      </c>
      <c r="C16" s="77" t="s">
        <v>454</v>
      </c>
      <c r="F16" s="77">
        <f>-Data!H368</f>
        <v>0</v>
      </c>
      <c r="G16" s="77">
        <f t="shared" si="0"/>
        <v>0</v>
      </c>
      <c r="H16" s="77">
        <f t="shared" si="1"/>
        <v>0</v>
      </c>
      <c r="I16" s="77">
        <f t="shared" si="2"/>
        <v>0</v>
      </c>
    </row>
    <row r="17" spans="1:9" ht="16.5" customHeight="1">
      <c r="A17" s="82">
        <v>8</v>
      </c>
      <c r="B17" s="106" t="s">
        <v>137</v>
      </c>
      <c r="C17" s="77" t="s">
        <v>510</v>
      </c>
      <c r="F17" s="77">
        <f>-Data!H374</f>
        <v>677436</v>
      </c>
      <c r="G17" s="77">
        <f t="shared" si="0"/>
        <v>0</v>
      </c>
      <c r="H17" s="77">
        <f t="shared" si="1"/>
        <v>461720</v>
      </c>
      <c r="I17" s="77">
        <f t="shared" si="2"/>
        <v>215716</v>
      </c>
    </row>
    <row r="18" spans="1:9" ht="16.5" customHeight="1">
      <c r="A18" s="82">
        <v>9</v>
      </c>
      <c r="B18" s="106" t="s">
        <v>137</v>
      </c>
      <c r="C18" s="77" t="s">
        <v>543</v>
      </c>
      <c r="F18" s="77">
        <f>-Data!H381</f>
        <v>14170477</v>
      </c>
      <c r="G18" s="77">
        <f t="shared" si="0"/>
        <v>11211965</v>
      </c>
      <c r="H18" s="77">
        <f t="shared" si="1"/>
        <v>2958512</v>
      </c>
      <c r="I18" s="77">
        <f t="shared" si="2"/>
        <v>0</v>
      </c>
    </row>
    <row r="19" spans="1:9" ht="16.5" customHeight="1">
      <c r="A19" s="82"/>
      <c r="B19" s="83"/>
      <c r="C19" s="77" t="s">
        <v>891</v>
      </c>
      <c r="F19" s="107">
        <f>SUM(F9:F18)</f>
        <v>66710421</v>
      </c>
      <c r="G19" s="107">
        <f>SUM(G9:G18)</f>
        <v>55085587</v>
      </c>
      <c r="H19" s="107">
        <f>SUM(H9:H18)</f>
        <v>8899281</v>
      </c>
      <c r="I19" s="107">
        <f>SUM(I9:I18)</f>
        <v>2725554</v>
      </c>
    </row>
    <row r="20" spans="1:9" ht="16.5" customHeight="1">
      <c r="A20" s="82"/>
      <c r="B20" s="83"/>
      <c r="C20" s="77"/>
      <c r="F20" s="77"/>
      <c r="G20" s="77"/>
      <c r="H20" s="77"/>
      <c r="I20" s="77"/>
    </row>
    <row r="21" spans="1:9" ht="16.5" customHeight="1">
      <c r="A21" s="82"/>
      <c r="B21" s="83"/>
      <c r="C21" s="77"/>
      <c r="F21" s="77"/>
      <c r="G21" s="77"/>
      <c r="H21" s="77"/>
      <c r="I21" s="77"/>
    </row>
    <row r="22" spans="1:9" ht="16.5" customHeight="1">
      <c r="A22" s="82"/>
      <c r="B22" s="83"/>
      <c r="C22" s="77" t="s">
        <v>597</v>
      </c>
      <c r="F22" s="77"/>
      <c r="G22" s="77"/>
      <c r="H22" s="77"/>
      <c r="I22" s="77"/>
    </row>
    <row r="23" spans="1:9" ht="16.5" customHeight="1">
      <c r="A23" s="82">
        <v>99</v>
      </c>
      <c r="B23" s="106" t="s">
        <v>138</v>
      </c>
      <c r="C23" s="77" t="s">
        <v>506</v>
      </c>
      <c r="F23" s="77">
        <f>-Data!H344</f>
        <v>5730926</v>
      </c>
      <c r="G23" s="77">
        <f>+F23</f>
        <v>5730926</v>
      </c>
      <c r="H23" s="77">
        <v>0</v>
      </c>
      <c r="I23" s="77">
        <v>0</v>
      </c>
    </row>
    <row r="24" spans="1:9" ht="16.5" customHeight="1">
      <c r="A24" s="82">
        <v>99</v>
      </c>
      <c r="B24" s="106" t="s">
        <v>138</v>
      </c>
      <c r="C24" s="77" t="s">
        <v>507</v>
      </c>
      <c r="F24" s="77">
        <f>-Data!H351</f>
        <v>601852</v>
      </c>
      <c r="G24" s="77">
        <v>0</v>
      </c>
      <c r="H24" s="77">
        <f>+F24</f>
        <v>601852</v>
      </c>
      <c r="I24" s="77">
        <v>0</v>
      </c>
    </row>
    <row r="25" spans="1:9" ht="16.5" customHeight="1">
      <c r="A25" s="82">
        <v>99</v>
      </c>
      <c r="B25" s="106" t="s">
        <v>138</v>
      </c>
      <c r="C25" s="77" t="s">
        <v>507</v>
      </c>
      <c r="F25" s="77">
        <f>-Data!H352</f>
        <v>0</v>
      </c>
      <c r="G25" s="77">
        <v>0</v>
      </c>
      <c r="H25" s="77">
        <f>+F25</f>
        <v>0</v>
      </c>
      <c r="I25" s="77">
        <v>0</v>
      </c>
    </row>
    <row r="26" spans="1:9" ht="16.5" customHeight="1">
      <c r="A26" s="82">
        <v>99</v>
      </c>
      <c r="B26" s="106" t="s">
        <v>138</v>
      </c>
      <c r="C26" s="77" t="s">
        <v>508</v>
      </c>
      <c r="F26" s="77">
        <f>-Data!H359</f>
        <v>836219</v>
      </c>
      <c r="G26" s="77">
        <v>0</v>
      </c>
      <c r="H26" s="77">
        <v>0</v>
      </c>
      <c r="I26" s="77">
        <f>+F26</f>
        <v>836219</v>
      </c>
    </row>
    <row r="27" spans="1:9" ht="16.5" customHeight="1">
      <c r="A27" s="82">
        <v>7</v>
      </c>
      <c r="B27" s="106" t="s">
        <v>138</v>
      </c>
      <c r="C27" s="77" t="s">
        <v>509</v>
      </c>
      <c r="F27" s="77">
        <f>-Data!H366</f>
        <v>22946</v>
      </c>
      <c r="G27" s="77">
        <f>$F27*VLOOKUP($A27,Allocators,7)</f>
        <v>16512</v>
      </c>
      <c r="H27" s="77">
        <f>$F27*VLOOKUP($A27,Allocators,8)</f>
        <v>4401</v>
      </c>
      <c r="I27" s="77">
        <f>$F27*VLOOKUP($A27,Allocators,9)</f>
        <v>2033</v>
      </c>
    </row>
    <row r="28" spans="1:9" ht="16.5" customHeight="1">
      <c r="A28" s="82">
        <v>8</v>
      </c>
      <c r="B28" s="106" t="s">
        <v>138</v>
      </c>
      <c r="C28" s="77" t="s">
        <v>510</v>
      </c>
      <c r="F28" s="77">
        <f>-Data!H375</f>
        <v>0</v>
      </c>
      <c r="G28" s="77">
        <f>$F28*VLOOKUP($A28,Allocators,7)</f>
        <v>0</v>
      </c>
      <c r="H28" s="77">
        <f>$F28*VLOOKUP($A28,Allocators,8)</f>
        <v>0</v>
      </c>
      <c r="I28" s="77">
        <f>$F28*VLOOKUP($A28,Allocators,9)</f>
        <v>0</v>
      </c>
    </row>
    <row r="29" spans="1:9" ht="16.5" customHeight="1">
      <c r="A29" s="82">
        <v>9</v>
      </c>
      <c r="B29" s="106" t="s">
        <v>138</v>
      </c>
      <c r="C29" s="77" t="s">
        <v>543</v>
      </c>
      <c r="F29" s="77">
        <f>-Data!H382</f>
        <v>625929</v>
      </c>
      <c r="G29" s="77">
        <f>$F29*VLOOKUP($A29,Allocators,7)</f>
        <v>495248</v>
      </c>
      <c r="H29" s="77">
        <f>$F29*VLOOKUP($A29,Allocators,8)</f>
        <v>130681</v>
      </c>
      <c r="I29" s="77">
        <f>$F29*VLOOKUP($A29,Allocators,9)</f>
        <v>0</v>
      </c>
    </row>
    <row r="30" spans="1:9" ht="16.5" customHeight="1">
      <c r="A30" s="82">
        <v>9</v>
      </c>
      <c r="B30" s="106" t="s">
        <v>138</v>
      </c>
      <c r="C30" s="77" t="s">
        <v>543</v>
      </c>
      <c r="F30" s="77">
        <f>-Data!H383</f>
        <v>0</v>
      </c>
      <c r="G30" s="77">
        <f>$F30*VLOOKUP($A30,Allocators,7)</f>
        <v>0</v>
      </c>
      <c r="H30" s="77">
        <f>$F30*VLOOKUP($A30,Allocators,8)</f>
        <v>0</v>
      </c>
      <c r="I30" s="77">
        <f>$F30*VLOOKUP($A30,Allocators,9)</f>
        <v>0</v>
      </c>
    </row>
    <row r="31" spans="1:9" ht="16.5" customHeight="1">
      <c r="A31" s="82"/>
      <c r="B31" s="83"/>
      <c r="C31" s="77" t="s">
        <v>891</v>
      </c>
      <c r="F31" s="107">
        <f>SUM(F23:F30)</f>
        <v>7817872</v>
      </c>
      <c r="G31" s="107">
        <f>SUM(G23:G30)</f>
        <v>6242686</v>
      </c>
      <c r="H31" s="107">
        <f>SUM(H23:H30)</f>
        <v>736934</v>
      </c>
      <c r="I31" s="107">
        <f>SUM(I23:I30)</f>
        <v>838252</v>
      </c>
    </row>
    <row r="32" spans="1:9" ht="16.5" customHeight="1">
      <c r="A32" s="82"/>
      <c r="B32" s="83"/>
      <c r="C32" s="77"/>
      <c r="F32" s="109"/>
      <c r="G32" s="109"/>
      <c r="H32" s="109"/>
      <c r="I32" s="109"/>
    </row>
    <row r="33" spans="1:9" ht="16.5" customHeight="1">
      <c r="A33" s="82"/>
      <c r="B33" s="83"/>
      <c r="C33" s="77"/>
      <c r="F33" s="109"/>
      <c r="G33" s="109"/>
      <c r="H33" s="109"/>
      <c r="I33" s="109"/>
    </row>
    <row r="34" spans="1:12" ht="16.5" customHeight="1">
      <c r="A34" s="77" t="s">
        <v>341</v>
      </c>
      <c r="B34" s="115"/>
      <c r="C34" s="116"/>
      <c r="D34" s="116"/>
      <c r="E34" s="286"/>
      <c r="F34" s="117"/>
      <c r="G34" s="117"/>
      <c r="H34" s="117"/>
      <c r="I34" s="117"/>
      <c r="J34" s="77"/>
      <c r="K34" s="77"/>
      <c r="L34" s="77"/>
    </row>
    <row r="35" spans="1:12" ht="16.5" customHeight="1">
      <c r="A35" s="82" t="s">
        <v>735</v>
      </c>
      <c r="B35" s="116">
        <v>7</v>
      </c>
      <c r="C35" s="287" t="str">
        <f>+'E-ALL'!C39</f>
        <v>Elec/Gas North/Oregon 4-Factor</v>
      </c>
      <c r="D35" s="116"/>
      <c r="E35" s="286"/>
      <c r="F35" s="117">
        <f>+G35+H35+I35</f>
        <v>1</v>
      </c>
      <c r="G35" s="117">
        <f>VLOOKUP(B35,Allocators,7)</f>
        <v>0.7196</v>
      </c>
      <c r="H35" s="117">
        <f>VLOOKUP(B35,Allocators,8)</f>
        <v>0.1918</v>
      </c>
      <c r="I35" s="117">
        <f>VLOOKUP(B35,Allocators,9)</f>
        <v>0.0886</v>
      </c>
      <c r="J35" s="77"/>
      <c r="K35" s="77"/>
      <c r="L35" s="117"/>
    </row>
    <row r="36" spans="1:12" ht="16.5" customHeight="1">
      <c r="A36" s="82" t="s">
        <v>735</v>
      </c>
      <c r="B36" s="116">
        <v>8</v>
      </c>
      <c r="C36" s="287" t="str">
        <f>+'E-ALL'!C62</f>
        <v>Gas North/Oregon 4-Factor</v>
      </c>
      <c r="D36" s="116"/>
      <c r="E36" s="286"/>
      <c r="F36" s="117">
        <f>+G36+H36+I36</f>
        <v>1</v>
      </c>
      <c r="G36" s="117">
        <f>VLOOKUP(B36,Allocators,7)</f>
        <v>0</v>
      </c>
      <c r="H36" s="117">
        <f>VLOOKUP(B36,Allocators,8)</f>
        <v>0.68157</v>
      </c>
      <c r="I36" s="117">
        <f>VLOOKUP(B36,Allocators,9)</f>
        <v>0.31843</v>
      </c>
      <c r="J36" s="77"/>
      <c r="K36" s="77"/>
      <c r="L36" s="117"/>
    </row>
    <row r="37" spans="1:12" ht="16.5" customHeight="1">
      <c r="A37" s="82" t="s">
        <v>735</v>
      </c>
      <c r="B37" s="116">
        <v>9</v>
      </c>
      <c r="C37" s="287" t="str">
        <f>+'E-ALL'!C85</f>
        <v>Elec/Gas North 4-Factor</v>
      </c>
      <c r="D37" s="116"/>
      <c r="E37" s="286"/>
      <c r="F37" s="117">
        <f>+G37+H37+I37</f>
        <v>1</v>
      </c>
      <c r="G37" s="117">
        <f>VLOOKUP(B37,Allocators,7)</f>
        <v>0.79122</v>
      </c>
      <c r="H37" s="117">
        <f>VLOOKUP(B37,Allocators,8)</f>
        <v>0.20878</v>
      </c>
      <c r="I37" s="117">
        <f>VLOOKUP(B37,Allocators,9)</f>
        <v>0</v>
      </c>
      <c r="J37" s="77"/>
      <c r="K37" s="77"/>
      <c r="L37" s="117"/>
    </row>
    <row r="38" spans="1:12" ht="16.5" customHeight="1">
      <c r="A38" s="82" t="s">
        <v>735</v>
      </c>
      <c r="B38" s="116">
        <v>99</v>
      </c>
      <c r="C38" s="287" t="s">
        <v>906</v>
      </c>
      <c r="D38" s="116"/>
      <c r="E38" s="286"/>
      <c r="F38" s="117">
        <f>+G38+H38+I38</f>
        <v>0</v>
      </c>
      <c r="G38" s="117">
        <v>0</v>
      </c>
      <c r="H38" s="117">
        <v>0</v>
      </c>
      <c r="I38" s="117">
        <v>0</v>
      </c>
      <c r="J38" s="77"/>
      <c r="K38" s="77"/>
      <c r="L38" s="117"/>
    </row>
    <row r="39" spans="1:9" ht="16.5" customHeight="1">
      <c r="A39" s="82"/>
      <c r="B39" s="83"/>
      <c r="C39" s="77"/>
      <c r="F39" s="109"/>
      <c r="G39" s="109"/>
      <c r="H39" s="109"/>
      <c r="I39" s="109"/>
    </row>
    <row r="40" spans="1:18" ht="16.5" customHeight="1">
      <c r="A40" s="290" t="s">
        <v>322</v>
      </c>
      <c r="B40" s="289" t="s">
        <v>323</v>
      </c>
      <c r="C40" s="77"/>
      <c r="D40" s="77"/>
      <c r="E40" s="77"/>
      <c r="F40" s="77"/>
      <c r="G40" s="77"/>
      <c r="H40" s="77"/>
      <c r="I40" s="77"/>
      <c r="J40" s="77"/>
      <c r="K40" s="77"/>
      <c r="L40" s="77"/>
      <c r="M40" s="77"/>
      <c r="N40" s="77"/>
      <c r="O40" s="77"/>
      <c r="P40" s="77"/>
      <c r="Q40" s="77"/>
      <c r="R40" s="77"/>
    </row>
  </sheetData>
  <printOptions/>
  <pageMargins left="0.75" right="0.75" top="0.75" bottom="1" header="0.5" footer="0.5"/>
  <pageSetup fitToHeight="1" fitToWidth="1" horizontalDpi="300" verticalDpi="300" orientation="landscape" scale="71" r:id="rId1"/>
  <headerFooter alignWithMargins="0">
    <oddHeader>&amp;LAVISTA UTILITIES&amp;CRESULTS OF OPERATIONS&amp;RRUN DATE: &amp;D</oddHeader>
    <oddFooter>&amp;CPage &amp;P</oddFooter>
  </headerFooter>
</worksheet>
</file>

<file path=xl/worksheets/sheet19.xml><?xml version="1.0" encoding="utf-8"?>
<worksheet xmlns="http://schemas.openxmlformats.org/spreadsheetml/2006/main" xmlns:r="http://schemas.openxmlformats.org/officeDocument/2006/relationships">
  <sheetPr codeName="Sheet16">
    <pageSetUpPr fitToPage="1"/>
  </sheetPr>
  <dimension ref="A1:R59"/>
  <sheetViews>
    <sheetView workbookViewId="0" topLeftCell="A1">
      <pane xSplit="5" ySplit="7" topLeftCell="F8" activePane="bottomRight" state="frozen"/>
      <selection pane="topLeft" activeCell="H8" sqref="H8"/>
      <selection pane="topRight" activeCell="H8" sqref="H8"/>
      <selection pane="bottomLeft" activeCell="H8" sqref="H8"/>
      <selection pane="bottomRight" activeCell="F8" sqref="F8"/>
    </sheetView>
  </sheetViews>
  <sheetFormatPr defaultColWidth="9.00390625" defaultRowHeight="12.75"/>
  <cols>
    <col min="1" max="1" width="9.375" style="84" customWidth="1"/>
    <col min="2" max="2" width="9.875" style="84" customWidth="1"/>
    <col min="3" max="3" width="15.875" style="84" customWidth="1"/>
    <col min="4" max="4" width="16.875" style="84" customWidth="1"/>
    <col min="5" max="5" width="14.875" style="84" customWidth="1"/>
    <col min="6" max="14" width="15.875" style="84" customWidth="1"/>
    <col min="15" max="16384" width="9.375" style="84" customWidth="1"/>
  </cols>
  <sheetData>
    <row r="1" spans="1:18" ht="12.75">
      <c r="A1" s="82"/>
      <c r="B1" s="83"/>
      <c r="C1" s="77"/>
      <c r="D1" s="77"/>
      <c r="E1" s="77"/>
      <c r="F1" s="77"/>
      <c r="G1" s="77"/>
      <c r="H1" s="77"/>
      <c r="I1" s="77"/>
      <c r="J1" s="77"/>
      <c r="K1" s="77"/>
      <c r="L1" s="77"/>
      <c r="M1" s="77"/>
      <c r="N1" s="77"/>
      <c r="O1" s="77"/>
      <c r="P1" s="77"/>
      <c r="Q1" s="77"/>
      <c r="R1" s="77"/>
    </row>
    <row r="2" spans="1:18" ht="12.75">
      <c r="A2" s="85" t="s">
        <v>520</v>
      </c>
      <c r="B2" s="86"/>
      <c r="C2" s="87"/>
      <c r="D2" s="88"/>
      <c r="E2" s="89" t="s">
        <v>725</v>
      </c>
      <c r="F2" s="77"/>
      <c r="G2" s="77"/>
      <c r="H2" s="77"/>
      <c r="I2" s="77"/>
      <c r="J2" s="77"/>
      <c r="K2" s="77"/>
      <c r="L2" s="77"/>
      <c r="M2" s="77"/>
      <c r="N2" s="77"/>
      <c r="R2" s="77"/>
    </row>
    <row r="3" spans="1:18" ht="12.75">
      <c r="A3" s="110" t="s">
        <v>521</v>
      </c>
      <c r="B3" s="83"/>
      <c r="D3" s="92"/>
      <c r="E3" s="93" t="str">
        <f>"E-ADP-"&amp;months&amp;rbcalc</f>
        <v>E-ADP-12A</v>
      </c>
      <c r="F3" s="77"/>
      <c r="G3" s="77"/>
      <c r="H3" s="77"/>
      <c r="I3" s="77"/>
      <c r="J3" s="77"/>
      <c r="K3" s="77"/>
      <c r="L3" s="77"/>
      <c r="M3" s="77"/>
      <c r="N3" s="77"/>
      <c r="R3" s="77"/>
    </row>
    <row r="4" spans="1:18" ht="12.75">
      <c r="A4" s="91" t="str">
        <f>tp_heading</f>
        <v>For Twelve Months Ended September 30, 2008</v>
      </c>
      <c r="D4" s="92"/>
      <c r="E4" s="291"/>
      <c r="F4" s="77"/>
      <c r="G4" s="77"/>
      <c r="H4" s="77"/>
      <c r="I4" s="77"/>
      <c r="J4" s="77"/>
      <c r="K4" s="77"/>
      <c r="L4" s="77"/>
      <c r="M4" s="77"/>
      <c r="N4" s="77"/>
      <c r="R4" s="77"/>
    </row>
    <row r="5" spans="1:18" ht="12.75">
      <c r="A5" s="94" t="str">
        <f>rbcalc_heading</f>
        <v>Average of Monthly Averages Basis</v>
      </c>
      <c r="B5" s="95"/>
      <c r="C5" s="96"/>
      <c r="D5" s="97"/>
      <c r="E5" s="98"/>
      <c r="F5" s="77" t="s">
        <v>921</v>
      </c>
      <c r="G5" s="77"/>
      <c r="H5" s="77"/>
      <c r="I5" s="77" t="s">
        <v>0</v>
      </c>
      <c r="J5" s="77"/>
      <c r="K5" s="77"/>
      <c r="L5" s="77" t="s">
        <v>596</v>
      </c>
      <c r="M5" s="77"/>
      <c r="N5" s="77"/>
      <c r="O5" s="103"/>
      <c r="P5" s="103"/>
      <c r="Q5" s="103"/>
      <c r="R5" s="77"/>
    </row>
    <row r="6" spans="1:18" ht="12.75">
      <c r="A6" s="292" t="s">
        <v>2</v>
      </c>
      <c r="B6" s="100" t="s">
        <v>815</v>
      </c>
      <c r="C6" s="99" t="s">
        <v>844</v>
      </c>
      <c r="D6" s="96"/>
      <c r="E6" s="97"/>
      <c r="F6" s="99" t="s">
        <v>3</v>
      </c>
      <c r="G6" s="99" t="s">
        <v>4</v>
      </c>
      <c r="H6" s="99" t="s">
        <v>891</v>
      </c>
      <c r="I6" s="99" t="s">
        <v>3</v>
      </c>
      <c r="J6" s="99" t="s">
        <v>4</v>
      </c>
      <c r="K6" s="99" t="s">
        <v>891</v>
      </c>
      <c r="L6" s="99" t="s">
        <v>3</v>
      </c>
      <c r="M6" s="99" t="s">
        <v>4</v>
      </c>
      <c r="N6" s="99" t="s">
        <v>891</v>
      </c>
      <c r="R6" s="77"/>
    </row>
    <row r="7" spans="1:18" ht="12.75">
      <c r="A7" s="82"/>
      <c r="B7" s="106"/>
      <c r="F7" s="77"/>
      <c r="G7" s="77"/>
      <c r="H7" s="78"/>
      <c r="I7" s="77"/>
      <c r="J7" s="77"/>
      <c r="K7" s="78"/>
      <c r="L7" s="77"/>
      <c r="M7" s="77"/>
      <c r="N7" s="77"/>
      <c r="R7" s="77"/>
    </row>
    <row r="8" spans="1:18" ht="12.75">
      <c r="A8" s="82"/>
      <c r="B8" s="106"/>
      <c r="C8" s="77" t="s">
        <v>451</v>
      </c>
      <c r="F8" s="77"/>
      <c r="G8" s="77"/>
      <c r="H8" s="78"/>
      <c r="I8" s="77"/>
      <c r="J8" s="77"/>
      <c r="K8" s="78"/>
      <c r="L8" s="77"/>
      <c r="M8" s="77"/>
      <c r="N8" s="77"/>
      <c r="R8" s="77"/>
    </row>
    <row r="9" spans="1:18" ht="12.75">
      <c r="A9" s="82" t="s">
        <v>751</v>
      </c>
      <c r="B9" s="106"/>
      <c r="C9" s="77" t="s">
        <v>522</v>
      </c>
      <c r="F9" s="77">
        <f>+'Electric Plant'!F74</f>
        <v>893140751</v>
      </c>
      <c r="G9" s="77">
        <f>'Electric Plant'!G74</f>
        <v>0</v>
      </c>
      <c r="H9" s="78">
        <f>'Electric Plant'!H74</f>
        <v>893140751</v>
      </c>
      <c r="I9" s="77">
        <f>'Electric Plant'!I74</f>
        <v>552007393</v>
      </c>
      <c r="J9" s="77">
        <f>'Electric Plant'!J74</f>
        <v>0</v>
      </c>
      <c r="K9" s="78">
        <f>'Electric Plant'!K74</f>
        <v>552007393</v>
      </c>
      <c r="L9" s="77">
        <f>'Electric Plant'!L74</f>
        <v>341133358</v>
      </c>
      <c r="M9" s="77">
        <f>'Electric Plant'!M74</f>
        <v>0</v>
      </c>
      <c r="N9" s="77">
        <f>'Electric Plant'!N74</f>
        <v>341133358</v>
      </c>
      <c r="R9" s="77"/>
    </row>
    <row r="10" spans="1:18" ht="12.75">
      <c r="A10" s="82" t="s">
        <v>751</v>
      </c>
      <c r="B10" s="105">
        <v>360200</v>
      </c>
      <c r="C10" s="77" t="s">
        <v>523</v>
      </c>
      <c r="F10" s="77">
        <f>+'Electric Plant'!F62</f>
        <v>3964802</v>
      </c>
      <c r="G10" s="77">
        <f>+'Electric Plant'!G62</f>
        <v>0</v>
      </c>
      <c r="H10" s="78">
        <f>+'Electric Plant'!H62</f>
        <v>3964802</v>
      </c>
      <c r="I10" s="77">
        <f>+'Electric Plant'!I62</f>
        <v>2993255</v>
      </c>
      <c r="J10" s="77">
        <f>+'Electric Plant'!J62</f>
        <v>0</v>
      </c>
      <c r="K10" s="78">
        <f>+'Electric Plant'!K62</f>
        <v>2993255</v>
      </c>
      <c r="L10" s="77">
        <f>+'Electric Plant'!L62</f>
        <v>971547</v>
      </c>
      <c r="M10" s="77">
        <f>+'Electric Plant'!M62</f>
        <v>0</v>
      </c>
      <c r="N10" s="77">
        <f>+'Electric Plant'!N62</f>
        <v>971547</v>
      </c>
      <c r="R10" s="77"/>
    </row>
    <row r="11" spans="1:18" ht="12.75">
      <c r="A11" s="82"/>
      <c r="B11" s="106"/>
      <c r="C11" s="77" t="s">
        <v>525</v>
      </c>
      <c r="F11" s="107">
        <f aca="true" t="shared" si="0" ref="F11:N11">F9-F10</f>
        <v>889175949</v>
      </c>
      <c r="G11" s="107">
        <f t="shared" si="0"/>
        <v>0</v>
      </c>
      <c r="H11" s="108">
        <f t="shared" si="0"/>
        <v>889175949</v>
      </c>
      <c r="I11" s="107">
        <f t="shared" si="0"/>
        <v>549014138</v>
      </c>
      <c r="J11" s="107">
        <f t="shared" si="0"/>
        <v>0</v>
      </c>
      <c r="K11" s="108">
        <f t="shared" si="0"/>
        <v>549014138</v>
      </c>
      <c r="L11" s="107">
        <f t="shared" si="0"/>
        <v>340161811</v>
      </c>
      <c r="M11" s="107">
        <f t="shared" si="0"/>
        <v>0</v>
      </c>
      <c r="N11" s="107">
        <f t="shared" si="0"/>
        <v>340161811</v>
      </c>
      <c r="R11" s="77"/>
    </row>
    <row r="12" spans="1:18" ht="12.75">
      <c r="A12" s="82"/>
      <c r="B12" s="106"/>
      <c r="C12" s="77" t="s">
        <v>892</v>
      </c>
      <c r="G12" s="117">
        <f>G11/H11</f>
        <v>0</v>
      </c>
      <c r="H12" s="293">
        <v>1</v>
      </c>
      <c r="I12" s="117">
        <f>I11/H11</f>
        <v>0.61744</v>
      </c>
      <c r="K12" s="293"/>
      <c r="L12" s="117">
        <f>L11/H11</f>
        <v>0.38256</v>
      </c>
      <c r="M12" s="117"/>
      <c r="N12" s="117"/>
      <c r="R12" s="77"/>
    </row>
    <row r="13" spans="1:18" ht="12.75">
      <c r="A13" s="82"/>
      <c r="B13" s="106"/>
      <c r="C13" s="77"/>
      <c r="F13" s="77"/>
      <c r="G13" s="77"/>
      <c r="H13" s="78"/>
      <c r="K13" s="92"/>
      <c r="R13" s="77"/>
    </row>
    <row r="14" spans="1:18" ht="12.75">
      <c r="A14" s="82"/>
      <c r="B14" s="106"/>
      <c r="C14" s="84" t="s">
        <v>609</v>
      </c>
      <c r="F14" s="77"/>
      <c r="G14" s="77"/>
      <c r="H14" s="78"/>
      <c r="I14" s="117"/>
      <c r="K14" s="293"/>
      <c r="L14" s="117"/>
      <c r="M14" s="117"/>
      <c r="N14" s="117"/>
      <c r="R14" s="77"/>
    </row>
    <row r="15" spans="1:18" ht="12.75">
      <c r="A15" s="82"/>
      <c r="B15" s="106" t="s">
        <v>212</v>
      </c>
      <c r="C15" s="77" t="s">
        <v>528</v>
      </c>
      <c r="G15" s="77">
        <f>H15*G12</f>
        <v>0</v>
      </c>
      <c r="H15" s="78">
        <f>-Data!H342</f>
        <v>273815109</v>
      </c>
      <c r="I15" s="77">
        <f>H15*I12</f>
        <v>169064401</v>
      </c>
      <c r="K15" s="78"/>
      <c r="L15" s="77">
        <f>H15*L12</f>
        <v>104750708</v>
      </c>
      <c r="M15" s="77"/>
      <c r="N15" s="77"/>
      <c r="R15" s="77"/>
    </row>
    <row r="16" spans="1:18" ht="12.75">
      <c r="A16" s="82"/>
      <c r="B16" s="106"/>
      <c r="C16" s="77"/>
      <c r="G16" s="77"/>
      <c r="H16" s="78"/>
      <c r="I16" s="77"/>
      <c r="K16" s="78"/>
      <c r="L16" s="77"/>
      <c r="M16" s="77"/>
      <c r="N16" s="77"/>
      <c r="R16" s="77"/>
    </row>
    <row r="17" spans="1:18" ht="12.75">
      <c r="A17" s="82"/>
      <c r="B17" s="106"/>
      <c r="C17" s="77" t="s">
        <v>529</v>
      </c>
      <c r="F17" s="77"/>
      <c r="G17" s="77"/>
      <c r="H17" s="78"/>
      <c r="I17" s="77"/>
      <c r="J17" s="77"/>
      <c r="K17" s="78"/>
      <c r="L17" s="77"/>
      <c r="M17" s="77"/>
      <c r="N17" s="77"/>
      <c r="R17" s="77"/>
    </row>
    <row r="18" spans="1:18" ht="12.75">
      <c r="A18" s="82">
        <v>99</v>
      </c>
      <c r="B18" s="106" t="s">
        <v>212</v>
      </c>
      <c r="C18" s="77" t="s">
        <v>528</v>
      </c>
      <c r="F18" s="77">
        <f>I18+L18</f>
        <v>273815109</v>
      </c>
      <c r="G18" s="77">
        <f>G15</f>
        <v>0</v>
      </c>
      <c r="H18" s="78">
        <f>F18+G18</f>
        <v>273815109</v>
      </c>
      <c r="I18" s="77">
        <f>I15</f>
        <v>169064401</v>
      </c>
      <c r="J18" s="77">
        <v>0</v>
      </c>
      <c r="K18" s="78">
        <f>I18+J18</f>
        <v>169064401</v>
      </c>
      <c r="L18" s="77">
        <f>L15</f>
        <v>104750708</v>
      </c>
      <c r="M18" s="77">
        <v>0</v>
      </c>
      <c r="N18" s="77">
        <f>L18+M18</f>
        <v>104750708</v>
      </c>
      <c r="R18" s="77"/>
    </row>
    <row r="19" spans="1:18" ht="12.75">
      <c r="A19" s="82"/>
      <c r="B19" s="106"/>
      <c r="F19" s="77"/>
      <c r="G19" s="77"/>
      <c r="H19" s="78"/>
      <c r="I19" s="77"/>
      <c r="J19" s="77"/>
      <c r="K19" s="78"/>
      <c r="L19" s="77"/>
      <c r="M19" s="77"/>
      <c r="N19" s="77"/>
      <c r="R19" s="77"/>
    </row>
    <row r="20" spans="1:18" ht="12.75">
      <c r="A20" s="82"/>
      <c r="B20" s="106"/>
      <c r="C20" s="77" t="s">
        <v>530</v>
      </c>
      <c r="F20" s="77"/>
      <c r="G20" s="77"/>
      <c r="H20" s="78"/>
      <c r="I20" s="77"/>
      <c r="J20" s="77"/>
      <c r="K20" s="78"/>
      <c r="L20" s="77"/>
      <c r="M20" s="77"/>
      <c r="N20" s="77"/>
      <c r="R20" s="77"/>
    </row>
    <row r="21" spans="1:18" ht="12.75">
      <c r="A21" s="82" t="s">
        <v>751</v>
      </c>
      <c r="B21" s="106"/>
      <c r="C21" s="77" t="s">
        <v>531</v>
      </c>
      <c r="F21" s="77">
        <f>+'Electric Plant'!F88</f>
        <v>38103542</v>
      </c>
      <c r="G21" s="77">
        <f>+'Electric Plant'!G88</f>
        <v>99750269</v>
      </c>
      <c r="H21" s="78">
        <f>F21+G21</f>
        <v>137853811</v>
      </c>
      <c r="I21" s="77">
        <f>+'Electric Plant'!I88</f>
        <v>23101292</v>
      </c>
      <c r="J21" s="77">
        <f>+'Electric Plant'!J88</f>
        <v>64934433</v>
      </c>
      <c r="K21" s="78">
        <f>I21+J21</f>
        <v>88035725</v>
      </c>
      <c r="L21" s="77">
        <f>+'Electric Plant'!L88</f>
        <v>15002250</v>
      </c>
      <c r="M21" s="77">
        <f>+'Electric Plant'!M88</f>
        <v>34815836</v>
      </c>
      <c r="N21" s="77">
        <f>L21+M21</f>
        <v>49818086</v>
      </c>
      <c r="R21" s="77"/>
    </row>
    <row r="22" spans="1:18" ht="12.75">
      <c r="A22" s="82" t="s">
        <v>751</v>
      </c>
      <c r="B22" s="106" t="s">
        <v>76</v>
      </c>
      <c r="C22" s="77" t="s">
        <v>532</v>
      </c>
      <c r="F22" s="77">
        <f>+'Electric Plant'!F77</f>
        <v>820284</v>
      </c>
      <c r="G22" s="77">
        <f>+'Electric Plant'!G77</f>
        <v>1592615</v>
      </c>
      <c r="H22" s="78">
        <f>F22+G22</f>
        <v>2412899</v>
      </c>
      <c r="I22" s="77">
        <f>+'Electric Plant'!I77</f>
        <v>372436</v>
      </c>
      <c r="J22" s="77">
        <f>+'Electric Plant'!J77</f>
        <v>1036745</v>
      </c>
      <c r="K22" s="78">
        <f>I22+J22</f>
        <v>1409181</v>
      </c>
      <c r="L22" s="77">
        <f>+'Electric Plant'!L77</f>
        <v>447848</v>
      </c>
      <c r="M22" s="77">
        <f>+'Electric Plant'!M77</f>
        <v>555870</v>
      </c>
      <c r="N22" s="77">
        <f>L22+M22</f>
        <v>1003718</v>
      </c>
      <c r="R22" s="77"/>
    </row>
    <row r="23" spans="1:18" ht="12.75">
      <c r="A23" s="82" t="s">
        <v>751</v>
      </c>
      <c r="B23" s="106" t="s">
        <v>92</v>
      </c>
      <c r="C23" s="77" t="s">
        <v>533</v>
      </c>
      <c r="F23" s="77">
        <f>+'Electric Plant'!F80</f>
        <v>5861872</v>
      </c>
      <c r="G23" s="77">
        <f>+'Electric Plant'!G80</f>
        <v>4231253</v>
      </c>
      <c r="H23" s="78">
        <f>F23+G23</f>
        <v>10093125</v>
      </c>
      <c r="I23" s="77">
        <f>+'Electric Plant'!I80</f>
        <v>4122615</v>
      </c>
      <c r="J23" s="77">
        <f>+'Electric Plant'!J80</f>
        <v>2754419</v>
      </c>
      <c r="K23" s="78">
        <f>I23+J23</f>
        <v>6877034</v>
      </c>
      <c r="L23" s="77">
        <f>+'Electric Plant'!L80</f>
        <v>1739257</v>
      </c>
      <c r="M23" s="77">
        <f>+'Electric Plant'!M80</f>
        <v>1476834</v>
      </c>
      <c r="N23" s="77">
        <f>L23+M23</f>
        <v>3216091</v>
      </c>
      <c r="O23" s="103"/>
      <c r="P23" s="103"/>
      <c r="Q23" s="103"/>
      <c r="R23" s="77"/>
    </row>
    <row r="24" spans="1:18" ht="12.75">
      <c r="A24" s="82"/>
      <c r="B24" s="106"/>
      <c r="C24" s="77" t="s">
        <v>534</v>
      </c>
      <c r="F24" s="107">
        <f aca="true" t="shared" si="1" ref="F24:N24">+F21-F22-F23</f>
        <v>31421386</v>
      </c>
      <c r="G24" s="107">
        <f t="shared" si="1"/>
        <v>93926401</v>
      </c>
      <c r="H24" s="108">
        <f t="shared" si="1"/>
        <v>125347787</v>
      </c>
      <c r="I24" s="107">
        <f t="shared" si="1"/>
        <v>18606241</v>
      </c>
      <c r="J24" s="107">
        <f t="shared" si="1"/>
        <v>61143269</v>
      </c>
      <c r="K24" s="108">
        <f t="shared" si="1"/>
        <v>79749510</v>
      </c>
      <c r="L24" s="107">
        <f t="shared" si="1"/>
        <v>12815145</v>
      </c>
      <c r="M24" s="107">
        <f t="shared" si="1"/>
        <v>32783132</v>
      </c>
      <c r="N24" s="107">
        <f t="shared" si="1"/>
        <v>45598277</v>
      </c>
      <c r="O24" s="103"/>
      <c r="P24" s="103"/>
      <c r="Q24" s="103"/>
      <c r="R24" s="77"/>
    </row>
    <row r="25" spans="1:18" ht="12.75">
      <c r="A25" s="82"/>
      <c r="B25" s="106"/>
      <c r="C25" s="77" t="s">
        <v>892</v>
      </c>
      <c r="F25" s="109"/>
      <c r="G25" s="118">
        <f>+H25-I25-L25</f>
        <v>0.74932</v>
      </c>
      <c r="H25" s="293">
        <v>1</v>
      </c>
      <c r="I25" s="118">
        <f>ROUND(I24/H24,5)</f>
        <v>0.14844</v>
      </c>
      <c r="J25" s="109"/>
      <c r="K25" s="78"/>
      <c r="L25" s="118">
        <f>ROUND(L24/H24,5)</f>
        <v>0.10224</v>
      </c>
      <c r="M25" s="109"/>
      <c r="N25" s="109"/>
      <c r="O25" s="103"/>
      <c r="P25" s="103"/>
      <c r="Q25" s="103"/>
      <c r="R25" s="77"/>
    </row>
    <row r="26" spans="1:18" ht="12.75">
      <c r="A26" s="82"/>
      <c r="B26" s="106"/>
      <c r="C26" s="294"/>
      <c r="F26" s="77"/>
      <c r="G26" s="77"/>
      <c r="H26" s="78"/>
      <c r="I26" s="77"/>
      <c r="J26" s="77"/>
      <c r="K26" s="78"/>
      <c r="L26" s="77"/>
      <c r="M26" s="77"/>
      <c r="N26" s="77"/>
      <c r="O26" s="103"/>
      <c r="P26" s="103"/>
      <c r="Q26" s="103"/>
      <c r="R26" s="77"/>
    </row>
    <row r="27" spans="1:18" ht="12.75">
      <c r="A27" s="82"/>
      <c r="B27" s="106"/>
      <c r="C27" s="294" t="s">
        <v>535</v>
      </c>
      <c r="F27" s="77"/>
      <c r="G27" s="77"/>
      <c r="H27" s="78"/>
      <c r="I27" s="117"/>
      <c r="K27" s="293"/>
      <c r="L27" s="117"/>
      <c r="M27" s="117"/>
      <c r="N27" s="117"/>
      <c r="O27" s="103"/>
      <c r="P27" s="103"/>
      <c r="Q27" s="103"/>
      <c r="R27" s="77"/>
    </row>
    <row r="28" spans="1:18" ht="12.75">
      <c r="A28" s="82" t="s">
        <v>776</v>
      </c>
      <c r="B28" s="106" t="s">
        <v>137</v>
      </c>
      <c r="C28" s="77" t="s">
        <v>536</v>
      </c>
      <c r="G28" s="77">
        <f>+H28-I28-L28</f>
        <v>41276732</v>
      </c>
      <c r="H28" s="78">
        <f>+'C-ADP'!G19</f>
        <v>55085587</v>
      </c>
      <c r="I28" s="77">
        <f>ROUND(H28*I25,0)</f>
        <v>8176905</v>
      </c>
      <c r="K28" s="78"/>
      <c r="L28" s="77">
        <f>ROUND(H28*L25,0)</f>
        <v>5631950</v>
      </c>
      <c r="M28" s="77"/>
      <c r="N28" s="77"/>
      <c r="O28" s="103"/>
      <c r="P28" s="103"/>
      <c r="Q28" s="103"/>
      <c r="R28" s="77"/>
    </row>
    <row r="29" spans="1:18" ht="12.75">
      <c r="A29" s="82"/>
      <c r="B29" s="106" t="s">
        <v>150</v>
      </c>
      <c r="C29" s="77" t="s">
        <v>167</v>
      </c>
      <c r="G29" s="77">
        <f>+H29-I29-L29</f>
        <v>3391324</v>
      </c>
      <c r="H29" s="78">
        <f>+'C-DEP'!G15-'C-DEP'!G12-'C-DEP'!G13</f>
        <v>4525869</v>
      </c>
      <c r="I29" s="77">
        <f>ROUND(H29*I25,0)</f>
        <v>671820</v>
      </c>
      <c r="K29" s="78"/>
      <c r="L29" s="77">
        <f>ROUND(H29*L25,0)</f>
        <v>462725</v>
      </c>
      <c r="M29" s="77"/>
      <c r="N29" s="77"/>
      <c r="O29" s="103"/>
      <c r="P29" s="103"/>
      <c r="Q29" s="103"/>
      <c r="R29" s="77"/>
    </row>
    <row r="30" spans="1:18" ht="12.75">
      <c r="A30" s="82"/>
      <c r="B30" s="106" t="s">
        <v>150</v>
      </c>
      <c r="C30" s="77" t="s">
        <v>169</v>
      </c>
      <c r="G30" s="77"/>
      <c r="H30" s="78">
        <f>+'C-DEP'!G12</f>
        <v>68505</v>
      </c>
      <c r="I30" s="77">
        <f>+H30</f>
        <v>68505</v>
      </c>
      <c r="K30" s="78"/>
      <c r="L30" s="77">
        <v>0</v>
      </c>
      <c r="M30" s="77"/>
      <c r="N30" s="77"/>
      <c r="O30" s="103"/>
      <c r="P30" s="103"/>
      <c r="Q30" s="103"/>
      <c r="R30" s="77"/>
    </row>
    <row r="31" spans="1:18" ht="12.75">
      <c r="A31" s="82"/>
      <c r="B31" s="106" t="s">
        <v>150</v>
      </c>
      <c r="C31" s="77" t="s">
        <v>168</v>
      </c>
      <c r="G31" s="77"/>
      <c r="H31" s="78">
        <f>+'C-DEP'!G13</f>
        <v>81135</v>
      </c>
      <c r="I31" s="77">
        <v>0</v>
      </c>
      <c r="K31" s="78"/>
      <c r="L31" s="77">
        <f>+H31</f>
        <v>81135</v>
      </c>
      <c r="M31" s="77"/>
      <c r="N31" s="77"/>
      <c r="O31" s="103"/>
      <c r="P31" s="103"/>
      <c r="Q31" s="103"/>
      <c r="R31" s="77"/>
    </row>
    <row r="32" spans="1:18" ht="12.75">
      <c r="A32" s="82"/>
      <c r="B32" s="106" t="s">
        <v>150</v>
      </c>
      <c r="C32" s="77" t="s">
        <v>850</v>
      </c>
      <c r="G32" s="109">
        <f>Data!I51</f>
        <v>2100940</v>
      </c>
      <c r="H32" s="78">
        <f>Data!H51</f>
        <v>2759926</v>
      </c>
      <c r="I32" s="110">
        <f>Data!J51</f>
        <v>462840</v>
      </c>
      <c r="K32" s="78"/>
      <c r="L32" s="110">
        <f>Data!K51</f>
        <v>196147</v>
      </c>
      <c r="M32" s="77"/>
      <c r="N32" s="77"/>
      <c r="O32" s="103"/>
      <c r="P32" s="103"/>
      <c r="Q32" s="103"/>
      <c r="R32" s="77"/>
    </row>
    <row r="33" spans="1:18" ht="12.75">
      <c r="A33" s="82"/>
      <c r="B33" s="106"/>
      <c r="C33" s="77"/>
      <c r="F33" s="77"/>
      <c r="G33" s="77"/>
      <c r="H33" s="78"/>
      <c r="I33" s="77"/>
      <c r="J33" s="77"/>
      <c r="K33" s="78"/>
      <c r="L33" s="77"/>
      <c r="M33" s="77"/>
      <c r="N33" s="77"/>
      <c r="O33" s="103"/>
      <c r="P33" s="103"/>
      <c r="Q33" s="103"/>
      <c r="R33" s="77"/>
    </row>
    <row r="34" spans="1:18" ht="12.75">
      <c r="A34" s="82"/>
      <c r="B34" s="106"/>
      <c r="C34" s="77" t="s">
        <v>537</v>
      </c>
      <c r="F34" s="77"/>
      <c r="G34" s="77"/>
      <c r="H34" s="78"/>
      <c r="I34" s="77"/>
      <c r="J34" s="77"/>
      <c r="K34" s="78"/>
      <c r="L34" s="77"/>
      <c r="M34" s="77"/>
      <c r="N34" s="77"/>
      <c r="O34" s="103"/>
      <c r="P34" s="103"/>
      <c r="Q34" s="103"/>
      <c r="R34" s="77"/>
    </row>
    <row r="35" spans="1:18" ht="12.75">
      <c r="A35" s="82">
        <v>4</v>
      </c>
      <c r="B35" s="106" t="s">
        <v>137</v>
      </c>
      <c r="C35" s="77" t="s">
        <v>536</v>
      </c>
      <c r="F35" s="77">
        <f>I35+L35</f>
        <v>13808855</v>
      </c>
      <c r="G35" s="77">
        <f>G28</f>
        <v>41276732</v>
      </c>
      <c r="H35" s="78">
        <f>F35+G35</f>
        <v>55085587</v>
      </c>
      <c r="I35" s="77">
        <f>I28</f>
        <v>8176905</v>
      </c>
      <c r="J35" s="77">
        <f>G35*VLOOKUP(A35,Allocators,7)</f>
        <v>26869914</v>
      </c>
      <c r="K35" s="78">
        <f>I35+J35</f>
        <v>35046819</v>
      </c>
      <c r="L35" s="77">
        <f>L28</f>
        <v>5631950</v>
      </c>
      <c r="M35" s="77">
        <f>G35*VLOOKUP(A35,Allocators,8)</f>
        <v>14406818</v>
      </c>
      <c r="N35" s="77">
        <f>L35+M35</f>
        <v>20038768</v>
      </c>
      <c r="O35" s="103"/>
      <c r="P35" s="103"/>
      <c r="Q35" s="103"/>
      <c r="R35" s="77"/>
    </row>
    <row r="36" spans="1:18" ht="12.75">
      <c r="A36" s="82">
        <v>4</v>
      </c>
      <c r="B36" s="106" t="s">
        <v>150</v>
      </c>
      <c r="C36" s="77" t="s">
        <v>161</v>
      </c>
      <c r="F36" s="77">
        <f>I36+L36</f>
        <v>1134545</v>
      </c>
      <c r="G36" s="77">
        <f>+G29</f>
        <v>3391324</v>
      </c>
      <c r="H36" s="78">
        <f>F36+G36</f>
        <v>4525869</v>
      </c>
      <c r="I36" s="77">
        <f>I29</f>
        <v>671820</v>
      </c>
      <c r="J36" s="77">
        <f>G36*VLOOKUP(A36,Allocators,7)</f>
        <v>2207650</v>
      </c>
      <c r="K36" s="78">
        <f>I36+J36</f>
        <v>2879470</v>
      </c>
      <c r="L36" s="77">
        <f>L29</f>
        <v>462725</v>
      </c>
      <c r="M36" s="77">
        <f>G36*VLOOKUP(A36,Allocators,8)</f>
        <v>1183674</v>
      </c>
      <c r="N36" s="77">
        <f>L36+M36</f>
        <v>1646399</v>
      </c>
      <c r="O36" s="103"/>
      <c r="P36" s="103"/>
      <c r="Q36" s="103"/>
      <c r="R36" s="77"/>
    </row>
    <row r="37" spans="1:18" ht="12.75">
      <c r="A37" s="82">
        <v>99</v>
      </c>
      <c r="B37" s="106" t="s">
        <v>150</v>
      </c>
      <c r="C37" s="77" t="s">
        <v>170</v>
      </c>
      <c r="F37" s="77">
        <f>I37+L37</f>
        <v>149640</v>
      </c>
      <c r="G37" s="77">
        <v>0</v>
      </c>
      <c r="H37" s="78">
        <f>F37+G37</f>
        <v>149640</v>
      </c>
      <c r="I37" s="77">
        <f>+I30</f>
        <v>68505</v>
      </c>
      <c r="J37" s="77">
        <v>0</v>
      </c>
      <c r="K37" s="78">
        <f>I37+J37</f>
        <v>68505</v>
      </c>
      <c r="L37" s="77">
        <f>+L31</f>
        <v>81135</v>
      </c>
      <c r="M37" s="77">
        <v>0</v>
      </c>
      <c r="N37" s="77">
        <f>L37+M37</f>
        <v>81135</v>
      </c>
      <c r="O37" s="103"/>
      <c r="P37" s="103"/>
      <c r="Q37" s="103"/>
      <c r="R37" s="77"/>
    </row>
    <row r="38" spans="1:18" ht="12.75">
      <c r="A38" s="82">
        <v>4</v>
      </c>
      <c r="B38" s="106" t="s">
        <v>150</v>
      </c>
      <c r="C38" s="77" t="s">
        <v>850</v>
      </c>
      <c r="F38" s="77">
        <f>I38+L38</f>
        <v>658987</v>
      </c>
      <c r="G38" s="77">
        <f>+G32</f>
        <v>2100940</v>
      </c>
      <c r="H38" s="78">
        <f>F38+G38</f>
        <v>2759927</v>
      </c>
      <c r="I38" s="77">
        <f>I32</f>
        <v>462840</v>
      </c>
      <c r="J38" s="77">
        <f>G38*VLOOKUP(A38,Allocators,7)</f>
        <v>1367649</v>
      </c>
      <c r="K38" s="78">
        <f>I38+J38</f>
        <v>1830489</v>
      </c>
      <c r="L38" s="77">
        <f>L32</f>
        <v>196147</v>
      </c>
      <c r="M38" s="77">
        <f>G38*VLOOKUP(A38,Allocators,8)</f>
        <v>733291</v>
      </c>
      <c r="N38" s="77">
        <f>L38+M38</f>
        <v>929438</v>
      </c>
      <c r="O38" s="103"/>
      <c r="P38" s="103"/>
      <c r="Q38" s="103"/>
      <c r="R38" s="77"/>
    </row>
    <row r="39" spans="1:18" ht="13.5" thickBot="1">
      <c r="A39" s="82"/>
      <c r="B39" s="106"/>
      <c r="C39" s="77" t="s">
        <v>568</v>
      </c>
      <c r="F39" s="234">
        <f aca="true" t="shared" si="2" ref="F39:N39">SUM(F36:F38)</f>
        <v>1943172</v>
      </c>
      <c r="G39" s="234">
        <f t="shared" si="2"/>
        <v>5492264</v>
      </c>
      <c r="H39" s="242">
        <f t="shared" si="2"/>
        <v>7435436</v>
      </c>
      <c r="I39" s="234">
        <f t="shared" si="2"/>
        <v>1203165</v>
      </c>
      <c r="J39" s="234">
        <f t="shared" si="2"/>
        <v>3575299</v>
      </c>
      <c r="K39" s="242">
        <f t="shared" si="2"/>
        <v>4778464</v>
      </c>
      <c r="L39" s="234">
        <f t="shared" si="2"/>
        <v>740007</v>
      </c>
      <c r="M39" s="234">
        <f t="shared" si="2"/>
        <v>1916965</v>
      </c>
      <c r="N39" s="234">
        <f t="shared" si="2"/>
        <v>2656972</v>
      </c>
      <c r="O39" s="103"/>
      <c r="P39" s="103"/>
      <c r="Q39" s="103"/>
      <c r="R39" s="77"/>
    </row>
    <row r="40" spans="1:18" ht="13.5" thickTop="1">
      <c r="A40" s="82"/>
      <c r="B40" s="106"/>
      <c r="C40" s="77"/>
      <c r="F40" s="77"/>
      <c r="G40" s="77"/>
      <c r="H40" s="78"/>
      <c r="I40" s="77"/>
      <c r="J40" s="77"/>
      <c r="K40" s="78"/>
      <c r="L40" s="77"/>
      <c r="M40" s="77"/>
      <c r="N40" s="77"/>
      <c r="O40" s="103"/>
      <c r="P40" s="103"/>
      <c r="Q40" s="103"/>
      <c r="R40" s="77"/>
    </row>
    <row r="41" spans="1:18" ht="12.75">
      <c r="A41" s="82"/>
      <c r="B41" s="106"/>
      <c r="C41" s="77" t="s">
        <v>538</v>
      </c>
      <c r="F41" s="77"/>
      <c r="G41" s="77"/>
      <c r="H41" s="78"/>
      <c r="I41" s="77"/>
      <c r="J41" s="77"/>
      <c r="K41" s="78"/>
      <c r="L41" s="77"/>
      <c r="M41" s="77"/>
      <c r="N41" s="77"/>
      <c r="O41" s="103"/>
      <c r="P41" s="103"/>
      <c r="Q41" s="103"/>
      <c r="R41" s="77"/>
    </row>
    <row r="42" spans="1:18" ht="12.75">
      <c r="A42" s="82" t="s">
        <v>751</v>
      </c>
      <c r="B42" s="106" t="s">
        <v>92</v>
      </c>
      <c r="C42" s="77" t="s">
        <v>539</v>
      </c>
      <c r="F42" s="77">
        <f aca="true" t="shared" si="3" ref="F42:N42">+F23</f>
        <v>5861872</v>
      </c>
      <c r="G42" s="77">
        <f t="shared" si="3"/>
        <v>4231253</v>
      </c>
      <c r="H42" s="78">
        <f t="shared" si="3"/>
        <v>10093125</v>
      </c>
      <c r="I42" s="77">
        <f t="shared" si="3"/>
        <v>4122615</v>
      </c>
      <c r="J42" s="77">
        <f t="shared" si="3"/>
        <v>2754419</v>
      </c>
      <c r="K42" s="78">
        <f t="shared" si="3"/>
        <v>6877034</v>
      </c>
      <c r="L42" s="77">
        <f t="shared" si="3"/>
        <v>1739257</v>
      </c>
      <c r="M42" s="77">
        <f t="shared" si="3"/>
        <v>1476834</v>
      </c>
      <c r="N42" s="77">
        <f t="shared" si="3"/>
        <v>3216091</v>
      </c>
      <c r="O42" s="103"/>
      <c r="P42" s="103"/>
      <c r="Q42" s="103"/>
      <c r="R42" s="77"/>
    </row>
    <row r="43" spans="1:18" ht="12.75">
      <c r="A43" s="82"/>
      <c r="B43" s="106"/>
      <c r="C43" s="77" t="s">
        <v>892</v>
      </c>
      <c r="G43" s="117">
        <f>+H43-I43-L43</f>
        <v>0.41922</v>
      </c>
      <c r="H43" s="293">
        <v>1</v>
      </c>
      <c r="I43" s="117">
        <f>I42/H42</f>
        <v>0.40846</v>
      </c>
      <c r="K43" s="293"/>
      <c r="L43" s="117">
        <f>L42/H42</f>
        <v>0.17232</v>
      </c>
      <c r="M43" s="117"/>
      <c r="N43" s="117"/>
      <c r="O43" s="103"/>
      <c r="P43" s="103"/>
      <c r="Q43" s="103"/>
      <c r="R43" s="77"/>
    </row>
    <row r="44" spans="1:18" ht="12.75">
      <c r="A44" s="82"/>
      <c r="B44" s="106"/>
      <c r="C44" s="77"/>
      <c r="F44" s="77"/>
      <c r="G44" s="77"/>
      <c r="H44" s="78"/>
      <c r="I44" s="77"/>
      <c r="J44" s="77"/>
      <c r="K44" s="78"/>
      <c r="L44" s="77"/>
      <c r="M44" s="77"/>
      <c r="N44" s="77"/>
      <c r="O44" s="103"/>
      <c r="P44" s="103"/>
      <c r="Q44" s="103"/>
      <c r="R44" s="77"/>
    </row>
    <row r="45" spans="3:17" ht="12.75">
      <c r="C45" s="294" t="s">
        <v>535</v>
      </c>
      <c r="H45" s="92"/>
      <c r="K45" s="92"/>
      <c r="O45" s="103"/>
      <c r="P45" s="103"/>
      <c r="Q45" s="103"/>
    </row>
    <row r="46" spans="1:18" ht="12.75">
      <c r="A46" s="82" t="s">
        <v>776</v>
      </c>
      <c r="B46" s="106" t="s">
        <v>138</v>
      </c>
      <c r="C46" s="77" t="s">
        <v>536</v>
      </c>
      <c r="G46" s="77">
        <f>+H46-I46-L46</f>
        <v>2617058</v>
      </c>
      <c r="H46" s="78">
        <f>+'C-ADP'!G31</f>
        <v>6242686</v>
      </c>
      <c r="I46" s="77">
        <f>H46*I43</f>
        <v>2549888</v>
      </c>
      <c r="K46" s="78"/>
      <c r="L46" s="77">
        <f>ROUND(H46*L43,0)</f>
        <v>1075740</v>
      </c>
      <c r="M46" s="77"/>
      <c r="N46" s="77"/>
      <c r="O46" s="103"/>
      <c r="P46" s="103"/>
      <c r="Q46" s="103"/>
      <c r="R46" s="77"/>
    </row>
    <row r="47" spans="1:18" ht="12.75">
      <c r="A47" s="82"/>
      <c r="B47" s="106" t="s">
        <v>151</v>
      </c>
      <c r="C47" s="77" t="s">
        <v>161</v>
      </c>
      <c r="G47" s="77">
        <f>+H47-I47-L47</f>
        <v>4867</v>
      </c>
      <c r="H47" s="78">
        <f>+'C-DEP'!G21</f>
        <v>11608</v>
      </c>
      <c r="I47" s="77">
        <f>H47*I43</f>
        <v>4741</v>
      </c>
      <c r="K47" s="78"/>
      <c r="L47" s="77">
        <f>ROUND(H47*L43,0)</f>
        <v>2000</v>
      </c>
      <c r="M47" s="77"/>
      <c r="N47" s="77"/>
      <c r="O47" s="103"/>
      <c r="P47" s="103"/>
      <c r="Q47" s="103"/>
      <c r="R47" s="77"/>
    </row>
    <row r="48" spans="1:18" ht="12.75">
      <c r="A48" s="82"/>
      <c r="B48" s="106" t="s">
        <v>151</v>
      </c>
      <c r="C48" s="77" t="s">
        <v>850</v>
      </c>
      <c r="G48" s="109">
        <f>Data!I55</f>
        <v>43490</v>
      </c>
      <c r="H48" s="78">
        <f>Data!H55</f>
        <v>79156</v>
      </c>
      <c r="I48" s="110">
        <f>Data!J55</f>
        <v>22389</v>
      </c>
      <c r="K48" s="78"/>
      <c r="L48" s="110">
        <f>Data!K55</f>
        <v>13277</v>
      </c>
      <c r="M48" s="77"/>
      <c r="N48" s="77"/>
      <c r="O48" s="103"/>
      <c r="P48" s="103"/>
      <c r="Q48" s="103"/>
      <c r="R48" s="77"/>
    </row>
    <row r="49" spans="1:18" ht="12.75">
      <c r="A49" s="82"/>
      <c r="B49" s="106"/>
      <c r="C49" s="77"/>
      <c r="F49" s="77"/>
      <c r="G49" s="77"/>
      <c r="H49" s="78"/>
      <c r="I49" s="77"/>
      <c r="J49" s="77"/>
      <c r="K49" s="78"/>
      <c r="L49" s="77"/>
      <c r="M49" s="77"/>
      <c r="N49" s="77"/>
      <c r="O49" s="103"/>
      <c r="P49" s="103"/>
      <c r="Q49" s="103"/>
      <c r="R49" s="77"/>
    </row>
    <row r="50" spans="1:18" ht="12.75">
      <c r="A50" s="82"/>
      <c r="B50" s="106"/>
      <c r="C50" s="77" t="s">
        <v>529</v>
      </c>
      <c r="F50" s="77"/>
      <c r="G50" s="77"/>
      <c r="H50" s="78"/>
      <c r="I50" s="77"/>
      <c r="J50" s="77"/>
      <c r="K50" s="78"/>
      <c r="L50" s="77"/>
      <c r="M50" s="77"/>
      <c r="N50" s="77"/>
      <c r="O50" s="103"/>
      <c r="P50" s="103"/>
      <c r="Q50" s="103"/>
      <c r="R50" s="77"/>
    </row>
    <row r="51" spans="1:18" ht="12.75">
      <c r="A51" s="82">
        <v>4</v>
      </c>
      <c r="B51" s="106" t="s">
        <v>138</v>
      </c>
      <c r="C51" s="77" t="s">
        <v>540</v>
      </c>
      <c r="F51" s="77">
        <f>I51+L51</f>
        <v>3625628</v>
      </c>
      <c r="G51" s="77">
        <f>G46</f>
        <v>2617058</v>
      </c>
      <c r="H51" s="78">
        <f>F51+G51</f>
        <v>6242686</v>
      </c>
      <c r="I51" s="77">
        <f>I46</f>
        <v>2549888</v>
      </c>
      <c r="J51" s="77">
        <f>G51*VLOOKUP(A51,Allocators,7)</f>
        <v>1703626</v>
      </c>
      <c r="K51" s="78">
        <f>I51+J51</f>
        <v>4253514</v>
      </c>
      <c r="L51" s="77">
        <f>L46</f>
        <v>1075740</v>
      </c>
      <c r="M51" s="77">
        <f>G51*VLOOKUP(A51,Allocators,8)</f>
        <v>913432</v>
      </c>
      <c r="N51" s="77">
        <f>L51+M51</f>
        <v>1989172</v>
      </c>
      <c r="O51" s="103"/>
      <c r="P51" s="103"/>
      <c r="Q51" s="103"/>
      <c r="R51" s="77"/>
    </row>
    <row r="52" spans="1:18" ht="12.75">
      <c r="A52" s="82">
        <v>4</v>
      </c>
      <c r="B52" s="106" t="s">
        <v>151</v>
      </c>
      <c r="C52" s="77" t="s">
        <v>161</v>
      </c>
      <c r="F52" s="77">
        <f>I52+L52</f>
        <v>6741</v>
      </c>
      <c r="G52" s="77">
        <f>+G47</f>
        <v>4867</v>
      </c>
      <c r="H52" s="78">
        <f>F52+G52</f>
        <v>11608</v>
      </c>
      <c r="I52" s="77">
        <f>+I47</f>
        <v>4741</v>
      </c>
      <c r="J52" s="77">
        <f>G52*VLOOKUP(A52,Allocators,7)</f>
        <v>3168</v>
      </c>
      <c r="K52" s="78">
        <f>I52+J52</f>
        <v>7909</v>
      </c>
      <c r="L52" s="77">
        <f>+L47</f>
        <v>2000</v>
      </c>
      <c r="M52" s="77">
        <f>G52*VLOOKUP(A52,Allocators,8)</f>
        <v>1699</v>
      </c>
      <c r="N52" s="77">
        <f>L52+M52</f>
        <v>3699</v>
      </c>
      <c r="O52" s="103"/>
      <c r="P52" s="103"/>
      <c r="Q52" s="103"/>
      <c r="R52" s="77"/>
    </row>
    <row r="53" spans="1:18" ht="12.75">
      <c r="A53" s="82">
        <v>4</v>
      </c>
      <c r="B53" s="106" t="s">
        <v>151</v>
      </c>
      <c r="C53" s="77" t="s">
        <v>850</v>
      </c>
      <c r="F53" s="77">
        <f>I53+L53</f>
        <v>35666</v>
      </c>
      <c r="G53" s="77">
        <f>+G48</f>
        <v>43490</v>
      </c>
      <c r="H53" s="78">
        <f>F53+G53</f>
        <v>79156</v>
      </c>
      <c r="I53" s="77">
        <f>+I48</f>
        <v>22389</v>
      </c>
      <c r="J53" s="77">
        <f>G53*VLOOKUP(A53,Allocators,7)</f>
        <v>28311</v>
      </c>
      <c r="K53" s="78">
        <f>I53+J53</f>
        <v>50700</v>
      </c>
      <c r="L53" s="77">
        <f>+L48</f>
        <v>13277</v>
      </c>
      <c r="M53" s="77">
        <f>G53*VLOOKUP(A53,Allocators,8)</f>
        <v>15179</v>
      </c>
      <c r="N53" s="77">
        <f>L53+M53</f>
        <v>28456</v>
      </c>
      <c r="O53" s="103"/>
      <c r="P53" s="103"/>
      <c r="Q53" s="103"/>
      <c r="R53" s="77"/>
    </row>
    <row r="54" spans="1:18" ht="12.75">
      <c r="A54" s="82"/>
      <c r="B54" s="106" t="s">
        <v>151</v>
      </c>
      <c r="C54" s="77" t="s">
        <v>568</v>
      </c>
      <c r="F54" s="113">
        <f>+F52+F53</f>
        <v>42407</v>
      </c>
      <c r="G54" s="113">
        <f>+G52+G53</f>
        <v>48357</v>
      </c>
      <c r="H54" s="114">
        <f aca="true" t="shared" si="4" ref="H54:N54">+H53+H52</f>
        <v>90764</v>
      </c>
      <c r="I54" s="113">
        <f t="shared" si="4"/>
        <v>27130</v>
      </c>
      <c r="J54" s="113">
        <f t="shared" si="4"/>
        <v>31479</v>
      </c>
      <c r="K54" s="113">
        <f t="shared" si="4"/>
        <v>58609</v>
      </c>
      <c r="L54" s="113">
        <f t="shared" si="4"/>
        <v>15277</v>
      </c>
      <c r="M54" s="113">
        <f t="shared" si="4"/>
        <v>16878</v>
      </c>
      <c r="N54" s="113">
        <f t="shared" si="4"/>
        <v>32155</v>
      </c>
      <c r="O54" s="103"/>
      <c r="P54" s="103"/>
      <c r="Q54" s="103"/>
      <c r="R54" s="77"/>
    </row>
    <row r="55" spans="1:18" ht="12.75">
      <c r="A55" s="82"/>
      <c r="B55" s="106"/>
      <c r="C55" s="77"/>
      <c r="F55" s="77"/>
      <c r="G55" s="77"/>
      <c r="H55" s="77"/>
      <c r="I55" s="77"/>
      <c r="J55" s="77"/>
      <c r="K55" s="77"/>
      <c r="L55" s="77"/>
      <c r="M55" s="77"/>
      <c r="N55" s="77"/>
      <c r="O55" s="103"/>
      <c r="P55" s="103"/>
      <c r="Q55" s="103"/>
      <c r="R55" s="77"/>
    </row>
    <row r="56" spans="1:18" ht="12.75">
      <c r="A56" s="82"/>
      <c r="B56" s="106"/>
      <c r="C56" s="77"/>
      <c r="F56" s="77"/>
      <c r="G56" s="77"/>
      <c r="H56" s="77"/>
      <c r="I56" s="77"/>
      <c r="J56" s="77"/>
      <c r="K56" s="77"/>
      <c r="L56" s="77"/>
      <c r="M56" s="77"/>
      <c r="N56" s="77"/>
      <c r="O56" s="103"/>
      <c r="P56" s="103"/>
      <c r="Q56" s="103"/>
      <c r="R56" s="77"/>
    </row>
    <row r="57" spans="1:18" ht="12.75">
      <c r="A57" s="77" t="s">
        <v>341</v>
      </c>
      <c r="B57" s="83"/>
      <c r="C57" s="77"/>
      <c r="F57" s="77"/>
      <c r="G57" s="77"/>
      <c r="H57" s="77"/>
      <c r="I57" s="77"/>
      <c r="J57" s="77"/>
      <c r="K57" s="77"/>
      <c r="L57" s="77"/>
      <c r="M57" s="77"/>
      <c r="N57" s="77"/>
      <c r="O57" s="103"/>
      <c r="P57" s="103"/>
      <c r="Q57" s="103"/>
      <c r="R57" s="77"/>
    </row>
    <row r="58" spans="1:18" ht="12.75">
      <c r="A58" s="82" t="s">
        <v>735</v>
      </c>
      <c r="B58" s="116">
        <v>4</v>
      </c>
      <c r="C58" s="77" t="str">
        <f>+'E-ALL'!C18</f>
        <v>Jurisdictional 4-Factor Ratio</v>
      </c>
      <c r="F58" s="77"/>
      <c r="G58" s="117">
        <f>VLOOKUP(B58,Allocators,6)</f>
        <v>1</v>
      </c>
      <c r="H58" s="117"/>
      <c r="I58" s="117"/>
      <c r="J58" s="117">
        <f>VLOOKUP(B58,Allocators,7)</f>
        <v>0.65097</v>
      </c>
      <c r="K58" s="117"/>
      <c r="L58" s="117"/>
      <c r="M58" s="117">
        <f>VLOOKUP(B58,Allocators,8)</f>
        <v>0.34903</v>
      </c>
      <c r="N58" s="117"/>
      <c r="O58" s="103"/>
      <c r="P58" s="103"/>
      <c r="Q58" s="103"/>
      <c r="R58" s="77"/>
    </row>
    <row r="59" spans="1:18" ht="12.75">
      <c r="A59" s="82" t="s">
        <v>735</v>
      </c>
      <c r="B59" s="116">
        <v>99</v>
      </c>
      <c r="C59" s="287" t="s">
        <v>906</v>
      </c>
      <c r="D59" s="116"/>
      <c r="E59" s="286"/>
      <c r="F59" s="117"/>
      <c r="G59" s="117">
        <v>0</v>
      </c>
      <c r="H59" s="117"/>
      <c r="I59" s="117"/>
      <c r="J59" s="117">
        <v>0</v>
      </c>
      <c r="K59" s="77"/>
      <c r="L59" s="77"/>
      <c r="M59" s="117">
        <v>0</v>
      </c>
      <c r="N59" s="77"/>
      <c r="O59" s="103"/>
      <c r="P59" s="103"/>
      <c r="Q59" s="103"/>
      <c r="R59" s="77"/>
    </row>
  </sheetData>
  <printOptions/>
  <pageMargins left="0.75" right="0.75" top="0.75" bottom="0.76" header="0.5" footer="0.5"/>
  <pageSetup fitToHeight="1" fitToWidth="1" horizontalDpi="300" verticalDpi="300" orientation="landscape" scale="62" r:id="rId1"/>
  <headerFooter alignWithMargins="0">
    <oddHeader>&amp;LAVISTA UTILITIES&amp;CRESULTS OF OPERATIONS&amp;RRUN DATE: &amp;D</oddHeader>
    <oddFooter>&amp;CPage &amp;P</oddFooter>
  </headerFooter>
</worksheet>
</file>

<file path=xl/worksheets/sheet2.xml><?xml version="1.0" encoding="utf-8"?>
<worksheet xmlns="http://schemas.openxmlformats.org/spreadsheetml/2006/main" xmlns:r="http://schemas.openxmlformats.org/officeDocument/2006/relationships">
  <sheetPr codeName="Sheet12">
    <tabColor indexed="10"/>
  </sheetPr>
  <dimension ref="A1:R121"/>
  <sheetViews>
    <sheetView workbookViewId="0" topLeftCell="A1">
      <pane xSplit="5" ySplit="5" topLeftCell="F6" activePane="bottomRight" state="frozen"/>
      <selection pane="topLeft" activeCell="H8" sqref="H8"/>
      <selection pane="topRight" activeCell="H8" sqref="H8"/>
      <selection pane="bottomLeft" activeCell="H8" sqref="H8"/>
      <selection pane="bottomRight" activeCell="G21" sqref="G21"/>
    </sheetView>
  </sheetViews>
  <sheetFormatPr defaultColWidth="9.00390625" defaultRowHeight="12.75"/>
  <cols>
    <col min="1" max="1" width="9.50390625" style="84" customWidth="1"/>
    <col min="2" max="2" width="10.50390625" style="84" bestFit="1" customWidth="1"/>
    <col min="3" max="3" width="16.875" style="84" customWidth="1"/>
    <col min="4" max="4" width="13.875" style="84" customWidth="1"/>
    <col min="5" max="5" width="15.875" style="84" customWidth="1"/>
    <col min="6" max="6" width="15.00390625" style="84" customWidth="1"/>
    <col min="7" max="8" width="17.00390625" style="84" customWidth="1"/>
    <col min="9" max="9" width="15.125" style="84" customWidth="1"/>
    <col min="10" max="10" width="15.875" style="84" customWidth="1"/>
    <col min="11" max="11" width="17.00390625" style="84" customWidth="1"/>
    <col min="12" max="12" width="15.125" style="84" customWidth="1"/>
    <col min="13" max="14" width="15.875" style="84" customWidth="1"/>
    <col min="15" max="16384" width="9.375" style="84" customWidth="1"/>
  </cols>
  <sheetData>
    <row r="1" spans="1:18" ht="12.75">
      <c r="A1" s="82"/>
      <c r="B1" s="83"/>
      <c r="C1" s="77"/>
      <c r="F1" s="77"/>
      <c r="G1" s="77"/>
      <c r="H1" s="77"/>
      <c r="I1" s="77"/>
      <c r="J1" s="77"/>
      <c r="K1" s="77"/>
      <c r="L1" s="77"/>
      <c r="M1" s="77"/>
      <c r="N1" s="77"/>
      <c r="R1" s="77"/>
    </row>
    <row r="2" spans="1:18" ht="14.25" customHeight="1">
      <c r="A2" s="85" t="s">
        <v>395</v>
      </c>
      <c r="B2" s="86"/>
      <c r="C2" s="87"/>
      <c r="D2" s="88"/>
      <c r="E2" s="89" t="s">
        <v>725</v>
      </c>
      <c r="F2" s="77"/>
      <c r="G2" s="77"/>
      <c r="H2" s="77"/>
      <c r="I2" s="77"/>
      <c r="J2" s="77"/>
      <c r="K2" s="77"/>
      <c r="L2" s="77"/>
      <c r="M2" s="77"/>
      <c r="N2" s="77"/>
      <c r="O2" s="77"/>
      <c r="P2" s="77"/>
      <c r="Q2" s="77"/>
      <c r="R2" s="77"/>
    </row>
    <row r="3" spans="1:18" ht="14.25" customHeight="1">
      <c r="A3" s="91" t="str">
        <f>tp_heading</f>
        <v>For Twelve Months Ended September 30, 2008</v>
      </c>
      <c r="D3" s="92"/>
      <c r="E3" s="93" t="str">
        <f>"E-PLT-"&amp;months&amp;rbcalc</f>
        <v>E-PLT-12A</v>
      </c>
      <c r="F3" s="77"/>
      <c r="G3" s="77"/>
      <c r="H3" s="77"/>
      <c r="I3" s="77"/>
      <c r="J3" s="77"/>
      <c r="K3" s="77"/>
      <c r="L3" s="77"/>
      <c r="M3" s="77"/>
      <c r="N3" s="77"/>
      <c r="O3" s="77"/>
      <c r="P3" s="77"/>
      <c r="Q3" s="77"/>
      <c r="R3" s="77"/>
    </row>
    <row r="4" spans="1:18" ht="14.25" customHeight="1">
      <c r="A4" s="94" t="str">
        <f>rbcalc_heading</f>
        <v>Average of Monthly Averages Basis</v>
      </c>
      <c r="B4" s="95"/>
      <c r="C4" s="96"/>
      <c r="D4" s="97"/>
      <c r="E4" s="98"/>
      <c r="F4" s="77" t="s">
        <v>921</v>
      </c>
      <c r="G4" s="77"/>
      <c r="H4" s="77"/>
      <c r="I4" s="77" t="s">
        <v>0</v>
      </c>
      <c r="J4" s="77"/>
      <c r="K4" s="77"/>
      <c r="L4" s="77" t="s">
        <v>589</v>
      </c>
      <c r="M4" s="77"/>
      <c r="N4" s="77"/>
      <c r="R4" s="77"/>
    </row>
    <row r="5" spans="1:18" ht="14.25" customHeight="1">
      <c r="A5" s="99" t="s">
        <v>2</v>
      </c>
      <c r="B5" s="100" t="s">
        <v>815</v>
      </c>
      <c r="C5" s="99" t="s">
        <v>844</v>
      </c>
      <c r="D5" s="96"/>
      <c r="E5" s="96"/>
      <c r="F5" s="99" t="s">
        <v>3</v>
      </c>
      <c r="G5" s="99" t="s">
        <v>4</v>
      </c>
      <c r="H5" s="99" t="s">
        <v>891</v>
      </c>
      <c r="I5" s="99" t="s">
        <v>3</v>
      </c>
      <c r="J5" s="99" t="s">
        <v>4</v>
      </c>
      <c r="K5" s="99" t="s">
        <v>891</v>
      </c>
      <c r="L5" s="99" t="s">
        <v>3</v>
      </c>
      <c r="M5" s="99" t="s">
        <v>4</v>
      </c>
      <c r="N5" s="99" t="s">
        <v>891</v>
      </c>
      <c r="R5" s="77"/>
    </row>
    <row r="6" spans="1:18" ht="14.25" customHeight="1">
      <c r="A6" s="82"/>
      <c r="B6" s="83"/>
      <c r="C6" s="77" t="s">
        <v>397</v>
      </c>
      <c r="F6" s="77"/>
      <c r="G6" s="77"/>
      <c r="H6" s="78"/>
      <c r="I6" s="77"/>
      <c r="J6" s="77"/>
      <c r="K6" s="78"/>
      <c r="L6" s="77"/>
      <c r="M6" s="77"/>
      <c r="N6" s="77"/>
      <c r="R6" s="77"/>
    </row>
    <row r="7" spans="1:18" ht="14.25" customHeight="1">
      <c r="A7" s="82"/>
      <c r="B7" s="83"/>
      <c r="C7" s="77" t="s">
        <v>398</v>
      </c>
      <c r="F7" s="77"/>
      <c r="G7" s="77"/>
      <c r="H7" s="78"/>
      <c r="I7" s="77"/>
      <c r="J7" s="77"/>
      <c r="K7" s="78"/>
      <c r="L7" s="77"/>
      <c r="M7" s="77"/>
      <c r="N7" s="77"/>
      <c r="R7" s="77"/>
    </row>
    <row r="8" spans="1:18" ht="14.25" customHeight="1">
      <c r="A8" s="82">
        <v>1</v>
      </c>
      <c r="B8" s="105">
        <v>301000</v>
      </c>
      <c r="C8" s="77" t="s">
        <v>399</v>
      </c>
      <c r="F8" s="77">
        <f aca="true" t="shared" si="0" ref="F8:F14">I8+L8</f>
        <v>0</v>
      </c>
      <c r="G8" s="77">
        <f>Data!I498</f>
        <v>0</v>
      </c>
      <c r="H8" s="78">
        <f aca="true" t="shared" si="1" ref="H8:H14">F8+G8</f>
        <v>0</v>
      </c>
      <c r="I8" s="77">
        <f>Data!J498</f>
        <v>0</v>
      </c>
      <c r="J8" s="77">
        <f aca="true" t="shared" si="2" ref="J8:J14">G8*VLOOKUP(A8,Allocators,7)</f>
        <v>0</v>
      </c>
      <c r="K8" s="78">
        <f aca="true" t="shared" si="3" ref="K8:K14">I8+J8</f>
        <v>0</v>
      </c>
      <c r="L8" s="77">
        <f>Data!K498</f>
        <v>0</v>
      </c>
      <c r="M8" s="77">
        <f aca="true" t="shared" si="4" ref="M8:M14">G8*VLOOKUP(A8,Allocators,8)</f>
        <v>0</v>
      </c>
      <c r="N8" s="77">
        <f aca="true" t="shared" si="5" ref="N8:N14">L8+M8</f>
        <v>0</v>
      </c>
      <c r="R8" s="77"/>
    </row>
    <row r="9" spans="1:18" ht="14.25" customHeight="1">
      <c r="A9" s="82">
        <v>1</v>
      </c>
      <c r="B9" s="105">
        <v>302000</v>
      </c>
      <c r="C9" s="77" t="s">
        <v>400</v>
      </c>
      <c r="F9" s="77">
        <f t="shared" si="0"/>
        <v>0</v>
      </c>
      <c r="G9" s="77">
        <f>Data!I499</f>
        <v>15259132</v>
      </c>
      <c r="H9" s="78">
        <f t="shared" si="1"/>
        <v>15259132</v>
      </c>
      <c r="I9" s="77">
        <f>Data!J499</f>
        <v>0</v>
      </c>
      <c r="J9" s="77">
        <f t="shared" si="2"/>
        <v>9855873</v>
      </c>
      <c r="K9" s="78">
        <f t="shared" si="3"/>
        <v>9855873</v>
      </c>
      <c r="L9" s="77">
        <f>Data!K499</f>
        <v>0</v>
      </c>
      <c r="M9" s="77">
        <f t="shared" si="4"/>
        <v>5403259</v>
      </c>
      <c r="N9" s="77">
        <f t="shared" si="5"/>
        <v>5403259</v>
      </c>
      <c r="R9" s="77"/>
    </row>
    <row r="10" spans="1:18" ht="14.25" customHeight="1">
      <c r="A10" s="82">
        <v>1</v>
      </c>
      <c r="B10" s="105">
        <v>303000</v>
      </c>
      <c r="C10" s="77" t="s">
        <v>401</v>
      </c>
      <c r="F10" s="77">
        <f t="shared" si="0"/>
        <v>153179</v>
      </c>
      <c r="G10" s="77">
        <f>Data!I500</f>
        <v>2026550</v>
      </c>
      <c r="H10" s="78">
        <f t="shared" si="1"/>
        <v>2179729</v>
      </c>
      <c r="I10" s="77">
        <f>Data!J500</f>
        <v>153179</v>
      </c>
      <c r="J10" s="77">
        <f t="shared" si="2"/>
        <v>1308949</v>
      </c>
      <c r="K10" s="78">
        <f t="shared" si="3"/>
        <v>1462128</v>
      </c>
      <c r="L10" s="77">
        <f>Data!K500</f>
        <v>0</v>
      </c>
      <c r="M10" s="77">
        <f t="shared" si="4"/>
        <v>717601</v>
      </c>
      <c r="N10" s="77">
        <f t="shared" si="5"/>
        <v>717601</v>
      </c>
      <c r="R10" s="77"/>
    </row>
    <row r="11" spans="1:18" ht="14.25" customHeight="1">
      <c r="A11" s="82">
        <v>4</v>
      </c>
      <c r="B11" s="106" t="s">
        <v>780</v>
      </c>
      <c r="C11" s="77" t="s">
        <v>401</v>
      </c>
      <c r="F11" s="77">
        <f t="shared" si="0"/>
        <v>0</v>
      </c>
      <c r="G11" s="77">
        <f>+'C-IPL'!H14</f>
        <v>95964</v>
      </c>
      <c r="H11" s="78">
        <f t="shared" si="1"/>
        <v>95964</v>
      </c>
      <c r="I11" s="77">
        <f>'C-IPL'!F22</f>
        <v>0</v>
      </c>
      <c r="J11" s="77">
        <f>G11*VLOOKUP(A11,Allocators,7)</f>
        <v>62470</v>
      </c>
      <c r="K11" s="78">
        <f>I11+J11</f>
        <v>62470</v>
      </c>
      <c r="L11" s="77">
        <f>'C-IPL'!G22</f>
        <v>0</v>
      </c>
      <c r="M11" s="77">
        <f>G11*VLOOKUP(A11,Allocators,8)</f>
        <v>33494</v>
      </c>
      <c r="N11" s="77">
        <f>L11+M11</f>
        <v>33494</v>
      </c>
      <c r="R11" s="77"/>
    </row>
    <row r="12" spans="1:14" ht="14.25" customHeight="1">
      <c r="A12" s="82">
        <v>4</v>
      </c>
      <c r="B12" s="106" t="s">
        <v>780</v>
      </c>
      <c r="C12" s="77" t="s">
        <v>77</v>
      </c>
      <c r="F12" s="77">
        <f t="shared" si="0"/>
        <v>0</v>
      </c>
      <c r="G12" s="77">
        <f>+'C-IPL'!H23</f>
        <v>8892168</v>
      </c>
      <c r="H12" s="78">
        <f t="shared" si="1"/>
        <v>8892168</v>
      </c>
      <c r="I12" s="77">
        <f>'C-IPL'!F23</f>
        <v>0</v>
      </c>
      <c r="J12" s="77">
        <f t="shared" si="2"/>
        <v>5788535</v>
      </c>
      <c r="K12" s="78">
        <f t="shared" si="3"/>
        <v>5788535</v>
      </c>
      <c r="L12" s="77">
        <f>'C-IPL'!G23</f>
        <v>0</v>
      </c>
      <c r="M12" s="77">
        <f t="shared" si="4"/>
        <v>3103633</v>
      </c>
      <c r="N12" s="77">
        <f t="shared" si="5"/>
        <v>3103633</v>
      </c>
    </row>
    <row r="13" spans="1:14" ht="14.25" customHeight="1">
      <c r="A13" s="82">
        <v>4</v>
      </c>
      <c r="B13" s="106" t="s">
        <v>780</v>
      </c>
      <c r="C13" s="77" t="s">
        <v>78</v>
      </c>
      <c r="F13" s="77">
        <f t="shared" si="0"/>
        <v>0</v>
      </c>
      <c r="G13" s="77">
        <f>+'C-IPL'!H32</f>
        <v>8095145</v>
      </c>
      <c r="H13" s="78">
        <f t="shared" si="1"/>
        <v>8095145</v>
      </c>
      <c r="I13" s="77">
        <f>'C-IPL'!F32</f>
        <v>0</v>
      </c>
      <c r="J13" s="77">
        <f t="shared" si="2"/>
        <v>5269697</v>
      </c>
      <c r="K13" s="78">
        <f t="shared" si="3"/>
        <v>5269697</v>
      </c>
      <c r="L13" s="77">
        <f>'C-IPL'!G32</f>
        <v>0</v>
      </c>
      <c r="M13" s="77">
        <f t="shared" si="4"/>
        <v>2825448</v>
      </c>
      <c r="N13" s="77">
        <f t="shared" si="5"/>
        <v>2825448</v>
      </c>
    </row>
    <row r="14" spans="1:14" ht="14.25" customHeight="1">
      <c r="A14" s="82">
        <v>4</v>
      </c>
      <c r="B14" s="106" t="s">
        <v>780</v>
      </c>
      <c r="C14" s="77" t="s">
        <v>79</v>
      </c>
      <c r="F14" s="77">
        <f t="shared" si="0"/>
        <v>0</v>
      </c>
      <c r="G14" s="77">
        <f>+'C-IPL'!H41</f>
        <v>0</v>
      </c>
      <c r="H14" s="78">
        <f t="shared" si="1"/>
        <v>0</v>
      </c>
      <c r="I14" s="77">
        <f>'C-IPL'!F41</f>
        <v>0</v>
      </c>
      <c r="J14" s="77">
        <f t="shared" si="2"/>
        <v>0</v>
      </c>
      <c r="K14" s="78">
        <f t="shared" si="3"/>
        <v>0</v>
      </c>
      <c r="L14" s="77">
        <f>'C-IPL'!G32</f>
        <v>0</v>
      </c>
      <c r="M14" s="77">
        <f t="shared" si="4"/>
        <v>0</v>
      </c>
      <c r="N14" s="77">
        <f t="shared" si="5"/>
        <v>0</v>
      </c>
    </row>
    <row r="15" spans="1:14" ht="14.25" customHeight="1">
      <c r="A15" s="82"/>
      <c r="B15" s="83"/>
      <c r="C15" s="77" t="s">
        <v>402</v>
      </c>
      <c r="F15" s="107">
        <f aca="true" t="shared" si="6" ref="F15:N15">SUM(F8:F14)</f>
        <v>153179</v>
      </c>
      <c r="G15" s="107">
        <f t="shared" si="6"/>
        <v>34368959</v>
      </c>
      <c r="H15" s="108">
        <f t="shared" si="6"/>
        <v>34522138</v>
      </c>
      <c r="I15" s="107">
        <f t="shared" si="6"/>
        <v>153179</v>
      </c>
      <c r="J15" s="107">
        <f t="shared" si="6"/>
        <v>22285524</v>
      </c>
      <c r="K15" s="108">
        <f t="shared" si="6"/>
        <v>22438703</v>
      </c>
      <c r="L15" s="107">
        <f t="shared" si="6"/>
        <v>0</v>
      </c>
      <c r="M15" s="107">
        <f t="shared" si="6"/>
        <v>12083435</v>
      </c>
      <c r="N15" s="107">
        <f t="shared" si="6"/>
        <v>12083435</v>
      </c>
    </row>
    <row r="16" spans="1:18" ht="14.25" customHeight="1">
      <c r="A16" s="82"/>
      <c r="B16" s="83"/>
      <c r="C16" s="77"/>
      <c r="F16" s="77"/>
      <c r="G16" s="77"/>
      <c r="H16" s="78"/>
      <c r="I16" s="77"/>
      <c r="J16" s="77"/>
      <c r="K16" s="78"/>
      <c r="L16" s="77"/>
      <c r="M16" s="77"/>
      <c r="N16" s="77"/>
      <c r="R16" s="77"/>
    </row>
    <row r="17" spans="1:18" ht="14.25" customHeight="1">
      <c r="A17" s="82"/>
      <c r="B17" s="83"/>
      <c r="C17" s="77" t="s">
        <v>403</v>
      </c>
      <c r="F17" s="77"/>
      <c r="G17" s="77"/>
      <c r="H17" s="78"/>
      <c r="I17" s="77"/>
      <c r="J17" s="77"/>
      <c r="K17" s="78"/>
      <c r="L17" s="77"/>
      <c r="M17" s="77"/>
      <c r="N17" s="77"/>
      <c r="R17" s="77"/>
    </row>
    <row r="18" spans="1:18" ht="14.25" customHeight="1">
      <c r="A18" s="82">
        <v>1</v>
      </c>
      <c r="B18" s="105" t="s">
        <v>80</v>
      </c>
      <c r="C18" s="77" t="s">
        <v>404</v>
      </c>
      <c r="F18" s="77">
        <f aca="true" t="shared" si="7" ref="F18:F23">I18+L18</f>
        <v>0</v>
      </c>
      <c r="G18" s="77">
        <f>Data!I501</f>
        <v>2233416</v>
      </c>
      <c r="H18" s="78">
        <f aca="true" t="shared" si="8" ref="H18:H23">F18+G18</f>
        <v>2233416</v>
      </c>
      <c r="I18" s="77">
        <f>Data!J501</f>
        <v>0</v>
      </c>
      <c r="J18" s="77">
        <f aca="true" t="shared" si="9" ref="J18:J23">G18*VLOOKUP(A18,Allocators,7)</f>
        <v>1442563</v>
      </c>
      <c r="K18" s="78">
        <f aca="true" t="shared" si="10" ref="K18:K23">I18+J18</f>
        <v>1442563</v>
      </c>
      <c r="L18" s="77">
        <f>Data!K501</f>
        <v>0</v>
      </c>
      <c r="M18" s="77">
        <f aca="true" t="shared" si="11" ref="M18:M23">G18*VLOOKUP(A18,Allocators,8)</f>
        <v>790853</v>
      </c>
      <c r="N18" s="77">
        <f aca="true" t="shared" si="12" ref="N18:N23">L18+M18</f>
        <v>790853</v>
      </c>
      <c r="R18" s="77"/>
    </row>
    <row r="19" spans="1:18" ht="14.25" customHeight="1">
      <c r="A19" s="82">
        <v>1</v>
      </c>
      <c r="B19" s="105" t="s">
        <v>81</v>
      </c>
      <c r="C19" s="77" t="s">
        <v>405</v>
      </c>
      <c r="F19" s="77">
        <f t="shared" si="7"/>
        <v>0</v>
      </c>
      <c r="G19" s="77">
        <f>Data!I502</f>
        <v>124584016</v>
      </c>
      <c r="H19" s="78">
        <f t="shared" si="8"/>
        <v>124584016</v>
      </c>
      <c r="I19" s="77">
        <f>Data!J502</f>
        <v>0</v>
      </c>
      <c r="J19" s="77">
        <f t="shared" si="9"/>
        <v>80468816</v>
      </c>
      <c r="K19" s="78">
        <f t="shared" si="10"/>
        <v>80468816</v>
      </c>
      <c r="L19" s="77">
        <f>Data!K502</f>
        <v>0</v>
      </c>
      <c r="M19" s="77">
        <f t="shared" si="11"/>
        <v>44115200</v>
      </c>
      <c r="N19" s="77">
        <f t="shared" si="12"/>
        <v>44115200</v>
      </c>
      <c r="R19" s="77"/>
    </row>
    <row r="20" spans="1:18" ht="14.25" customHeight="1">
      <c r="A20" s="82">
        <v>1</v>
      </c>
      <c r="B20" s="105">
        <v>312000</v>
      </c>
      <c r="C20" s="77" t="s">
        <v>37</v>
      </c>
      <c r="F20" s="77">
        <f t="shared" si="7"/>
        <v>0</v>
      </c>
      <c r="G20" s="77">
        <f>Data!I503</f>
        <v>162347551</v>
      </c>
      <c r="H20" s="78">
        <f t="shared" si="8"/>
        <v>162347551</v>
      </c>
      <c r="I20" s="77">
        <f>Data!J503</f>
        <v>0</v>
      </c>
      <c r="J20" s="77">
        <f t="shared" si="9"/>
        <v>104860283</v>
      </c>
      <c r="K20" s="78">
        <f t="shared" si="10"/>
        <v>104860283</v>
      </c>
      <c r="L20" s="77">
        <f>Data!K503</f>
        <v>0</v>
      </c>
      <c r="M20" s="77">
        <f t="shared" si="11"/>
        <v>57487268</v>
      </c>
      <c r="N20" s="77">
        <f t="shared" si="12"/>
        <v>57487268</v>
      </c>
      <c r="R20" s="77"/>
    </row>
    <row r="21" spans="1:18" ht="14.25" customHeight="1">
      <c r="A21" s="82">
        <v>1</v>
      </c>
      <c r="B21" s="105">
        <v>314000</v>
      </c>
      <c r="C21" s="77" t="s">
        <v>406</v>
      </c>
      <c r="F21" s="77">
        <f t="shared" si="7"/>
        <v>0</v>
      </c>
      <c r="G21" s="77">
        <f>Data!I504</f>
        <v>48341760</v>
      </c>
      <c r="H21" s="78">
        <f t="shared" si="8"/>
        <v>48341760</v>
      </c>
      <c r="I21" s="77">
        <f>Data!J504</f>
        <v>0</v>
      </c>
      <c r="J21" s="77">
        <f t="shared" si="9"/>
        <v>31223943</v>
      </c>
      <c r="K21" s="78">
        <f t="shared" si="10"/>
        <v>31223943</v>
      </c>
      <c r="L21" s="77">
        <f>Data!K504</f>
        <v>0</v>
      </c>
      <c r="M21" s="77">
        <f t="shared" si="11"/>
        <v>17117817</v>
      </c>
      <c r="N21" s="77">
        <f t="shared" si="12"/>
        <v>17117817</v>
      </c>
      <c r="R21" s="77"/>
    </row>
    <row r="22" spans="1:18" ht="14.25" customHeight="1">
      <c r="A22" s="82">
        <v>1</v>
      </c>
      <c r="B22" s="105">
        <v>315000</v>
      </c>
      <c r="C22" s="77" t="s">
        <v>407</v>
      </c>
      <c r="F22" s="77">
        <f t="shared" si="7"/>
        <v>0</v>
      </c>
      <c r="G22" s="77">
        <f>Data!I505</f>
        <v>26331730</v>
      </c>
      <c r="H22" s="78">
        <f t="shared" si="8"/>
        <v>26331730</v>
      </c>
      <c r="I22" s="77">
        <f>Data!J505</f>
        <v>0</v>
      </c>
      <c r="J22" s="77">
        <f t="shared" si="9"/>
        <v>17007664</v>
      </c>
      <c r="K22" s="78">
        <f t="shared" si="10"/>
        <v>17007664</v>
      </c>
      <c r="L22" s="77">
        <f>Data!K505</f>
        <v>0</v>
      </c>
      <c r="M22" s="77">
        <f t="shared" si="11"/>
        <v>9324066</v>
      </c>
      <c r="N22" s="77">
        <f t="shared" si="12"/>
        <v>9324066</v>
      </c>
      <c r="R22" s="77"/>
    </row>
    <row r="23" spans="1:18" ht="14.25" customHeight="1">
      <c r="A23" s="82">
        <v>1</v>
      </c>
      <c r="B23" s="105">
        <v>316000</v>
      </c>
      <c r="C23" s="77" t="s">
        <v>408</v>
      </c>
      <c r="F23" s="77">
        <f t="shared" si="7"/>
        <v>0</v>
      </c>
      <c r="G23" s="77">
        <f>Data!I506</f>
        <v>15295499</v>
      </c>
      <c r="H23" s="78">
        <f t="shared" si="8"/>
        <v>15295499</v>
      </c>
      <c r="I23" s="77">
        <f>Data!J506</f>
        <v>0</v>
      </c>
      <c r="J23" s="77">
        <f t="shared" si="9"/>
        <v>9879363</v>
      </c>
      <c r="K23" s="78">
        <f t="shared" si="10"/>
        <v>9879363</v>
      </c>
      <c r="L23" s="77">
        <f>Data!K506</f>
        <v>0</v>
      </c>
      <c r="M23" s="77">
        <f t="shared" si="11"/>
        <v>5416136</v>
      </c>
      <c r="N23" s="77">
        <f t="shared" si="12"/>
        <v>5416136</v>
      </c>
      <c r="R23" s="77"/>
    </row>
    <row r="24" spans="1:18" ht="14.25" customHeight="1">
      <c r="A24" s="82">
        <v>1</v>
      </c>
      <c r="B24" s="105">
        <v>317000</v>
      </c>
      <c r="C24" s="77" t="s">
        <v>253</v>
      </c>
      <c r="F24" s="77">
        <f>I24+L24</f>
        <v>0</v>
      </c>
      <c r="G24" s="77">
        <v>0</v>
      </c>
      <c r="H24" s="78">
        <f>F24+G24</f>
        <v>0</v>
      </c>
      <c r="I24" s="77">
        <v>0</v>
      </c>
      <c r="J24" s="77">
        <f>G24*VLOOKUP(A24,Allocators,7)</f>
        <v>0</v>
      </c>
      <c r="K24" s="78">
        <f>I24+J24</f>
        <v>0</v>
      </c>
      <c r="L24" s="77">
        <v>0</v>
      </c>
      <c r="M24" s="77">
        <f>G24*VLOOKUP(A24,Allocators,8)</f>
        <v>0</v>
      </c>
      <c r="N24" s="77">
        <f>L24+M24</f>
        <v>0</v>
      </c>
      <c r="R24" s="77"/>
    </row>
    <row r="25" spans="1:18" ht="14.25" customHeight="1">
      <c r="A25" s="82"/>
      <c r="B25" s="106"/>
      <c r="C25" s="77" t="s">
        <v>409</v>
      </c>
      <c r="F25" s="107">
        <f aca="true" t="shared" si="13" ref="F25:N25">SUM(F18:F24)</f>
        <v>0</v>
      </c>
      <c r="G25" s="107">
        <f t="shared" si="13"/>
        <v>379133972</v>
      </c>
      <c r="H25" s="108">
        <f t="shared" si="13"/>
        <v>379133972</v>
      </c>
      <c r="I25" s="107">
        <f t="shared" si="13"/>
        <v>0</v>
      </c>
      <c r="J25" s="107">
        <f t="shared" si="13"/>
        <v>244882632</v>
      </c>
      <c r="K25" s="108">
        <f t="shared" si="13"/>
        <v>244882632</v>
      </c>
      <c r="L25" s="107">
        <f t="shared" si="13"/>
        <v>0</v>
      </c>
      <c r="M25" s="107">
        <f t="shared" si="13"/>
        <v>134251340</v>
      </c>
      <c r="N25" s="107">
        <f t="shared" si="13"/>
        <v>134251340</v>
      </c>
      <c r="R25" s="77"/>
    </row>
    <row r="26" spans="1:18" ht="14.25" customHeight="1">
      <c r="A26" s="82"/>
      <c r="B26" s="106"/>
      <c r="C26" s="77"/>
      <c r="F26" s="77"/>
      <c r="G26" s="77"/>
      <c r="H26" s="78"/>
      <c r="I26" s="77"/>
      <c r="J26" s="77"/>
      <c r="K26" s="78"/>
      <c r="L26" s="77"/>
      <c r="M26" s="77"/>
      <c r="N26" s="77"/>
      <c r="R26" s="77"/>
    </row>
    <row r="27" spans="1:18" ht="14.25" customHeight="1">
      <c r="A27" s="82"/>
      <c r="B27" s="83"/>
      <c r="C27" s="77" t="s">
        <v>410</v>
      </c>
      <c r="F27" s="77"/>
      <c r="G27" s="77"/>
      <c r="H27" s="78"/>
      <c r="I27" s="77"/>
      <c r="J27" s="77"/>
      <c r="K27" s="78"/>
      <c r="L27" s="77"/>
      <c r="M27" s="77"/>
      <c r="N27" s="77"/>
      <c r="R27" s="77"/>
    </row>
    <row r="28" spans="1:18" ht="14.25" customHeight="1">
      <c r="A28" s="82">
        <v>1</v>
      </c>
      <c r="B28" s="105" t="s">
        <v>82</v>
      </c>
      <c r="C28" s="77" t="s">
        <v>404</v>
      </c>
      <c r="F28" s="77">
        <f aca="true" t="shared" si="14" ref="F28:F34">I28+L28</f>
        <v>0</v>
      </c>
      <c r="G28" s="77">
        <f>Data!I508</f>
        <v>56001584</v>
      </c>
      <c r="H28" s="78">
        <f aca="true" t="shared" si="15" ref="H28:H34">F28+G28</f>
        <v>56001584</v>
      </c>
      <c r="I28" s="77">
        <f>Data!J508</f>
        <v>0</v>
      </c>
      <c r="J28" s="77">
        <f aca="true" t="shared" si="16" ref="J28:J34">G28*VLOOKUP(A28,Allocators,7)</f>
        <v>36171423</v>
      </c>
      <c r="K28" s="78">
        <f aca="true" t="shared" si="17" ref="K28:K34">I28+J28</f>
        <v>36171423</v>
      </c>
      <c r="L28" s="77">
        <f>Data!K508</f>
        <v>0</v>
      </c>
      <c r="M28" s="77">
        <f aca="true" t="shared" si="18" ref="M28:M34">G28*VLOOKUP(A28,Allocators,8)</f>
        <v>19830161</v>
      </c>
      <c r="N28" s="77">
        <f aca="true" t="shared" si="19" ref="N28:N34">L28+M28</f>
        <v>19830161</v>
      </c>
      <c r="R28" s="77"/>
    </row>
    <row r="29" spans="1:18" ht="14.25" customHeight="1">
      <c r="A29" s="82">
        <v>1</v>
      </c>
      <c r="B29" s="105" t="s">
        <v>83</v>
      </c>
      <c r="C29" s="77" t="s">
        <v>405</v>
      </c>
      <c r="F29" s="77">
        <f t="shared" si="14"/>
        <v>0</v>
      </c>
      <c r="G29" s="77">
        <f>Data!I509</f>
        <v>39239747</v>
      </c>
      <c r="H29" s="78">
        <f t="shared" si="15"/>
        <v>39239747</v>
      </c>
      <c r="I29" s="77">
        <f>Data!J509</f>
        <v>0</v>
      </c>
      <c r="J29" s="77">
        <f t="shared" si="16"/>
        <v>25344953</v>
      </c>
      <c r="K29" s="78">
        <f t="shared" si="17"/>
        <v>25344953</v>
      </c>
      <c r="L29" s="77">
        <f>Data!K509</f>
        <v>0</v>
      </c>
      <c r="M29" s="77">
        <f t="shared" si="18"/>
        <v>13894794</v>
      </c>
      <c r="N29" s="77">
        <f t="shared" si="19"/>
        <v>13894794</v>
      </c>
      <c r="R29" s="77"/>
    </row>
    <row r="30" spans="1:18" ht="14.25" customHeight="1">
      <c r="A30" s="82">
        <v>1</v>
      </c>
      <c r="B30" s="105" t="s">
        <v>84</v>
      </c>
      <c r="C30" s="77" t="s">
        <v>48</v>
      </c>
      <c r="F30" s="77">
        <f t="shared" si="14"/>
        <v>0</v>
      </c>
      <c r="G30" s="77">
        <f>Data!I510</f>
        <v>112035536</v>
      </c>
      <c r="H30" s="78">
        <f t="shared" si="15"/>
        <v>112035536</v>
      </c>
      <c r="I30" s="77">
        <f>Data!J510</f>
        <v>0</v>
      </c>
      <c r="J30" s="77">
        <f t="shared" si="16"/>
        <v>72363753</v>
      </c>
      <c r="K30" s="78">
        <f t="shared" si="17"/>
        <v>72363753</v>
      </c>
      <c r="L30" s="77">
        <f>Data!K510</f>
        <v>0</v>
      </c>
      <c r="M30" s="77">
        <f t="shared" si="18"/>
        <v>39671783</v>
      </c>
      <c r="N30" s="77">
        <f t="shared" si="19"/>
        <v>39671783</v>
      </c>
      <c r="R30" s="77"/>
    </row>
    <row r="31" spans="1:18" ht="14.25" customHeight="1">
      <c r="A31" s="82">
        <v>1</v>
      </c>
      <c r="B31" s="105">
        <v>333000</v>
      </c>
      <c r="C31" s="77" t="s">
        <v>411</v>
      </c>
      <c r="F31" s="77">
        <f t="shared" si="14"/>
        <v>0</v>
      </c>
      <c r="G31" s="77">
        <f>Data!I511</f>
        <v>118710254</v>
      </c>
      <c r="H31" s="78">
        <f t="shared" si="15"/>
        <v>118710254</v>
      </c>
      <c r="I31" s="77">
        <f>Data!J511</f>
        <v>0</v>
      </c>
      <c r="J31" s="77">
        <f t="shared" si="16"/>
        <v>76674953</v>
      </c>
      <c r="K31" s="78">
        <f t="shared" si="17"/>
        <v>76674953</v>
      </c>
      <c r="L31" s="77">
        <f>Data!K511</f>
        <v>0</v>
      </c>
      <c r="M31" s="77">
        <f t="shared" si="18"/>
        <v>42035301</v>
      </c>
      <c r="N31" s="77">
        <f t="shared" si="19"/>
        <v>42035301</v>
      </c>
      <c r="R31" s="77"/>
    </row>
    <row r="32" spans="1:18" ht="14.25" customHeight="1">
      <c r="A32" s="82">
        <v>1</v>
      </c>
      <c r="B32" s="105">
        <v>334000</v>
      </c>
      <c r="C32" s="77" t="s">
        <v>407</v>
      </c>
      <c r="F32" s="77">
        <f t="shared" si="14"/>
        <v>0</v>
      </c>
      <c r="G32" s="77">
        <f>Data!I512</f>
        <v>29634097</v>
      </c>
      <c r="H32" s="78">
        <f t="shared" si="15"/>
        <v>29634097</v>
      </c>
      <c r="I32" s="77">
        <f>Data!J512</f>
        <v>0</v>
      </c>
      <c r="J32" s="77">
        <f t="shared" si="16"/>
        <v>19140663</v>
      </c>
      <c r="K32" s="78">
        <f t="shared" si="17"/>
        <v>19140663</v>
      </c>
      <c r="L32" s="77">
        <f>Data!K512</f>
        <v>0</v>
      </c>
      <c r="M32" s="77">
        <f t="shared" si="18"/>
        <v>10493434</v>
      </c>
      <c r="N32" s="77">
        <f t="shared" si="19"/>
        <v>10493434</v>
      </c>
      <c r="R32" s="77"/>
    </row>
    <row r="33" spans="1:18" ht="14.25" customHeight="1">
      <c r="A33" s="82">
        <v>1</v>
      </c>
      <c r="B33" s="105" t="s">
        <v>85</v>
      </c>
      <c r="C33" s="77" t="s">
        <v>408</v>
      </c>
      <c r="F33" s="77">
        <f t="shared" si="14"/>
        <v>0</v>
      </c>
      <c r="G33" s="77">
        <f>Data!I513</f>
        <v>6226771</v>
      </c>
      <c r="H33" s="78">
        <f t="shared" si="15"/>
        <v>6226771</v>
      </c>
      <c r="I33" s="77">
        <f>Data!J513</f>
        <v>0</v>
      </c>
      <c r="J33" s="77">
        <f t="shared" si="16"/>
        <v>4021871</v>
      </c>
      <c r="K33" s="78">
        <f t="shared" si="17"/>
        <v>4021871</v>
      </c>
      <c r="L33" s="77">
        <f>Data!K513</f>
        <v>0</v>
      </c>
      <c r="M33" s="77">
        <f t="shared" si="18"/>
        <v>2204900</v>
      </c>
      <c r="N33" s="77">
        <f t="shared" si="19"/>
        <v>2204900</v>
      </c>
      <c r="R33" s="77"/>
    </row>
    <row r="34" spans="1:18" ht="14.25" customHeight="1">
      <c r="A34" s="82">
        <v>1</v>
      </c>
      <c r="B34" s="105">
        <v>336000</v>
      </c>
      <c r="C34" s="77" t="s">
        <v>412</v>
      </c>
      <c r="F34" s="77">
        <f t="shared" si="14"/>
        <v>0</v>
      </c>
      <c r="G34" s="77">
        <f>Data!I514</f>
        <v>1999563</v>
      </c>
      <c r="H34" s="78">
        <f t="shared" si="15"/>
        <v>1999563</v>
      </c>
      <c r="I34" s="77">
        <f>Data!J514</f>
        <v>0</v>
      </c>
      <c r="J34" s="77">
        <f t="shared" si="16"/>
        <v>1291518</v>
      </c>
      <c r="K34" s="78">
        <f t="shared" si="17"/>
        <v>1291518</v>
      </c>
      <c r="L34" s="77">
        <f>Data!K514</f>
        <v>0</v>
      </c>
      <c r="M34" s="77">
        <f t="shared" si="18"/>
        <v>708045</v>
      </c>
      <c r="N34" s="77">
        <f t="shared" si="19"/>
        <v>708045</v>
      </c>
      <c r="R34" s="77"/>
    </row>
    <row r="35" spans="1:18" ht="14.25" customHeight="1">
      <c r="A35" s="82"/>
      <c r="B35" s="106"/>
      <c r="C35" s="77" t="s">
        <v>413</v>
      </c>
      <c r="F35" s="107">
        <f aca="true" t="shared" si="20" ref="F35:N35">SUM(F28:F34)</f>
        <v>0</v>
      </c>
      <c r="G35" s="107">
        <f t="shared" si="20"/>
        <v>363847552</v>
      </c>
      <c r="H35" s="108">
        <f t="shared" si="20"/>
        <v>363847552</v>
      </c>
      <c r="I35" s="107">
        <f t="shared" si="20"/>
        <v>0</v>
      </c>
      <c r="J35" s="107">
        <f t="shared" si="20"/>
        <v>235009134</v>
      </c>
      <c r="K35" s="108">
        <f t="shared" si="20"/>
        <v>235009134</v>
      </c>
      <c r="L35" s="107">
        <f t="shared" si="20"/>
        <v>0</v>
      </c>
      <c r="M35" s="107">
        <f t="shared" si="20"/>
        <v>128838418</v>
      </c>
      <c r="N35" s="107">
        <f t="shared" si="20"/>
        <v>128838418</v>
      </c>
      <c r="R35" s="77"/>
    </row>
    <row r="36" spans="1:18" ht="14.25" customHeight="1">
      <c r="A36" s="82"/>
      <c r="B36" s="106"/>
      <c r="C36" s="77"/>
      <c r="F36" s="77"/>
      <c r="G36" s="77"/>
      <c r="H36" s="78"/>
      <c r="I36" s="77"/>
      <c r="J36" s="77"/>
      <c r="K36" s="78"/>
      <c r="L36" s="77"/>
      <c r="M36" s="77"/>
      <c r="N36" s="77"/>
      <c r="R36" s="77"/>
    </row>
    <row r="37" spans="1:18" ht="14.25" customHeight="1">
      <c r="A37" s="82"/>
      <c r="B37" s="83"/>
      <c r="C37" s="77" t="s">
        <v>414</v>
      </c>
      <c r="F37" s="77"/>
      <c r="G37" s="77"/>
      <c r="H37" s="78"/>
      <c r="I37" s="77"/>
      <c r="J37" s="77"/>
      <c r="K37" s="78"/>
      <c r="L37" s="77"/>
      <c r="M37" s="77"/>
      <c r="N37" s="77"/>
      <c r="R37" s="77"/>
    </row>
    <row r="38" spans="1:18" ht="14.25" customHeight="1">
      <c r="A38" s="82">
        <v>1</v>
      </c>
      <c r="B38" s="105">
        <v>340200</v>
      </c>
      <c r="C38" s="77" t="s">
        <v>404</v>
      </c>
      <c r="F38" s="77">
        <f aca="true" t="shared" si="21" ref="F38:F44">I38+L38</f>
        <v>0</v>
      </c>
      <c r="G38" s="77">
        <f>Data!I515</f>
        <v>877555</v>
      </c>
      <c r="H38" s="78">
        <f aca="true" t="shared" si="22" ref="H38:H44">F38+G38</f>
        <v>877555</v>
      </c>
      <c r="I38" s="77">
        <f>Data!J515</f>
        <v>0</v>
      </c>
      <c r="J38" s="77">
        <f aca="true" t="shared" si="23" ref="J38:J44">G38*VLOOKUP(A38,Allocators,7)</f>
        <v>566813</v>
      </c>
      <c r="K38" s="78">
        <f aca="true" t="shared" si="24" ref="K38:K44">I38+J38</f>
        <v>566813</v>
      </c>
      <c r="L38" s="77">
        <f>Data!K515</f>
        <v>0</v>
      </c>
      <c r="M38" s="77">
        <f aca="true" t="shared" si="25" ref="M38:M44">G38*VLOOKUP(A38,Allocators,8)</f>
        <v>310742</v>
      </c>
      <c r="N38" s="77">
        <f aca="true" t="shared" si="26" ref="N38:N44">L38+M38</f>
        <v>310742</v>
      </c>
      <c r="R38" s="77"/>
    </row>
    <row r="39" spans="1:18" ht="14.25" customHeight="1">
      <c r="A39" s="82">
        <v>1</v>
      </c>
      <c r="B39" s="105">
        <v>341000</v>
      </c>
      <c r="C39" s="77" t="s">
        <v>405</v>
      </c>
      <c r="F39" s="77">
        <f t="shared" si="21"/>
        <v>0</v>
      </c>
      <c r="G39" s="77">
        <f>Data!I516</f>
        <v>15574962</v>
      </c>
      <c r="H39" s="78">
        <f t="shared" si="22"/>
        <v>15574962</v>
      </c>
      <c r="I39" s="77">
        <f>Data!J516</f>
        <v>0</v>
      </c>
      <c r="J39" s="77">
        <f t="shared" si="23"/>
        <v>10059868</v>
      </c>
      <c r="K39" s="78">
        <f t="shared" si="24"/>
        <v>10059868</v>
      </c>
      <c r="L39" s="77">
        <f>Data!K516</f>
        <v>0</v>
      </c>
      <c r="M39" s="77">
        <f t="shared" si="25"/>
        <v>5515094</v>
      </c>
      <c r="N39" s="77">
        <f t="shared" si="26"/>
        <v>5515094</v>
      </c>
      <c r="R39" s="77"/>
    </row>
    <row r="40" spans="1:18" ht="14.25" customHeight="1">
      <c r="A40" s="82">
        <v>1</v>
      </c>
      <c r="B40" s="105">
        <v>342000</v>
      </c>
      <c r="C40" s="77" t="s">
        <v>415</v>
      </c>
      <c r="F40" s="77">
        <f t="shared" si="21"/>
        <v>0</v>
      </c>
      <c r="G40" s="77">
        <f>Data!I517</f>
        <v>21064524</v>
      </c>
      <c r="H40" s="78">
        <f t="shared" si="22"/>
        <v>21064524</v>
      </c>
      <c r="I40" s="77">
        <f>Data!J517</f>
        <v>0</v>
      </c>
      <c r="J40" s="77">
        <f t="shared" si="23"/>
        <v>13605576</v>
      </c>
      <c r="K40" s="78">
        <f t="shared" si="24"/>
        <v>13605576</v>
      </c>
      <c r="L40" s="77">
        <f>Data!K517</f>
        <v>0</v>
      </c>
      <c r="M40" s="77">
        <f t="shared" si="25"/>
        <v>7458948</v>
      </c>
      <c r="N40" s="77">
        <f t="shared" si="26"/>
        <v>7458948</v>
      </c>
      <c r="R40" s="77"/>
    </row>
    <row r="41" spans="1:18" ht="14.25" customHeight="1">
      <c r="A41" s="82">
        <v>1</v>
      </c>
      <c r="B41" s="105">
        <v>343000</v>
      </c>
      <c r="C41" s="77" t="s">
        <v>416</v>
      </c>
      <c r="F41" s="77">
        <f t="shared" si="21"/>
        <v>0</v>
      </c>
      <c r="G41" s="77">
        <f>Data!I518</f>
        <v>21876780</v>
      </c>
      <c r="H41" s="78">
        <f t="shared" si="22"/>
        <v>21876780</v>
      </c>
      <c r="I41" s="77">
        <f>Data!J518</f>
        <v>0</v>
      </c>
      <c r="J41" s="77">
        <f t="shared" si="23"/>
        <v>14130212</v>
      </c>
      <c r="K41" s="78">
        <f t="shared" si="24"/>
        <v>14130212</v>
      </c>
      <c r="L41" s="77">
        <f>Data!K518</f>
        <v>0</v>
      </c>
      <c r="M41" s="77">
        <f t="shared" si="25"/>
        <v>7746568</v>
      </c>
      <c r="N41" s="77">
        <f t="shared" si="26"/>
        <v>7746568</v>
      </c>
      <c r="R41" s="77"/>
    </row>
    <row r="42" spans="1:18" ht="14.25" customHeight="1">
      <c r="A42" s="82">
        <v>1</v>
      </c>
      <c r="B42" s="105">
        <v>344000</v>
      </c>
      <c r="C42" s="77" t="s">
        <v>417</v>
      </c>
      <c r="F42" s="77">
        <f t="shared" si="21"/>
        <v>0</v>
      </c>
      <c r="G42" s="77">
        <f>Data!I519</f>
        <v>196952993</v>
      </c>
      <c r="H42" s="78">
        <f t="shared" si="22"/>
        <v>196952993</v>
      </c>
      <c r="I42" s="77">
        <f>Data!J519</f>
        <v>0</v>
      </c>
      <c r="J42" s="77">
        <f t="shared" si="23"/>
        <v>127211938</v>
      </c>
      <c r="K42" s="78">
        <f t="shared" si="24"/>
        <v>127211938</v>
      </c>
      <c r="L42" s="77">
        <f>Data!K519</f>
        <v>0</v>
      </c>
      <c r="M42" s="77">
        <f t="shared" si="25"/>
        <v>69741055</v>
      </c>
      <c r="N42" s="77">
        <f t="shared" si="26"/>
        <v>69741055</v>
      </c>
      <c r="R42" s="77"/>
    </row>
    <row r="43" spans="1:18" ht="14.25" customHeight="1">
      <c r="A43" s="82">
        <v>1</v>
      </c>
      <c r="B43" s="105">
        <v>345000</v>
      </c>
      <c r="C43" s="77" t="s">
        <v>407</v>
      </c>
      <c r="F43" s="77">
        <f t="shared" si="21"/>
        <v>0</v>
      </c>
      <c r="G43" s="77">
        <f>Data!I520</f>
        <v>15111345</v>
      </c>
      <c r="H43" s="78">
        <f t="shared" si="22"/>
        <v>15111345</v>
      </c>
      <c r="I43" s="77">
        <f>Data!J520</f>
        <v>0</v>
      </c>
      <c r="J43" s="77">
        <f t="shared" si="23"/>
        <v>9760418</v>
      </c>
      <c r="K43" s="78">
        <f t="shared" si="24"/>
        <v>9760418</v>
      </c>
      <c r="L43" s="77">
        <f>Data!K520</f>
        <v>0</v>
      </c>
      <c r="M43" s="77">
        <f t="shared" si="25"/>
        <v>5350927</v>
      </c>
      <c r="N43" s="77">
        <f t="shared" si="26"/>
        <v>5350927</v>
      </c>
      <c r="R43" s="77"/>
    </row>
    <row r="44" spans="1:18" ht="14.25" customHeight="1">
      <c r="A44" s="82">
        <v>1</v>
      </c>
      <c r="B44" s="105">
        <v>346000</v>
      </c>
      <c r="C44" s="77" t="s">
        <v>408</v>
      </c>
      <c r="F44" s="77">
        <f t="shared" si="21"/>
        <v>0</v>
      </c>
      <c r="G44" s="77">
        <f>Data!I521</f>
        <v>1318023</v>
      </c>
      <c r="H44" s="78">
        <f t="shared" si="22"/>
        <v>1318023</v>
      </c>
      <c r="I44" s="77">
        <f>Data!J521</f>
        <v>0</v>
      </c>
      <c r="J44" s="77">
        <f t="shared" si="23"/>
        <v>851311</v>
      </c>
      <c r="K44" s="78">
        <f t="shared" si="24"/>
        <v>851311</v>
      </c>
      <c r="L44" s="77">
        <f>Data!K521</f>
        <v>0</v>
      </c>
      <c r="M44" s="77">
        <f t="shared" si="25"/>
        <v>466712</v>
      </c>
      <c r="N44" s="77">
        <f t="shared" si="26"/>
        <v>466712</v>
      </c>
      <c r="R44" s="77"/>
    </row>
    <row r="45" spans="1:18" ht="14.25" customHeight="1">
      <c r="A45" s="82">
        <v>99</v>
      </c>
      <c r="B45" s="105">
        <v>347000</v>
      </c>
      <c r="C45" s="77" t="s">
        <v>253</v>
      </c>
      <c r="F45" s="77">
        <f>I45+L45</f>
        <v>0</v>
      </c>
      <c r="G45" s="77">
        <v>0</v>
      </c>
      <c r="H45" s="78">
        <f>F45+G45</f>
        <v>0</v>
      </c>
      <c r="I45" s="77">
        <v>0</v>
      </c>
      <c r="J45" s="77">
        <f>G45*VLOOKUP(A45,Allocators,7)</f>
        <v>0</v>
      </c>
      <c r="K45" s="78">
        <f>I45+J45</f>
        <v>0</v>
      </c>
      <c r="L45" s="77">
        <v>0</v>
      </c>
      <c r="M45" s="77">
        <f>G45*VLOOKUP(A45,Allocators,8)</f>
        <v>0</v>
      </c>
      <c r="N45" s="77">
        <f>L45+M45</f>
        <v>0</v>
      </c>
      <c r="R45" s="77"/>
    </row>
    <row r="46" spans="1:18" ht="14.25" customHeight="1">
      <c r="A46" s="82"/>
      <c r="B46" s="105"/>
      <c r="C46" s="77" t="s">
        <v>418</v>
      </c>
      <c r="F46" s="107">
        <f aca="true" t="shared" si="27" ref="F46:N46">SUM(F38:F45)</f>
        <v>0</v>
      </c>
      <c r="G46" s="107">
        <f t="shared" si="27"/>
        <v>272776182</v>
      </c>
      <c r="H46" s="108">
        <f t="shared" si="27"/>
        <v>272776182</v>
      </c>
      <c r="I46" s="107">
        <f t="shared" si="27"/>
        <v>0</v>
      </c>
      <c r="J46" s="107">
        <f t="shared" si="27"/>
        <v>176186136</v>
      </c>
      <c r="K46" s="108">
        <f t="shared" si="27"/>
        <v>176186136</v>
      </c>
      <c r="L46" s="107">
        <f t="shared" si="27"/>
        <v>0</v>
      </c>
      <c r="M46" s="107">
        <f t="shared" si="27"/>
        <v>96590046</v>
      </c>
      <c r="N46" s="107">
        <f t="shared" si="27"/>
        <v>96590046</v>
      </c>
      <c r="R46" s="77"/>
    </row>
    <row r="47" spans="1:18" ht="14.25" customHeight="1">
      <c r="A47" s="82"/>
      <c r="B47" s="105"/>
      <c r="C47" s="77" t="s">
        <v>419</v>
      </c>
      <c r="F47" s="111">
        <f aca="true" t="shared" si="28" ref="F47:N47">F25+F35+F46</f>
        <v>0</v>
      </c>
      <c r="G47" s="111">
        <f t="shared" si="28"/>
        <v>1015757706</v>
      </c>
      <c r="H47" s="112">
        <f t="shared" si="28"/>
        <v>1015757706</v>
      </c>
      <c r="I47" s="111">
        <f t="shared" si="28"/>
        <v>0</v>
      </c>
      <c r="J47" s="111">
        <f t="shared" si="28"/>
        <v>656077902</v>
      </c>
      <c r="K47" s="112">
        <f t="shared" si="28"/>
        <v>656077902</v>
      </c>
      <c r="L47" s="111">
        <f t="shared" si="28"/>
        <v>0</v>
      </c>
      <c r="M47" s="111">
        <f t="shared" si="28"/>
        <v>359679804</v>
      </c>
      <c r="N47" s="111">
        <f t="shared" si="28"/>
        <v>359679804</v>
      </c>
      <c r="R47" s="77"/>
    </row>
    <row r="48" spans="1:18" ht="14.25" customHeight="1">
      <c r="A48" s="82"/>
      <c r="B48" s="105"/>
      <c r="C48" s="77"/>
      <c r="F48" s="77"/>
      <c r="G48" s="77"/>
      <c r="H48" s="78"/>
      <c r="I48" s="77"/>
      <c r="J48" s="77"/>
      <c r="K48" s="78"/>
      <c r="L48" s="77"/>
      <c r="M48" s="77"/>
      <c r="N48" s="77"/>
      <c r="R48" s="77"/>
    </row>
    <row r="49" spans="1:18" ht="14.25" customHeight="1">
      <c r="A49" s="82"/>
      <c r="B49" s="252"/>
      <c r="C49" s="77" t="s">
        <v>420</v>
      </c>
      <c r="F49" s="77"/>
      <c r="G49" s="77"/>
      <c r="H49" s="78"/>
      <c r="I49" s="77"/>
      <c r="J49" s="77"/>
      <c r="K49" s="78"/>
      <c r="L49" s="77"/>
      <c r="M49" s="77"/>
      <c r="N49" s="77"/>
      <c r="R49" s="77"/>
    </row>
    <row r="50" spans="1:18" ht="14.25" customHeight="1">
      <c r="A50" s="82">
        <v>1</v>
      </c>
      <c r="B50" s="105" t="s">
        <v>86</v>
      </c>
      <c r="C50" s="77" t="s">
        <v>404</v>
      </c>
      <c r="F50" s="77">
        <f aca="true" t="shared" si="29" ref="F50:F58">I50+L50</f>
        <v>0</v>
      </c>
      <c r="G50" s="77">
        <f>Data!I523</f>
        <v>13845150</v>
      </c>
      <c r="H50" s="78">
        <f aca="true" t="shared" si="30" ref="H50:H58">F50+G50</f>
        <v>13845150</v>
      </c>
      <c r="I50" s="77">
        <f>Data!J523</f>
        <v>0</v>
      </c>
      <c r="J50" s="77">
        <f aca="true" t="shared" si="31" ref="J50:J58">G50*VLOOKUP(A50,Allocators,7)</f>
        <v>8942582</v>
      </c>
      <c r="K50" s="78">
        <f aca="true" t="shared" si="32" ref="K50:K58">I50+J50</f>
        <v>8942582</v>
      </c>
      <c r="L50" s="77">
        <f>Data!K523</f>
        <v>0</v>
      </c>
      <c r="M50" s="77">
        <f aca="true" t="shared" si="33" ref="M50:M58">G50*VLOOKUP(A50,Allocators,8)</f>
        <v>4902568</v>
      </c>
      <c r="N50" s="77">
        <f aca="true" t="shared" si="34" ref="N50:N58">L50+M50</f>
        <v>4902568</v>
      </c>
      <c r="R50" s="77"/>
    </row>
    <row r="51" spans="1:18" ht="14.25" customHeight="1">
      <c r="A51" s="82">
        <v>1</v>
      </c>
      <c r="B51" s="105" t="s">
        <v>87</v>
      </c>
      <c r="C51" s="77" t="s">
        <v>405</v>
      </c>
      <c r="F51" s="77">
        <f t="shared" si="29"/>
        <v>0</v>
      </c>
      <c r="G51" s="77">
        <f>Data!H524</f>
        <v>14980209</v>
      </c>
      <c r="H51" s="78">
        <f t="shared" si="30"/>
        <v>14980209</v>
      </c>
      <c r="I51" s="77">
        <f>Data!J524</f>
        <v>0</v>
      </c>
      <c r="J51" s="77">
        <f t="shared" si="31"/>
        <v>9675717</v>
      </c>
      <c r="K51" s="78">
        <f t="shared" si="32"/>
        <v>9675717</v>
      </c>
      <c r="L51" s="77">
        <f>Data!K524</f>
        <v>0</v>
      </c>
      <c r="M51" s="77">
        <f t="shared" si="33"/>
        <v>5304492</v>
      </c>
      <c r="N51" s="77">
        <f t="shared" si="34"/>
        <v>5304492</v>
      </c>
      <c r="R51" s="77"/>
    </row>
    <row r="52" spans="1:18" ht="14.25" customHeight="1">
      <c r="A52" s="82">
        <v>1</v>
      </c>
      <c r="B52" s="105">
        <v>353000</v>
      </c>
      <c r="C52" s="77" t="s">
        <v>72</v>
      </c>
      <c r="F52" s="77">
        <f t="shared" si="29"/>
        <v>0</v>
      </c>
      <c r="G52" s="77">
        <f>Data!H525</f>
        <v>166405713</v>
      </c>
      <c r="H52" s="78">
        <f t="shared" si="30"/>
        <v>166405713</v>
      </c>
      <c r="I52" s="77">
        <f>Data!J525</f>
        <v>0</v>
      </c>
      <c r="J52" s="77">
        <f t="shared" si="31"/>
        <v>107481450</v>
      </c>
      <c r="K52" s="78">
        <f t="shared" si="32"/>
        <v>107481450</v>
      </c>
      <c r="L52" s="77">
        <f>Data!K525</f>
        <v>0</v>
      </c>
      <c r="M52" s="77">
        <f t="shared" si="33"/>
        <v>58924263</v>
      </c>
      <c r="N52" s="77">
        <f t="shared" si="34"/>
        <v>58924263</v>
      </c>
      <c r="R52" s="77"/>
    </row>
    <row r="53" spans="1:18" ht="14.25" customHeight="1">
      <c r="A53" s="82">
        <v>1</v>
      </c>
      <c r="B53" s="105">
        <v>354000</v>
      </c>
      <c r="C53" s="77" t="s">
        <v>443</v>
      </c>
      <c r="F53" s="77">
        <f t="shared" si="29"/>
        <v>0</v>
      </c>
      <c r="G53" s="77">
        <f>Data!I526</f>
        <v>17084565</v>
      </c>
      <c r="H53" s="78">
        <f t="shared" si="30"/>
        <v>17084565</v>
      </c>
      <c r="I53" s="77">
        <f>Data!J526</f>
        <v>0</v>
      </c>
      <c r="J53" s="77">
        <f t="shared" si="31"/>
        <v>11034921</v>
      </c>
      <c r="K53" s="78">
        <f t="shared" si="32"/>
        <v>11034921</v>
      </c>
      <c r="L53" s="77">
        <f>Data!K526</f>
        <v>0</v>
      </c>
      <c r="M53" s="77">
        <f t="shared" si="33"/>
        <v>6049644</v>
      </c>
      <c r="N53" s="77">
        <f t="shared" si="34"/>
        <v>6049644</v>
      </c>
      <c r="R53" s="77"/>
    </row>
    <row r="54" spans="1:18" ht="14.25" customHeight="1">
      <c r="A54" s="82">
        <v>1</v>
      </c>
      <c r="B54" s="105">
        <v>355000</v>
      </c>
      <c r="C54" s="77" t="s">
        <v>444</v>
      </c>
      <c r="F54" s="77">
        <f t="shared" si="29"/>
        <v>0</v>
      </c>
      <c r="G54" s="77">
        <f>Data!I527</f>
        <v>125334361</v>
      </c>
      <c r="H54" s="78">
        <f t="shared" si="30"/>
        <v>125334361</v>
      </c>
      <c r="I54" s="77">
        <f>Data!J527</f>
        <v>0</v>
      </c>
      <c r="J54" s="77">
        <f t="shared" si="31"/>
        <v>80953464</v>
      </c>
      <c r="K54" s="78">
        <f t="shared" si="32"/>
        <v>80953464</v>
      </c>
      <c r="L54" s="77">
        <f>Data!K527</f>
        <v>0</v>
      </c>
      <c r="M54" s="77">
        <f t="shared" si="33"/>
        <v>44380897</v>
      </c>
      <c r="N54" s="77">
        <f t="shared" si="34"/>
        <v>44380897</v>
      </c>
      <c r="R54" s="77"/>
    </row>
    <row r="55" spans="1:18" ht="14.25" customHeight="1">
      <c r="A55" s="82">
        <v>1</v>
      </c>
      <c r="B55" s="105">
        <v>356000</v>
      </c>
      <c r="C55" s="77" t="s">
        <v>445</v>
      </c>
      <c r="F55" s="77">
        <f t="shared" si="29"/>
        <v>0</v>
      </c>
      <c r="G55" s="77">
        <f>Data!I528</f>
        <v>99583738</v>
      </c>
      <c r="H55" s="78">
        <f t="shared" si="30"/>
        <v>99583738</v>
      </c>
      <c r="I55" s="77">
        <f>Data!J528</f>
        <v>0</v>
      </c>
      <c r="J55" s="77">
        <f t="shared" si="31"/>
        <v>64321136</v>
      </c>
      <c r="K55" s="78">
        <f t="shared" si="32"/>
        <v>64321136</v>
      </c>
      <c r="L55" s="77">
        <f>Data!K528</f>
        <v>0</v>
      </c>
      <c r="M55" s="77">
        <f t="shared" si="33"/>
        <v>35262602</v>
      </c>
      <c r="N55" s="77">
        <f t="shared" si="34"/>
        <v>35262602</v>
      </c>
      <c r="R55" s="77"/>
    </row>
    <row r="56" spans="1:18" ht="14.25" customHeight="1">
      <c r="A56" s="82">
        <v>1</v>
      </c>
      <c r="B56" s="105">
        <v>357000</v>
      </c>
      <c r="C56" s="77" t="s">
        <v>446</v>
      </c>
      <c r="F56" s="77">
        <f t="shared" si="29"/>
        <v>0</v>
      </c>
      <c r="G56" s="77">
        <f>Data!I529</f>
        <v>1490916</v>
      </c>
      <c r="H56" s="78">
        <f t="shared" si="30"/>
        <v>1490916</v>
      </c>
      <c r="I56" s="77">
        <f>Data!J529</f>
        <v>0</v>
      </c>
      <c r="J56" s="77">
        <f t="shared" si="31"/>
        <v>962983</v>
      </c>
      <c r="K56" s="78">
        <f t="shared" si="32"/>
        <v>962983</v>
      </c>
      <c r="L56" s="77">
        <f>Data!K529</f>
        <v>0</v>
      </c>
      <c r="M56" s="77">
        <f t="shared" si="33"/>
        <v>527933</v>
      </c>
      <c r="N56" s="77">
        <f t="shared" si="34"/>
        <v>527933</v>
      </c>
      <c r="R56" s="77"/>
    </row>
    <row r="57" spans="1:18" ht="14.25" customHeight="1">
      <c r="A57" s="82">
        <v>1</v>
      </c>
      <c r="B57" s="105">
        <v>358000</v>
      </c>
      <c r="C57" s="77" t="s">
        <v>448</v>
      </c>
      <c r="F57" s="77">
        <f t="shared" si="29"/>
        <v>0</v>
      </c>
      <c r="G57" s="77">
        <f>Data!I530</f>
        <v>1866989</v>
      </c>
      <c r="H57" s="78">
        <f t="shared" si="30"/>
        <v>1866989</v>
      </c>
      <c r="I57" s="77">
        <f>Data!J530</f>
        <v>0</v>
      </c>
      <c r="J57" s="77">
        <f t="shared" si="31"/>
        <v>1205888</v>
      </c>
      <c r="K57" s="78">
        <f t="shared" si="32"/>
        <v>1205888</v>
      </c>
      <c r="L57" s="77">
        <f>Data!K530</f>
        <v>0</v>
      </c>
      <c r="M57" s="77">
        <f t="shared" si="33"/>
        <v>661101</v>
      </c>
      <c r="N57" s="77">
        <f t="shared" si="34"/>
        <v>661101</v>
      </c>
      <c r="R57" s="77"/>
    </row>
    <row r="58" spans="1:18" ht="14.25" customHeight="1">
      <c r="A58" s="82">
        <v>1</v>
      </c>
      <c r="B58" s="105">
        <v>359000</v>
      </c>
      <c r="C58" s="77" t="s">
        <v>449</v>
      </c>
      <c r="F58" s="77">
        <f t="shared" si="29"/>
        <v>0</v>
      </c>
      <c r="G58" s="77">
        <f>Data!I531</f>
        <v>1829714</v>
      </c>
      <c r="H58" s="78">
        <f t="shared" si="30"/>
        <v>1829714</v>
      </c>
      <c r="I58" s="77">
        <f>Data!J531</f>
        <v>0</v>
      </c>
      <c r="J58" s="77">
        <f t="shared" si="31"/>
        <v>1181812</v>
      </c>
      <c r="K58" s="78">
        <f t="shared" si="32"/>
        <v>1181812</v>
      </c>
      <c r="L58" s="77">
        <f>Data!K531</f>
        <v>0</v>
      </c>
      <c r="M58" s="77">
        <f t="shared" si="33"/>
        <v>647902</v>
      </c>
      <c r="N58" s="77">
        <f t="shared" si="34"/>
        <v>647902</v>
      </c>
      <c r="R58" s="77"/>
    </row>
    <row r="59" spans="1:18" ht="14.25" customHeight="1">
      <c r="A59" s="82"/>
      <c r="B59" s="106"/>
      <c r="C59" s="77" t="s">
        <v>450</v>
      </c>
      <c r="F59" s="107">
        <f aca="true" t="shared" si="35" ref="F59:N59">SUM(F50:F58)</f>
        <v>0</v>
      </c>
      <c r="G59" s="107">
        <f t="shared" si="35"/>
        <v>442421355</v>
      </c>
      <c r="H59" s="108">
        <f t="shared" si="35"/>
        <v>442421355</v>
      </c>
      <c r="I59" s="107">
        <f t="shared" si="35"/>
        <v>0</v>
      </c>
      <c r="J59" s="107">
        <f t="shared" si="35"/>
        <v>285759953</v>
      </c>
      <c r="K59" s="108">
        <f t="shared" si="35"/>
        <v>285759953</v>
      </c>
      <c r="L59" s="107">
        <f t="shared" si="35"/>
        <v>0</v>
      </c>
      <c r="M59" s="107">
        <f t="shared" si="35"/>
        <v>156661402</v>
      </c>
      <c r="N59" s="107">
        <f t="shared" si="35"/>
        <v>156661402</v>
      </c>
      <c r="R59" s="77"/>
    </row>
    <row r="60" spans="1:18" ht="14.25" customHeight="1">
      <c r="A60" s="82"/>
      <c r="B60" s="106"/>
      <c r="C60" s="77"/>
      <c r="F60" s="77"/>
      <c r="G60" s="77"/>
      <c r="H60" s="78"/>
      <c r="I60" s="77"/>
      <c r="J60" s="77"/>
      <c r="K60" s="78"/>
      <c r="L60" s="77"/>
      <c r="M60" s="77"/>
      <c r="N60" s="77"/>
      <c r="R60" s="77"/>
    </row>
    <row r="61" spans="1:18" ht="14.25" customHeight="1">
      <c r="A61" s="82"/>
      <c r="B61" s="106"/>
      <c r="C61" s="77" t="s">
        <v>451</v>
      </c>
      <c r="F61" s="77"/>
      <c r="G61" s="77"/>
      <c r="H61" s="78"/>
      <c r="I61" s="77"/>
      <c r="J61" s="77"/>
      <c r="K61" s="78"/>
      <c r="L61" s="77"/>
      <c r="M61" s="77"/>
      <c r="N61" s="77"/>
      <c r="R61" s="77"/>
    </row>
    <row r="62" spans="1:18" ht="14.25" customHeight="1">
      <c r="A62" s="82">
        <v>99</v>
      </c>
      <c r="B62" s="105">
        <v>360200</v>
      </c>
      <c r="C62" s="77" t="s">
        <v>404</v>
      </c>
      <c r="F62" s="77">
        <f aca="true" t="shared" si="36" ref="F62:F72">+I62+L62</f>
        <v>3964802</v>
      </c>
      <c r="G62" s="77">
        <v>0</v>
      </c>
      <c r="H62" s="78">
        <f aca="true" t="shared" si="37" ref="H62:H72">+F62+G62</f>
        <v>3964802</v>
      </c>
      <c r="I62" s="77">
        <f>+Data!J532</f>
        <v>2993255</v>
      </c>
      <c r="J62" s="77">
        <v>0</v>
      </c>
      <c r="K62" s="78">
        <f aca="true" t="shared" si="38" ref="K62:K72">+I62+J62</f>
        <v>2993255</v>
      </c>
      <c r="L62" s="77">
        <f>+Data!K532</f>
        <v>971547</v>
      </c>
      <c r="M62" s="77">
        <v>0</v>
      </c>
      <c r="N62" s="77">
        <f aca="true" t="shared" si="39" ref="N62:N72">+L62+M62</f>
        <v>971547</v>
      </c>
      <c r="R62" s="77"/>
    </row>
    <row r="63" spans="1:18" ht="14.25" customHeight="1">
      <c r="A63" s="82">
        <v>99</v>
      </c>
      <c r="B63" s="105">
        <v>361000</v>
      </c>
      <c r="C63" s="77" t="s">
        <v>405</v>
      </c>
      <c r="F63" s="77">
        <f t="shared" si="36"/>
        <v>11030038</v>
      </c>
      <c r="G63" s="77">
        <v>0</v>
      </c>
      <c r="H63" s="78">
        <f t="shared" si="37"/>
        <v>11030038</v>
      </c>
      <c r="I63" s="77">
        <f>+Data!J533</f>
        <v>7823751</v>
      </c>
      <c r="J63" s="77">
        <v>0</v>
      </c>
      <c r="K63" s="78">
        <f t="shared" si="38"/>
        <v>7823751</v>
      </c>
      <c r="L63" s="77">
        <f>+Data!K533</f>
        <v>3206287</v>
      </c>
      <c r="M63" s="77">
        <v>0</v>
      </c>
      <c r="N63" s="77">
        <f t="shared" si="39"/>
        <v>3206287</v>
      </c>
      <c r="R63" s="77"/>
    </row>
    <row r="64" spans="1:18" ht="14.25" customHeight="1">
      <c r="A64" s="82">
        <v>99</v>
      </c>
      <c r="B64" s="105">
        <v>362000</v>
      </c>
      <c r="C64" s="84" t="s">
        <v>72</v>
      </c>
      <c r="F64" s="77">
        <f t="shared" si="36"/>
        <v>82345474</v>
      </c>
      <c r="G64" s="77">
        <v>0</v>
      </c>
      <c r="H64" s="78">
        <f t="shared" si="37"/>
        <v>82345474</v>
      </c>
      <c r="I64" s="77">
        <f>+Data!J534</f>
        <v>52222817</v>
      </c>
      <c r="J64" s="77">
        <v>0</v>
      </c>
      <c r="K64" s="78">
        <f t="shared" si="38"/>
        <v>52222817</v>
      </c>
      <c r="L64" s="77">
        <f>+Data!K534</f>
        <v>30122657</v>
      </c>
      <c r="M64" s="77">
        <v>0</v>
      </c>
      <c r="N64" s="77">
        <f t="shared" si="39"/>
        <v>30122657</v>
      </c>
      <c r="R64" s="77"/>
    </row>
    <row r="65" spans="1:18" ht="14.25" customHeight="1">
      <c r="A65" s="82">
        <v>99</v>
      </c>
      <c r="B65" s="105">
        <v>364000</v>
      </c>
      <c r="C65" s="77" t="s">
        <v>452</v>
      </c>
      <c r="F65" s="77">
        <f t="shared" si="36"/>
        <v>187816356</v>
      </c>
      <c r="G65" s="77">
        <v>0</v>
      </c>
      <c r="H65" s="78">
        <f t="shared" si="37"/>
        <v>187816356</v>
      </c>
      <c r="I65" s="77">
        <f>+Data!J535</f>
        <v>113962912</v>
      </c>
      <c r="J65" s="77">
        <v>0</v>
      </c>
      <c r="K65" s="78">
        <f t="shared" si="38"/>
        <v>113962912</v>
      </c>
      <c r="L65" s="77">
        <f>+Data!K535</f>
        <v>73853444</v>
      </c>
      <c r="M65" s="77">
        <v>0</v>
      </c>
      <c r="N65" s="77">
        <f t="shared" si="39"/>
        <v>73853444</v>
      </c>
      <c r="R65" s="77"/>
    </row>
    <row r="66" spans="1:18" ht="14.25" customHeight="1">
      <c r="A66" s="82">
        <v>99</v>
      </c>
      <c r="B66" s="105">
        <v>365000</v>
      </c>
      <c r="C66" s="77" t="s">
        <v>445</v>
      </c>
      <c r="F66" s="77">
        <f t="shared" si="36"/>
        <v>123300938</v>
      </c>
      <c r="G66" s="77">
        <v>0</v>
      </c>
      <c r="H66" s="78">
        <f t="shared" si="37"/>
        <v>123300938</v>
      </c>
      <c r="I66" s="77">
        <f>+Data!J536</f>
        <v>72787659</v>
      </c>
      <c r="J66" s="77">
        <v>0</v>
      </c>
      <c r="K66" s="78">
        <f t="shared" si="38"/>
        <v>72787659</v>
      </c>
      <c r="L66" s="77">
        <f>+Data!K536</f>
        <v>50513279</v>
      </c>
      <c r="M66" s="77">
        <v>0</v>
      </c>
      <c r="N66" s="77">
        <f t="shared" si="39"/>
        <v>50513279</v>
      </c>
      <c r="R66" s="77"/>
    </row>
    <row r="67" spans="1:18" ht="14.25" customHeight="1">
      <c r="A67" s="82">
        <v>99</v>
      </c>
      <c r="B67" s="105">
        <v>366000</v>
      </c>
      <c r="C67" s="77" t="s">
        <v>446</v>
      </c>
      <c r="F67" s="77">
        <f t="shared" si="36"/>
        <v>66994181</v>
      </c>
      <c r="G67" s="77">
        <v>0</v>
      </c>
      <c r="H67" s="78">
        <f t="shared" si="37"/>
        <v>66994181</v>
      </c>
      <c r="I67" s="77">
        <f>+Data!J537</f>
        <v>40494659</v>
      </c>
      <c r="J67" s="77">
        <v>0</v>
      </c>
      <c r="K67" s="78">
        <f t="shared" si="38"/>
        <v>40494659</v>
      </c>
      <c r="L67" s="77">
        <f>+Data!K537</f>
        <v>26499522</v>
      </c>
      <c r="M67" s="77">
        <v>0</v>
      </c>
      <c r="N67" s="77">
        <f t="shared" si="39"/>
        <v>26499522</v>
      </c>
      <c r="R67" s="77"/>
    </row>
    <row r="68" spans="1:18" ht="14.25" customHeight="1">
      <c r="A68" s="82">
        <v>99</v>
      </c>
      <c r="B68" s="105">
        <v>367000</v>
      </c>
      <c r="C68" s="77" t="s">
        <v>448</v>
      </c>
      <c r="F68" s="77">
        <f t="shared" si="36"/>
        <v>107997544</v>
      </c>
      <c r="G68" s="77">
        <v>0</v>
      </c>
      <c r="H68" s="78">
        <f t="shared" si="37"/>
        <v>107997544</v>
      </c>
      <c r="I68" s="77">
        <f>+Data!J538</f>
        <v>68451430</v>
      </c>
      <c r="J68" s="77">
        <v>0</v>
      </c>
      <c r="K68" s="78">
        <f t="shared" si="38"/>
        <v>68451430</v>
      </c>
      <c r="L68" s="77">
        <f>+Data!K538</f>
        <v>39546114</v>
      </c>
      <c r="M68" s="77">
        <v>0</v>
      </c>
      <c r="N68" s="77">
        <f t="shared" si="39"/>
        <v>39546114</v>
      </c>
      <c r="R68" s="77"/>
    </row>
    <row r="69" spans="1:18" ht="14.25" customHeight="1">
      <c r="A69" s="82">
        <v>99</v>
      </c>
      <c r="B69" s="105">
        <v>368000</v>
      </c>
      <c r="C69" s="77" t="s">
        <v>280</v>
      </c>
      <c r="F69" s="77">
        <f t="shared" si="36"/>
        <v>153287027</v>
      </c>
      <c r="G69" s="77">
        <v>0</v>
      </c>
      <c r="H69" s="78">
        <f t="shared" si="37"/>
        <v>153287027</v>
      </c>
      <c r="I69" s="77">
        <f>+Data!J539</f>
        <v>98139115</v>
      </c>
      <c r="J69" s="77">
        <v>0</v>
      </c>
      <c r="K69" s="78">
        <f t="shared" si="38"/>
        <v>98139115</v>
      </c>
      <c r="L69" s="77">
        <f>+Data!K539</f>
        <v>55147912</v>
      </c>
      <c r="M69" s="77">
        <v>0</v>
      </c>
      <c r="N69" s="77">
        <f t="shared" si="39"/>
        <v>55147912</v>
      </c>
      <c r="R69" s="77"/>
    </row>
    <row r="70" spans="1:18" ht="14.25" customHeight="1">
      <c r="A70" s="82">
        <v>99</v>
      </c>
      <c r="B70" s="105" t="s">
        <v>88</v>
      </c>
      <c r="C70" s="77" t="s">
        <v>453</v>
      </c>
      <c r="F70" s="77">
        <f t="shared" si="36"/>
        <v>106252809</v>
      </c>
      <c r="G70" s="77">
        <v>0</v>
      </c>
      <c r="H70" s="78">
        <f t="shared" si="37"/>
        <v>106252809</v>
      </c>
      <c r="I70" s="77">
        <f>+Data!J540</f>
        <v>65330288</v>
      </c>
      <c r="J70" s="77">
        <v>0</v>
      </c>
      <c r="K70" s="78">
        <f t="shared" si="38"/>
        <v>65330288</v>
      </c>
      <c r="L70" s="77">
        <f>+Data!K540</f>
        <v>40922521</v>
      </c>
      <c r="M70" s="77">
        <v>0</v>
      </c>
      <c r="N70" s="77">
        <f t="shared" si="39"/>
        <v>40922521</v>
      </c>
      <c r="R70" s="77"/>
    </row>
    <row r="71" spans="1:18" ht="14.25" customHeight="1">
      <c r="A71" s="82">
        <v>99</v>
      </c>
      <c r="B71" s="105">
        <v>370000</v>
      </c>
      <c r="C71" s="77" t="s">
        <v>282</v>
      </c>
      <c r="F71" s="77">
        <f t="shared" si="36"/>
        <v>23573061</v>
      </c>
      <c r="G71" s="77">
        <v>0</v>
      </c>
      <c r="H71" s="78">
        <f t="shared" si="37"/>
        <v>23573061</v>
      </c>
      <c r="I71" s="77">
        <f>+Data!J541</f>
        <v>15085599</v>
      </c>
      <c r="J71" s="77">
        <v>0</v>
      </c>
      <c r="K71" s="78">
        <f t="shared" si="38"/>
        <v>15085599</v>
      </c>
      <c r="L71" s="77">
        <f>+Data!K541</f>
        <v>8487462</v>
      </c>
      <c r="M71" s="77">
        <v>0</v>
      </c>
      <c r="N71" s="77">
        <f t="shared" si="39"/>
        <v>8487462</v>
      </c>
      <c r="R71" s="77"/>
    </row>
    <row r="72" spans="1:18" ht="14.25" customHeight="1">
      <c r="A72" s="82">
        <v>99</v>
      </c>
      <c r="B72" s="105" t="s">
        <v>89</v>
      </c>
      <c r="C72" s="77" t="s">
        <v>455</v>
      </c>
      <c r="F72" s="77">
        <f t="shared" si="36"/>
        <v>26578521</v>
      </c>
      <c r="G72" s="77">
        <v>0</v>
      </c>
      <c r="H72" s="78">
        <f t="shared" si="37"/>
        <v>26578521</v>
      </c>
      <c r="I72" s="77">
        <f>+Data!J542</f>
        <v>14715908</v>
      </c>
      <c r="J72" s="77">
        <v>0</v>
      </c>
      <c r="K72" s="78">
        <f t="shared" si="38"/>
        <v>14715908</v>
      </c>
      <c r="L72" s="77">
        <f>+Data!K542</f>
        <v>11862613</v>
      </c>
      <c r="M72" s="77">
        <v>0</v>
      </c>
      <c r="N72" s="77">
        <f t="shared" si="39"/>
        <v>11862613</v>
      </c>
      <c r="R72" s="77"/>
    </row>
    <row r="73" spans="1:18" ht="14.25" customHeight="1">
      <c r="A73" s="82">
        <v>99</v>
      </c>
      <c r="B73" s="105">
        <v>374000</v>
      </c>
      <c r="C73" s="77" t="s">
        <v>253</v>
      </c>
      <c r="F73" s="77">
        <f>+I73+L73</f>
        <v>0</v>
      </c>
      <c r="G73" s="77">
        <v>0</v>
      </c>
      <c r="H73" s="78">
        <f>+F73+G73</f>
        <v>0</v>
      </c>
      <c r="I73" s="77">
        <f>+Data!J543</f>
        <v>0</v>
      </c>
      <c r="J73" s="77">
        <v>0</v>
      </c>
      <c r="K73" s="78">
        <f>+I73+J73</f>
        <v>0</v>
      </c>
      <c r="L73" s="77">
        <f>+Data!K543</f>
        <v>0</v>
      </c>
      <c r="M73" s="77">
        <v>0</v>
      </c>
      <c r="N73" s="77">
        <f>+L73+M73</f>
        <v>0</v>
      </c>
      <c r="R73" s="77"/>
    </row>
    <row r="74" spans="1:18" ht="14.25" customHeight="1">
      <c r="A74" s="82"/>
      <c r="B74" s="106"/>
      <c r="C74" s="77" t="s">
        <v>456</v>
      </c>
      <c r="F74" s="107">
        <f aca="true" t="shared" si="40" ref="F74:N74">SUM(F62:F73)</f>
        <v>893140751</v>
      </c>
      <c r="G74" s="107">
        <f t="shared" si="40"/>
        <v>0</v>
      </c>
      <c r="H74" s="108">
        <f t="shared" si="40"/>
        <v>893140751</v>
      </c>
      <c r="I74" s="107">
        <f t="shared" si="40"/>
        <v>552007393</v>
      </c>
      <c r="J74" s="107">
        <f t="shared" si="40"/>
        <v>0</v>
      </c>
      <c r="K74" s="108">
        <f t="shared" si="40"/>
        <v>552007393</v>
      </c>
      <c r="L74" s="107">
        <f t="shared" si="40"/>
        <v>341133358</v>
      </c>
      <c r="M74" s="107">
        <f t="shared" si="40"/>
        <v>0</v>
      </c>
      <c r="N74" s="107">
        <f t="shared" si="40"/>
        <v>341133358</v>
      </c>
      <c r="R74" s="77"/>
    </row>
    <row r="75" spans="1:18" ht="14.25" customHeight="1">
      <c r="A75" s="82"/>
      <c r="B75" s="106"/>
      <c r="C75" s="77"/>
      <c r="F75" s="77"/>
      <c r="G75" s="77"/>
      <c r="H75" s="78"/>
      <c r="I75" s="77"/>
      <c r="J75" s="77"/>
      <c r="K75" s="78"/>
      <c r="L75" s="77"/>
      <c r="M75" s="77"/>
      <c r="N75" s="77"/>
      <c r="R75" s="77"/>
    </row>
    <row r="76" spans="1:18" ht="14.25" customHeight="1">
      <c r="A76" s="82"/>
      <c r="B76" s="106"/>
      <c r="C76" s="77" t="s">
        <v>458</v>
      </c>
      <c r="F76" s="77"/>
      <c r="G76" s="77"/>
      <c r="H76" s="78"/>
      <c r="I76" s="77"/>
      <c r="J76" s="77"/>
      <c r="K76" s="78"/>
      <c r="L76" s="77"/>
      <c r="M76" s="77"/>
      <c r="N76" s="77"/>
      <c r="R76" s="77"/>
    </row>
    <row r="77" spans="1:18" ht="14.25" customHeight="1">
      <c r="A77" s="82">
        <v>4</v>
      </c>
      <c r="B77" s="105" t="s">
        <v>76</v>
      </c>
      <c r="C77" s="77" t="s">
        <v>404</v>
      </c>
      <c r="F77" s="77">
        <f>+I77+L77</f>
        <v>820284</v>
      </c>
      <c r="G77" s="77">
        <f>+'C-GPL'!H15</f>
        <v>1592615</v>
      </c>
      <c r="H77" s="78">
        <f aca="true" t="shared" si="41" ref="H77:H86">F77+G77</f>
        <v>2412899</v>
      </c>
      <c r="I77" s="77">
        <f>+'C-GPL'!F15</f>
        <v>372436</v>
      </c>
      <c r="J77" s="77">
        <f aca="true" t="shared" si="42" ref="J77:J86">G77*VLOOKUP(A77,Allocators,7)</f>
        <v>1036745</v>
      </c>
      <c r="K77" s="78">
        <f aca="true" t="shared" si="43" ref="K77:K86">I77+J77</f>
        <v>1409181</v>
      </c>
      <c r="L77" s="77">
        <f>+'C-GPL'!G15</f>
        <v>447848</v>
      </c>
      <c r="M77" s="77">
        <f aca="true" t="shared" si="44" ref="M77:M86">G77*VLOOKUP(A77,Allocators,8)</f>
        <v>555870</v>
      </c>
      <c r="N77" s="77">
        <f aca="true" t="shared" si="45" ref="N77:N86">L77+M77</f>
        <v>1003718</v>
      </c>
      <c r="R77" s="77"/>
    </row>
    <row r="78" spans="1:18" ht="14.25" customHeight="1">
      <c r="A78" s="82">
        <v>4</v>
      </c>
      <c r="B78" s="105" t="s">
        <v>90</v>
      </c>
      <c r="C78" s="77" t="s">
        <v>405</v>
      </c>
      <c r="F78" s="77">
        <f aca="true" t="shared" si="46" ref="F78:F86">I78+L78</f>
        <v>5860172</v>
      </c>
      <c r="G78" s="77">
        <f>+'C-GPL'!H27</f>
        <v>23575253</v>
      </c>
      <c r="H78" s="78">
        <f t="shared" si="41"/>
        <v>29435425</v>
      </c>
      <c r="I78" s="77">
        <f>+'C-GPL'!F27</f>
        <v>1657738</v>
      </c>
      <c r="J78" s="77">
        <f t="shared" si="42"/>
        <v>15346782</v>
      </c>
      <c r="K78" s="78">
        <f t="shared" si="43"/>
        <v>17004520</v>
      </c>
      <c r="L78" s="77">
        <f>+'C-GPL'!G27</f>
        <v>4202434</v>
      </c>
      <c r="M78" s="77">
        <f t="shared" si="44"/>
        <v>8228471</v>
      </c>
      <c r="N78" s="77">
        <f t="shared" si="45"/>
        <v>12430905</v>
      </c>
      <c r="R78" s="77"/>
    </row>
    <row r="79" spans="1:18" ht="14.25" customHeight="1">
      <c r="A79" s="82">
        <v>4</v>
      </c>
      <c r="B79" s="105" t="s">
        <v>91</v>
      </c>
      <c r="C79" s="77" t="s">
        <v>459</v>
      </c>
      <c r="F79" s="77">
        <f t="shared" si="46"/>
        <v>0</v>
      </c>
      <c r="G79" s="77">
        <f>+'C-GPL'!H39</f>
        <v>20067089</v>
      </c>
      <c r="H79" s="78">
        <f t="shared" si="41"/>
        <v>20067089</v>
      </c>
      <c r="I79" s="77">
        <f>+'C-GPL'!F39</f>
        <v>0</v>
      </c>
      <c r="J79" s="77">
        <f t="shared" si="42"/>
        <v>13063073</v>
      </c>
      <c r="K79" s="78">
        <f t="shared" si="43"/>
        <v>13063073</v>
      </c>
      <c r="L79" s="77">
        <f>+'C-GPL'!G39</f>
        <v>0</v>
      </c>
      <c r="M79" s="77">
        <f t="shared" si="44"/>
        <v>7004016</v>
      </c>
      <c r="N79" s="77">
        <f t="shared" si="45"/>
        <v>7004016</v>
      </c>
      <c r="R79" s="77"/>
    </row>
    <row r="80" spans="1:18" ht="14.25" customHeight="1">
      <c r="A80" s="82">
        <v>4</v>
      </c>
      <c r="B80" s="105" t="s">
        <v>92</v>
      </c>
      <c r="C80" s="77" t="s">
        <v>460</v>
      </c>
      <c r="F80" s="77">
        <f t="shared" si="46"/>
        <v>5861872</v>
      </c>
      <c r="G80" s="77">
        <f>+'C-GPL'!H51</f>
        <v>4231253</v>
      </c>
      <c r="H80" s="78">
        <f t="shared" si="41"/>
        <v>10093125</v>
      </c>
      <c r="I80" s="77">
        <f>+'C-GPL'!F51</f>
        <v>4122615</v>
      </c>
      <c r="J80" s="77">
        <f t="shared" si="42"/>
        <v>2754419</v>
      </c>
      <c r="K80" s="78">
        <f t="shared" si="43"/>
        <v>6877034</v>
      </c>
      <c r="L80" s="77">
        <f>+'C-GPL'!G51</f>
        <v>1739257</v>
      </c>
      <c r="M80" s="77">
        <f t="shared" si="44"/>
        <v>1476834</v>
      </c>
      <c r="N80" s="77">
        <f t="shared" si="45"/>
        <v>3216091</v>
      </c>
      <c r="R80" s="77"/>
    </row>
    <row r="81" spans="1:18" ht="14.25" customHeight="1">
      <c r="A81" s="82">
        <v>4</v>
      </c>
      <c r="B81" s="105">
        <v>393000</v>
      </c>
      <c r="C81" s="77" t="s">
        <v>461</v>
      </c>
      <c r="F81" s="77">
        <f t="shared" si="46"/>
        <v>344158</v>
      </c>
      <c r="G81" s="77">
        <f>+'C-GPL'!H63</f>
        <v>755023</v>
      </c>
      <c r="H81" s="78">
        <f t="shared" si="41"/>
        <v>1099181</v>
      </c>
      <c r="I81" s="77">
        <f>+'C-GPL'!F63</f>
        <v>131901</v>
      </c>
      <c r="J81" s="77">
        <f t="shared" si="42"/>
        <v>491497</v>
      </c>
      <c r="K81" s="78">
        <f t="shared" si="43"/>
        <v>623398</v>
      </c>
      <c r="L81" s="77">
        <f>+'C-GPL'!G63</f>
        <v>212257</v>
      </c>
      <c r="M81" s="77">
        <f t="shared" si="44"/>
        <v>263526</v>
      </c>
      <c r="N81" s="77">
        <f t="shared" si="45"/>
        <v>475783</v>
      </c>
      <c r="R81" s="77"/>
    </row>
    <row r="82" spans="1:18" ht="14.25" customHeight="1">
      <c r="A82" s="82">
        <v>4</v>
      </c>
      <c r="B82" s="105">
        <v>394000</v>
      </c>
      <c r="C82" s="77" t="s">
        <v>463</v>
      </c>
      <c r="F82" s="77">
        <f t="shared" si="46"/>
        <v>1749845</v>
      </c>
      <c r="G82" s="77">
        <f>+'C-GPL'!H75</f>
        <v>2703733</v>
      </c>
      <c r="H82" s="78">
        <f t="shared" si="41"/>
        <v>4453578</v>
      </c>
      <c r="I82" s="77">
        <f>+'C-GPL'!F75</f>
        <v>1305300</v>
      </c>
      <c r="J82" s="77">
        <f t="shared" si="42"/>
        <v>1760049</v>
      </c>
      <c r="K82" s="78">
        <f t="shared" si="43"/>
        <v>3065349</v>
      </c>
      <c r="L82" s="77">
        <f>+'C-GPL'!G75</f>
        <v>444545</v>
      </c>
      <c r="M82" s="77">
        <f t="shared" si="44"/>
        <v>943684</v>
      </c>
      <c r="N82" s="77">
        <f t="shared" si="45"/>
        <v>1388229</v>
      </c>
      <c r="R82" s="77"/>
    </row>
    <row r="83" spans="1:18" ht="14.25" customHeight="1">
      <c r="A83" s="82">
        <v>4</v>
      </c>
      <c r="B83" s="105">
        <v>395000</v>
      </c>
      <c r="C83" s="77" t="s">
        <v>464</v>
      </c>
      <c r="F83" s="77">
        <f t="shared" si="46"/>
        <v>723647</v>
      </c>
      <c r="G83" s="77">
        <f>+'C-GPL'!H87</f>
        <v>3099668</v>
      </c>
      <c r="H83" s="78">
        <f t="shared" si="41"/>
        <v>3823315</v>
      </c>
      <c r="I83" s="77">
        <f>+'C-GPL'!F87</f>
        <v>397402</v>
      </c>
      <c r="J83" s="77">
        <f t="shared" si="42"/>
        <v>2017791</v>
      </c>
      <c r="K83" s="78">
        <f t="shared" si="43"/>
        <v>2415193</v>
      </c>
      <c r="L83" s="77">
        <f>+'C-GPL'!G87</f>
        <v>326245</v>
      </c>
      <c r="M83" s="77">
        <f t="shared" si="44"/>
        <v>1081877</v>
      </c>
      <c r="N83" s="77">
        <f t="shared" si="45"/>
        <v>1408122</v>
      </c>
      <c r="R83" s="77"/>
    </row>
    <row r="84" spans="1:18" ht="14.25" customHeight="1">
      <c r="A84" s="82">
        <v>4</v>
      </c>
      <c r="B84" s="105" t="s">
        <v>93</v>
      </c>
      <c r="C84" s="77" t="s">
        <v>465</v>
      </c>
      <c r="F84" s="77">
        <f t="shared" si="46"/>
        <v>16012198</v>
      </c>
      <c r="G84" s="77">
        <f>+'C-GPL'!H99</f>
        <v>6059437</v>
      </c>
      <c r="H84" s="78">
        <f t="shared" si="41"/>
        <v>22071635</v>
      </c>
      <c r="I84" s="77">
        <f>+'C-GPL'!F99</f>
        <v>10291634</v>
      </c>
      <c r="J84" s="77">
        <f t="shared" si="42"/>
        <v>3944512</v>
      </c>
      <c r="K84" s="78">
        <f t="shared" si="43"/>
        <v>14236146</v>
      </c>
      <c r="L84" s="77">
        <f>+'C-GPL'!G99</f>
        <v>5720564</v>
      </c>
      <c r="M84" s="77">
        <f t="shared" si="44"/>
        <v>2114925</v>
      </c>
      <c r="N84" s="77">
        <f t="shared" si="45"/>
        <v>7835489</v>
      </c>
      <c r="R84" s="77"/>
    </row>
    <row r="85" spans="1:18" ht="14.25" customHeight="1">
      <c r="A85" s="82">
        <v>4</v>
      </c>
      <c r="B85" s="105" t="s">
        <v>94</v>
      </c>
      <c r="C85" s="77" t="s">
        <v>466</v>
      </c>
      <c r="F85" s="77">
        <f t="shared" si="46"/>
        <v>6718642</v>
      </c>
      <c r="G85" s="77">
        <f>+'C-GPL'!H111</f>
        <v>37208504</v>
      </c>
      <c r="H85" s="78">
        <f t="shared" si="41"/>
        <v>43927146</v>
      </c>
      <c r="I85" s="77">
        <f>+'C-GPL'!F111</f>
        <v>4818002</v>
      </c>
      <c r="J85" s="77">
        <f t="shared" si="42"/>
        <v>24221620</v>
      </c>
      <c r="K85" s="78">
        <f t="shared" si="43"/>
        <v>29039622</v>
      </c>
      <c r="L85" s="77">
        <f>+'C-GPL'!G111</f>
        <v>1900640</v>
      </c>
      <c r="M85" s="77">
        <f t="shared" si="44"/>
        <v>12986884</v>
      </c>
      <c r="N85" s="77">
        <f t="shared" si="45"/>
        <v>14887524</v>
      </c>
      <c r="R85" s="77"/>
    </row>
    <row r="86" spans="1:18" ht="14.25" customHeight="1">
      <c r="A86" s="82">
        <v>4</v>
      </c>
      <c r="B86" s="105">
        <v>398000</v>
      </c>
      <c r="C86" s="77" t="s">
        <v>467</v>
      </c>
      <c r="F86" s="77">
        <f t="shared" si="46"/>
        <v>12724</v>
      </c>
      <c r="G86" s="77">
        <f>+'C-GPL'!H123</f>
        <v>457694</v>
      </c>
      <c r="H86" s="78">
        <f t="shared" si="41"/>
        <v>470418</v>
      </c>
      <c r="I86" s="77">
        <f>+'C-GPL'!F123</f>
        <v>4264</v>
      </c>
      <c r="J86" s="77">
        <f t="shared" si="42"/>
        <v>297945</v>
      </c>
      <c r="K86" s="78">
        <f t="shared" si="43"/>
        <v>302209</v>
      </c>
      <c r="L86" s="77">
        <f>+'C-GPL'!G123</f>
        <v>8460</v>
      </c>
      <c r="M86" s="77">
        <f t="shared" si="44"/>
        <v>159749</v>
      </c>
      <c r="N86" s="77">
        <f t="shared" si="45"/>
        <v>168209</v>
      </c>
      <c r="R86" s="77"/>
    </row>
    <row r="87" spans="1:18" ht="14.25" customHeight="1">
      <c r="A87" s="82">
        <v>99</v>
      </c>
      <c r="B87" s="105">
        <v>399100</v>
      </c>
      <c r="C87" s="77" t="s">
        <v>253</v>
      </c>
      <c r="F87" s="77">
        <f>I87+L87</f>
        <v>0</v>
      </c>
      <c r="G87" s="77">
        <v>0</v>
      </c>
      <c r="H87" s="78">
        <f>F87+G87</f>
        <v>0</v>
      </c>
      <c r="I87" s="77">
        <v>0</v>
      </c>
      <c r="J87" s="77">
        <f>G87*VLOOKUP(A87,Allocators,7)</f>
        <v>0</v>
      </c>
      <c r="K87" s="78">
        <f>I87+J87</f>
        <v>0</v>
      </c>
      <c r="L87" s="77">
        <v>0</v>
      </c>
      <c r="M87" s="77">
        <f>G87*VLOOKUP(A87,Allocators,8)</f>
        <v>0</v>
      </c>
      <c r="N87" s="77">
        <f>L87+M87</f>
        <v>0</v>
      </c>
      <c r="R87" s="77"/>
    </row>
    <row r="88" spans="1:18" ht="14.25" customHeight="1">
      <c r="A88" s="82"/>
      <c r="B88" s="106"/>
      <c r="C88" s="77" t="s">
        <v>468</v>
      </c>
      <c r="F88" s="107">
        <f aca="true" t="shared" si="47" ref="F88:N88">SUM(F77:F87)</f>
        <v>38103542</v>
      </c>
      <c r="G88" s="107">
        <f t="shared" si="47"/>
        <v>99750269</v>
      </c>
      <c r="H88" s="108">
        <f t="shared" si="47"/>
        <v>137853811</v>
      </c>
      <c r="I88" s="107">
        <f t="shared" si="47"/>
        <v>23101292</v>
      </c>
      <c r="J88" s="107">
        <f t="shared" si="47"/>
        <v>64934433</v>
      </c>
      <c r="K88" s="108">
        <f t="shared" si="47"/>
        <v>88035725</v>
      </c>
      <c r="L88" s="107">
        <f t="shared" si="47"/>
        <v>15002250</v>
      </c>
      <c r="M88" s="107">
        <f t="shared" si="47"/>
        <v>34815836</v>
      </c>
      <c r="N88" s="107">
        <f t="shared" si="47"/>
        <v>49818086</v>
      </c>
      <c r="R88" s="77"/>
    </row>
    <row r="89" spans="1:18" ht="14.25" customHeight="1">
      <c r="A89" s="82"/>
      <c r="B89" s="106"/>
      <c r="C89" s="77"/>
      <c r="F89" s="109"/>
      <c r="G89" s="109"/>
      <c r="H89" s="78"/>
      <c r="I89" s="109"/>
      <c r="J89" s="109"/>
      <c r="K89" s="78"/>
      <c r="L89" s="109"/>
      <c r="M89" s="109"/>
      <c r="N89" s="109"/>
      <c r="R89" s="77"/>
    </row>
    <row r="90" spans="1:18" ht="14.25" customHeight="1">
      <c r="A90" s="82"/>
      <c r="B90" s="106"/>
      <c r="C90" s="77" t="s">
        <v>469</v>
      </c>
      <c r="F90" s="111">
        <f aca="true" t="shared" si="48" ref="F90:N90">F15+F47+F59+F74+F88</f>
        <v>931397472</v>
      </c>
      <c r="G90" s="111">
        <f t="shared" si="48"/>
        <v>1592298289</v>
      </c>
      <c r="H90" s="112">
        <f t="shared" si="48"/>
        <v>2523695761</v>
      </c>
      <c r="I90" s="111">
        <f t="shared" si="48"/>
        <v>575261864</v>
      </c>
      <c r="J90" s="111">
        <f t="shared" si="48"/>
        <v>1029057812</v>
      </c>
      <c r="K90" s="112">
        <f t="shared" si="48"/>
        <v>1604319676</v>
      </c>
      <c r="L90" s="111">
        <f t="shared" si="48"/>
        <v>356135608</v>
      </c>
      <c r="M90" s="111">
        <f t="shared" si="48"/>
        <v>563240477</v>
      </c>
      <c r="N90" s="111">
        <f t="shared" si="48"/>
        <v>919376085</v>
      </c>
      <c r="R90" s="77"/>
    </row>
    <row r="91" spans="1:18" ht="14.25" customHeight="1">
      <c r="A91" s="82">
        <v>99</v>
      </c>
      <c r="B91" s="106" t="s">
        <v>220</v>
      </c>
      <c r="C91" s="77" t="s">
        <v>470</v>
      </c>
      <c r="F91" s="77">
        <f>I91+L91</f>
        <v>0</v>
      </c>
      <c r="G91" s="77">
        <v>0</v>
      </c>
      <c r="H91" s="78">
        <f>F91+G91</f>
        <v>0</v>
      </c>
      <c r="I91" s="77">
        <v>0</v>
      </c>
      <c r="J91" s="77">
        <v>0</v>
      </c>
      <c r="K91" s="78">
        <f>I91+J91</f>
        <v>0</v>
      </c>
      <c r="L91" s="77">
        <v>0</v>
      </c>
      <c r="M91" s="77">
        <v>0</v>
      </c>
      <c r="N91" s="77">
        <f>L91+M91</f>
        <v>0</v>
      </c>
      <c r="R91" s="77"/>
    </row>
    <row r="92" spans="1:18" ht="14.25" customHeight="1">
      <c r="A92" s="82"/>
      <c r="B92" s="106"/>
      <c r="C92" s="77" t="s">
        <v>471</v>
      </c>
      <c r="F92" s="113">
        <f aca="true" t="shared" si="49" ref="F92:N92">F90+F91</f>
        <v>931397472</v>
      </c>
      <c r="G92" s="113">
        <f t="shared" si="49"/>
        <v>1592298289</v>
      </c>
      <c r="H92" s="114">
        <f t="shared" si="49"/>
        <v>2523695761</v>
      </c>
      <c r="I92" s="113">
        <f t="shared" si="49"/>
        <v>575261864</v>
      </c>
      <c r="J92" s="113">
        <f t="shared" si="49"/>
        <v>1029057812</v>
      </c>
      <c r="K92" s="114">
        <f t="shared" si="49"/>
        <v>1604319676</v>
      </c>
      <c r="L92" s="113">
        <f t="shared" si="49"/>
        <v>356135608</v>
      </c>
      <c r="M92" s="113">
        <f t="shared" si="49"/>
        <v>563240477</v>
      </c>
      <c r="N92" s="113">
        <f t="shared" si="49"/>
        <v>919376085</v>
      </c>
      <c r="R92" s="77"/>
    </row>
    <row r="93" spans="1:18" ht="14.25" customHeight="1">
      <c r="A93" s="82"/>
      <c r="B93" s="106"/>
      <c r="C93" s="77"/>
      <c r="F93" s="77"/>
      <c r="G93" s="77"/>
      <c r="H93" s="78"/>
      <c r="I93" s="77"/>
      <c r="J93" s="77"/>
      <c r="K93" s="78"/>
      <c r="L93" s="77"/>
      <c r="M93" s="77"/>
      <c r="N93" s="77"/>
      <c r="R93" s="77"/>
    </row>
    <row r="94" spans="1:18" ht="14.25" customHeight="1">
      <c r="A94" s="82"/>
      <c r="B94" s="106"/>
      <c r="C94" s="77" t="s">
        <v>472</v>
      </c>
      <c r="F94" s="77"/>
      <c r="G94" s="77"/>
      <c r="H94" s="78"/>
      <c r="I94" s="77"/>
      <c r="J94" s="77"/>
      <c r="K94" s="78"/>
      <c r="L94" s="77"/>
      <c r="M94" s="77"/>
      <c r="N94" s="77"/>
      <c r="R94" s="77"/>
    </row>
    <row r="95" spans="1:18" ht="14.25" customHeight="1">
      <c r="A95" s="82">
        <v>1</v>
      </c>
      <c r="B95" s="106" t="s">
        <v>647</v>
      </c>
      <c r="C95" s="77" t="s">
        <v>473</v>
      </c>
      <c r="F95" s="77">
        <f>+I95+L95</f>
        <v>0</v>
      </c>
      <c r="G95" s="77">
        <f>-Data!H338</f>
        <v>238667520</v>
      </c>
      <c r="H95" s="78">
        <f>F95+G95</f>
        <v>238667520</v>
      </c>
      <c r="I95" s="77">
        <f>-Data!J338</f>
        <v>0</v>
      </c>
      <c r="J95" s="77">
        <f>G95*VLOOKUP(A95,Allocators,7)</f>
        <v>154155351</v>
      </c>
      <c r="K95" s="78">
        <f>I95+J95</f>
        <v>154155351</v>
      </c>
      <c r="L95" s="77">
        <f>-Data!K338</f>
        <v>0</v>
      </c>
      <c r="M95" s="77">
        <f>G95*VLOOKUP(A95,Allocators,8)</f>
        <v>84512169</v>
      </c>
      <c r="N95" s="77">
        <f>L95+M95</f>
        <v>84512169</v>
      </c>
      <c r="R95" s="77"/>
    </row>
    <row r="96" spans="1:18" ht="14.25" customHeight="1">
      <c r="A96" s="82">
        <v>1</v>
      </c>
      <c r="B96" s="105">
        <v>108000</v>
      </c>
      <c r="C96" s="77" t="s">
        <v>474</v>
      </c>
      <c r="F96" s="77">
        <f>+I96+L96</f>
        <v>0</v>
      </c>
      <c r="G96" s="77">
        <f>-Data!H339</f>
        <v>85713330</v>
      </c>
      <c r="H96" s="78">
        <f>F96+G96</f>
        <v>85713330</v>
      </c>
      <c r="I96" s="77">
        <f>-Data!J339</f>
        <v>0</v>
      </c>
      <c r="J96" s="77">
        <f>G96*VLOOKUP(A96,Allocators,7)</f>
        <v>55362240</v>
      </c>
      <c r="K96" s="78">
        <f>I96+J96</f>
        <v>55362240</v>
      </c>
      <c r="L96" s="77">
        <f>-Data!K339</f>
        <v>0</v>
      </c>
      <c r="M96" s="77">
        <f>G96*VLOOKUP(A96,Allocators,8)</f>
        <v>30351090</v>
      </c>
      <c r="N96" s="77">
        <f>L96+M96</f>
        <v>30351090</v>
      </c>
      <c r="R96" s="77"/>
    </row>
    <row r="97" spans="1:18" ht="14.25" customHeight="1">
      <c r="A97" s="82">
        <v>1</v>
      </c>
      <c r="B97" s="106" t="s">
        <v>649</v>
      </c>
      <c r="C97" s="77" t="s">
        <v>475</v>
      </c>
      <c r="F97" s="77">
        <f>+I97+L97</f>
        <v>0</v>
      </c>
      <c r="G97" s="77">
        <f>-Data!H340</f>
        <v>49210082</v>
      </c>
      <c r="H97" s="78">
        <f>F97+G97</f>
        <v>49210082</v>
      </c>
      <c r="I97" s="77">
        <f>-Data!J340</f>
        <v>0</v>
      </c>
      <c r="J97" s="77">
        <f>G97*VLOOKUP(A97,Allocators,7)</f>
        <v>31784792</v>
      </c>
      <c r="K97" s="78">
        <f>I97+J97</f>
        <v>31784792</v>
      </c>
      <c r="L97" s="77">
        <f>-Data!K340</f>
        <v>0</v>
      </c>
      <c r="M97" s="77">
        <f>G97*VLOOKUP(A97,Allocators,8)</f>
        <v>17425290</v>
      </c>
      <c r="N97" s="77">
        <f>L97+M97</f>
        <v>17425290</v>
      </c>
      <c r="R97" s="77"/>
    </row>
    <row r="98" spans="1:18" ht="14.25" customHeight="1">
      <c r="A98" s="82">
        <v>1</v>
      </c>
      <c r="B98" s="106" t="s">
        <v>650</v>
      </c>
      <c r="C98" s="77" t="s">
        <v>476</v>
      </c>
      <c r="F98" s="77">
        <f>+I98+L98</f>
        <v>0</v>
      </c>
      <c r="G98" s="77">
        <f>-Data!H341</f>
        <v>145607403</v>
      </c>
      <c r="H98" s="78">
        <f>F98+G98</f>
        <v>145607403</v>
      </c>
      <c r="I98" s="77">
        <f>-Data!J341</f>
        <v>0</v>
      </c>
      <c r="J98" s="77">
        <f>G98*VLOOKUP(A98,Allocators,7)</f>
        <v>94047822</v>
      </c>
      <c r="K98" s="78">
        <f>I98+J98</f>
        <v>94047822</v>
      </c>
      <c r="L98" s="77">
        <f>-Data!K341</f>
        <v>0</v>
      </c>
      <c r="M98" s="77">
        <f>G98*VLOOKUP(A98,Allocators,8)</f>
        <v>51559581</v>
      </c>
      <c r="N98" s="77">
        <f>L98+M98</f>
        <v>51559581</v>
      </c>
      <c r="R98" s="77"/>
    </row>
    <row r="99" spans="1:18" ht="14.25" customHeight="1">
      <c r="A99" s="82" t="s">
        <v>778</v>
      </c>
      <c r="B99" s="106" t="s">
        <v>212</v>
      </c>
      <c r="C99" s="77" t="s">
        <v>477</v>
      </c>
      <c r="F99" s="77">
        <f>+'E-ADP'!F18</f>
        <v>273815109</v>
      </c>
      <c r="G99" s="77">
        <f>+'E-ADP'!G18</f>
        <v>0</v>
      </c>
      <c r="H99" s="78">
        <f>+'E-ADP'!H18</f>
        <v>273815109</v>
      </c>
      <c r="I99" s="77">
        <f>+'E-ADP'!I18</f>
        <v>169064401</v>
      </c>
      <c r="J99" s="77">
        <f>+'E-ADP'!J18</f>
        <v>0</v>
      </c>
      <c r="K99" s="78">
        <f>+'E-ADP'!K18</f>
        <v>169064401</v>
      </c>
      <c r="L99" s="77">
        <f>+'E-ADP'!L18</f>
        <v>104750708</v>
      </c>
      <c r="M99" s="77">
        <f>+'E-ADP'!M18</f>
        <v>0</v>
      </c>
      <c r="N99" s="77">
        <f>+'E-ADP'!N18</f>
        <v>104750708</v>
      </c>
      <c r="R99" s="77"/>
    </row>
    <row r="100" spans="1:18" ht="14.25" customHeight="1">
      <c r="A100" s="82" t="s">
        <v>778</v>
      </c>
      <c r="B100" s="106" t="s">
        <v>137</v>
      </c>
      <c r="C100" s="77" t="s">
        <v>478</v>
      </c>
      <c r="F100" s="77">
        <f>+'E-ADP'!F35</f>
        <v>13808855</v>
      </c>
      <c r="G100" s="77">
        <f>+'E-ADP'!G35</f>
        <v>41276732</v>
      </c>
      <c r="H100" s="78">
        <f>'E-ADP'!H35</f>
        <v>55085587</v>
      </c>
      <c r="I100" s="77">
        <f>+'E-ADP'!I35</f>
        <v>8176905</v>
      </c>
      <c r="J100" s="77">
        <f>+'E-ADP'!J35</f>
        <v>26869914</v>
      </c>
      <c r="K100" s="78">
        <f>+'E-ADP'!K35</f>
        <v>35046819</v>
      </c>
      <c r="L100" s="77">
        <f>'E-ADP'!L35</f>
        <v>5631950</v>
      </c>
      <c r="M100" s="77">
        <f>'E-ADP'!M35</f>
        <v>14406818</v>
      </c>
      <c r="N100" s="77">
        <f>'E-ADP'!N35</f>
        <v>20038768</v>
      </c>
      <c r="R100" s="77"/>
    </row>
    <row r="101" spans="1:18" ht="14.25" customHeight="1">
      <c r="A101" s="82" t="s">
        <v>778</v>
      </c>
      <c r="B101" s="106" t="s">
        <v>138</v>
      </c>
      <c r="C101" s="77" t="s">
        <v>479</v>
      </c>
      <c r="F101" s="77">
        <f>+'E-ADP'!F51</f>
        <v>3625628</v>
      </c>
      <c r="G101" s="77">
        <f>+'E-ADP'!G51</f>
        <v>2617058</v>
      </c>
      <c r="H101" s="78">
        <f>'E-ADP'!H51</f>
        <v>6242686</v>
      </c>
      <c r="I101" s="77">
        <f>+'E-ADP'!I51</f>
        <v>2549888</v>
      </c>
      <c r="J101" s="77">
        <f>+'E-ADP'!J51</f>
        <v>1703626</v>
      </c>
      <c r="K101" s="78">
        <f>+'E-ADP'!K51</f>
        <v>4253514</v>
      </c>
      <c r="L101" s="77">
        <f>'E-ADP'!L51</f>
        <v>1075740</v>
      </c>
      <c r="M101" s="77">
        <f>'E-ADP'!M51</f>
        <v>913432</v>
      </c>
      <c r="N101" s="77">
        <f>'E-ADP'!N51</f>
        <v>1989172</v>
      </c>
      <c r="R101" s="77"/>
    </row>
    <row r="102" spans="1:18" ht="14.25" customHeight="1">
      <c r="A102" s="82">
        <v>1</v>
      </c>
      <c r="B102" s="106" t="s">
        <v>647</v>
      </c>
      <c r="C102" s="77" t="s">
        <v>294</v>
      </c>
      <c r="F102" s="77">
        <f>+I102+L102</f>
        <v>0</v>
      </c>
      <c r="G102" s="77">
        <f>IF(E3="E-plt-12A",+SFAS143AccDep!C85+SFAS143AccDep!D85+SFAS143AccDep!E85+SFAS143AccDep!G85,+SFAS143AccDep!C83+SFAS143AccDep!D83+SFAS143AccDep!E83+SFAS143AccDep!G83)</f>
        <v>-202144</v>
      </c>
      <c r="H102" s="78">
        <f>+F102+G102</f>
        <v>-202144</v>
      </c>
      <c r="I102" s="77">
        <v>0</v>
      </c>
      <c r="J102" s="77">
        <f>G102*VLOOKUP(A102,Allocators,7)</f>
        <v>-130565</v>
      </c>
      <c r="K102" s="78">
        <f>+I102+J102</f>
        <v>-130565</v>
      </c>
      <c r="L102" s="77">
        <v>0</v>
      </c>
      <c r="M102" s="77">
        <f>G102*VLOOKUP(A102,Allocators,8)</f>
        <v>-71579</v>
      </c>
      <c r="N102" s="78">
        <f>+L102+M102</f>
        <v>-71579</v>
      </c>
      <c r="R102" s="77"/>
    </row>
    <row r="103" spans="1:18" ht="14.25" customHeight="1">
      <c r="A103" s="82"/>
      <c r="B103" s="83"/>
      <c r="C103" s="77" t="s">
        <v>480</v>
      </c>
      <c r="F103" s="107">
        <f aca="true" t="shared" si="50" ref="F103:N103">SUM(F95:F102)</f>
        <v>291249592</v>
      </c>
      <c r="G103" s="107">
        <f t="shared" si="50"/>
        <v>562889981</v>
      </c>
      <c r="H103" s="108">
        <f t="shared" si="50"/>
        <v>854139573</v>
      </c>
      <c r="I103" s="107">
        <f t="shared" si="50"/>
        <v>179791194</v>
      </c>
      <c r="J103" s="107">
        <f t="shared" si="50"/>
        <v>363793180</v>
      </c>
      <c r="K103" s="108">
        <f t="shared" si="50"/>
        <v>543584374</v>
      </c>
      <c r="L103" s="107">
        <f t="shared" si="50"/>
        <v>111458398</v>
      </c>
      <c r="M103" s="107">
        <f t="shared" si="50"/>
        <v>199096801</v>
      </c>
      <c r="N103" s="107">
        <f t="shared" si="50"/>
        <v>310555199</v>
      </c>
      <c r="R103" s="77"/>
    </row>
    <row r="104" spans="1:18" ht="14.25" customHeight="1">
      <c r="A104" s="82"/>
      <c r="B104" s="83"/>
      <c r="C104" s="77"/>
      <c r="F104" s="77"/>
      <c r="G104" s="77"/>
      <c r="H104" s="78"/>
      <c r="I104" s="77"/>
      <c r="J104" s="77"/>
      <c r="K104" s="78"/>
      <c r="L104" s="77"/>
      <c r="M104" s="77"/>
      <c r="N104" s="77"/>
      <c r="R104" s="77"/>
    </row>
    <row r="105" spans="1:18" ht="14.25" customHeight="1">
      <c r="A105" s="82"/>
      <c r="B105" s="83"/>
      <c r="C105" s="77" t="s">
        <v>481</v>
      </c>
      <c r="F105" s="77"/>
      <c r="G105" s="77"/>
      <c r="H105" s="78"/>
      <c r="I105" s="77"/>
      <c r="J105" s="77"/>
      <c r="K105" s="78"/>
      <c r="L105" s="77"/>
      <c r="M105" s="77"/>
      <c r="N105" s="77"/>
      <c r="R105" s="77"/>
    </row>
    <row r="106" spans="1:18" ht="14.25" customHeight="1">
      <c r="A106" s="82">
        <v>1</v>
      </c>
      <c r="B106" s="106" t="s">
        <v>139</v>
      </c>
      <c r="C106" s="77" t="s">
        <v>482</v>
      </c>
      <c r="F106" s="77">
        <f>I106+L106</f>
        <v>9051</v>
      </c>
      <c r="G106" s="77">
        <f>-Data!I386-Data!I389</f>
        <v>3230461</v>
      </c>
      <c r="H106" s="78">
        <f>F106+G106</f>
        <v>3239512</v>
      </c>
      <c r="I106" s="77">
        <f>-Data!J386-Data!J389</f>
        <v>9051</v>
      </c>
      <c r="J106" s="77">
        <f>G106*VLOOKUP(A106,Allocators,7)</f>
        <v>2086555</v>
      </c>
      <c r="K106" s="78">
        <f>I106+J106</f>
        <v>2095606</v>
      </c>
      <c r="L106" s="77">
        <f>-Data!K386-Data!K389</f>
        <v>0</v>
      </c>
      <c r="M106" s="77">
        <f>G106*VLOOKUP(A106,Allocators,8)</f>
        <v>1143906</v>
      </c>
      <c r="N106" s="77">
        <f>L106+M106</f>
        <v>1143906</v>
      </c>
      <c r="R106" s="77"/>
    </row>
    <row r="107" spans="1:18" ht="14.25" customHeight="1">
      <c r="A107" s="82">
        <v>4</v>
      </c>
      <c r="B107" s="106" t="s">
        <v>140</v>
      </c>
      <c r="C107" s="77" t="s">
        <v>585</v>
      </c>
      <c r="F107" s="77">
        <f>I107+L107</f>
        <v>0</v>
      </c>
      <c r="G107" s="77">
        <f>-Data!I391</f>
        <v>0</v>
      </c>
      <c r="H107" s="78">
        <f>F107+G107</f>
        <v>0</v>
      </c>
      <c r="I107" s="77">
        <f>-Data!J391</f>
        <v>0</v>
      </c>
      <c r="J107" s="77">
        <f>G107*VLOOKUP(A107,Allocators,7)</f>
        <v>0</v>
      </c>
      <c r="K107" s="78">
        <f>I107+J107</f>
        <v>0</v>
      </c>
      <c r="L107" s="77">
        <f>-Data!K391</f>
        <v>0</v>
      </c>
      <c r="M107" s="77">
        <f>G107*VLOOKUP(A107,Allocators,8)</f>
        <v>0</v>
      </c>
      <c r="N107" s="77">
        <f>L107+M107</f>
        <v>0</v>
      </c>
      <c r="R107" s="77"/>
    </row>
    <row r="108" spans="1:18" ht="14.25" customHeight="1">
      <c r="A108" s="82">
        <v>4</v>
      </c>
      <c r="B108" s="106" t="s">
        <v>143</v>
      </c>
      <c r="C108" s="77" t="s">
        <v>144</v>
      </c>
      <c r="F108" s="77">
        <f>I108+L108</f>
        <v>110678</v>
      </c>
      <c r="G108" s="77">
        <f>-Data!I396</f>
        <v>432</v>
      </c>
      <c r="H108" s="78">
        <f>F108+G108</f>
        <v>111110</v>
      </c>
      <c r="I108" s="77">
        <f>-Data!J396</f>
        <v>110678</v>
      </c>
      <c r="J108" s="77">
        <f>G108*VLOOKUP(A108,Allocators,7)</f>
        <v>281</v>
      </c>
      <c r="K108" s="78">
        <f>I108+J108</f>
        <v>110959</v>
      </c>
      <c r="L108" s="77">
        <f>-Data!K396</f>
        <v>0</v>
      </c>
      <c r="M108" s="77">
        <f>G108*VLOOKUP(A108,Allocators,8)</f>
        <v>151</v>
      </c>
      <c r="N108" s="77">
        <f>L108+M108</f>
        <v>151</v>
      </c>
      <c r="R108" s="77"/>
    </row>
    <row r="109" spans="1:18" ht="14.25" customHeight="1">
      <c r="A109" s="82">
        <v>4</v>
      </c>
      <c r="B109" s="106" t="s">
        <v>218</v>
      </c>
      <c r="C109" s="77" t="s">
        <v>483</v>
      </c>
      <c r="F109" s="77">
        <f>I109+L109</f>
        <v>0</v>
      </c>
      <c r="G109" s="77">
        <f>+'C-AAM'!G26</f>
        <v>67197</v>
      </c>
      <c r="H109" s="78">
        <f>F109+G109</f>
        <v>67197</v>
      </c>
      <c r="I109" s="77">
        <v>0</v>
      </c>
      <c r="J109" s="77">
        <f>G109*VLOOKUP(A109,Allocators,7)</f>
        <v>43743</v>
      </c>
      <c r="K109" s="78">
        <f>I109+J109</f>
        <v>43743</v>
      </c>
      <c r="L109" s="77">
        <v>0</v>
      </c>
      <c r="M109" s="77">
        <f>G109*VLOOKUP(A109,Allocators,8)</f>
        <v>23454</v>
      </c>
      <c r="N109" s="77">
        <f>L109+M109</f>
        <v>23454</v>
      </c>
      <c r="R109" s="77"/>
    </row>
    <row r="110" spans="1:18" ht="14.25" customHeight="1">
      <c r="A110" s="82" t="s">
        <v>784</v>
      </c>
      <c r="B110" s="106" t="s">
        <v>219</v>
      </c>
      <c r="C110" s="77" t="s">
        <v>484</v>
      </c>
      <c r="F110" s="77">
        <f>'E-CAM'!F21</f>
        <v>0</v>
      </c>
      <c r="G110" s="77">
        <f>'E-CAM'!G21</f>
        <v>7153293</v>
      </c>
      <c r="H110" s="78">
        <f>F110+G110</f>
        <v>7153293</v>
      </c>
      <c r="I110" s="77">
        <f>'E-CAM'!I21</f>
        <v>0</v>
      </c>
      <c r="J110" s="77">
        <f>'E-CAM'!J21</f>
        <v>4656579</v>
      </c>
      <c r="K110" s="78">
        <f>I110+J110</f>
        <v>4656579</v>
      </c>
      <c r="L110" s="77">
        <f>'E-CAM'!L21</f>
        <v>0</v>
      </c>
      <c r="M110" s="77">
        <f>'E-CAM'!M21</f>
        <v>2496714</v>
      </c>
      <c r="N110" s="77">
        <f>L110+M110</f>
        <v>2496714</v>
      </c>
      <c r="R110" s="77"/>
    </row>
    <row r="111" spans="1:18" ht="14.25" customHeight="1">
      <c r="A111" s="82"/>
      <c r="B111" s="106"/>
      <c r="C111" s="77" t="s">
        <v>582</v>
      </c>
      <c r="F111" s="107">
        <f>SUM(F106:F110)</f>
        <v>119729</v>
      </c>
      <c r="G111" s="107">
        <f>SUM(G106:G110)</f>
        <v>10451383</v>
      </c>
      <c r="H111" s="108">
        <f>SUM(H106:H110)</f>
        <v>10571112</v>
      </c>
      <c r="I111" s="253">
        <f aca="true" t="shared" si="51" ref="I111:N111">SUM(I106:I110)</f>
        <v>119729</v>
      </c>
      <c r="J111" s="107">
        <f t="shared" si="51"/>
        <v>6787158</v>
      </c>
      <c r="K111" s="108">
        <f t="shared" si="51"/>
        <v>6906887</v>
      </c>
      <c r="L111" s="253">
        <f t="shared" si="51"/>
        <v>0</v>
      </c>
      <c r="M111" s="107">
        <f t="shared" si="51"/>
        <v>3664225</v>
      </c>
      <c r="N111" s="107">
        <f t="shared" si="51"/>
        <v>3664225</v>
      </c>
      <c r="R111" s="77"/>
    </row>
    <row r="112" spans="1:18" ht="14.25" customHeight="1">
      <c r="A112" s="82"/>
      <c r="B112" s="106"/>
      <c r="C112" s="77"/>
      <c r="F112" s="77"/>
      <c r="G112" s="77"/>
      <c r="H112" s="78"/>
      <c r="I112" s="77"/>
      <c r="J112" s="77"/>
      <c r="K112" s="78"/>
      <c r="L112" s="77"/>
      <c r="M112" s="77"/>
      <c r="N112" s="77"/>
      <c r="R112" s="77"/>
    </row>
    <row r="113" spans="1:18" ht="14.25" customHeight="1">
      <c r="A113" s="82"/>
      <c r="B113" s="83"/>
      <c r="C113" s="77" t="s">
        <v>485</v>
      </c>
      <c r="F113" s="107">
        <f aca="true" t="shared" si="52" ref="F113:N113">F92-F103-F111</f>
        <v>640028151</v>
      </c>
      <c r="G113" s="107">
        <f t="shared" si="52"/>
        <v>1018956925</v>
      </c>
      <c r="H113" s="108">
        <f t="shared" si="52"/>
        <v>1658985076</v>
      </c>
      <c r="I113" s="107">
        <f t="shared" si="52"/>
        <v>395350941</v>
      </c>
      <c r="J113" s="107">
        <f t="shared" si="52"/>
        <v>658477474</v>
      </c>
      <c r="K113" s="108">
        <f t="shared" si="52"/>
        <v>1053828415</v>
      </c>
      <c r="L113" s="107">
        <f t="shared" si="52"/>
        <v>244677210</v>
      </c>
      <c r="M113" s="107">
        <f t="shared" si="52"/>
        <v>360479451</v>
      </c>
      <c r="N113" s="107">
        <f t="shared" si="52"/>
        <v>605156661</v>
      </c>
      <c r="R113" s="77"/>
    </row>
    <row r="114" spans="1:18" ht="14.25" customHeight="1">
      <c r="A114" s="82"/>
      <c r="B114" s="83"/>
      <c r="C114" s="77"/>
      <c r="F114" s="77"/>
      <c r="G114" s="77"/>
      <c r="H114" s="77"/>
      <c r="I114" s="77"/>
      <c r="J114" s="77"/>
      <c r="K114" s="77"/>
      <c r="L114" s="77"/>
      <c r="M114" s="77"/>
      <c r="N114" s="77" t="str">
        <f>IF(N113+K113-H113=0," ","ERROR")</f>
        <v> </v>
      </c>
      <c r="R114" s="77"/>
    </row>
    <row r="115" spans="1:18" ht="14.25" customHeight="1">
      <c r="A115" s="77" t="s">
        <v>341</v>
      </c>
      <c r="B115" s="83"/>
      <c r="C115" s="77"/>
      <c r="F115" s="77"/>
      <c r="G115" s="77"/>
      <c r="H115" s="77"/>
      <c r="I115" s="77"/>
      <c r="J115" s="77"/>
      <c r="K115" s="77"/>
      <c r="L115" s="77"/>
      <c r="M115" s="77"/>
      <c r="N115" s="77"/>
      <c r="R115" s="77"/>
    </row>
    <row r="116" spans="1:18" ht="14.25" customHeight="1">
      <c r="A116" s="82" t="s">
        <v>735</v>
      </c>
      <c r="B116" s="116">
        <v>1</v>
      </c>
      <c r="C116" s="77" t="str">
        <f>+'E-ALL'!C7</f>
        <v>Production/Transmission  Ratio</v>
      </c>
      <c r="F116" s="77"/>
      <c r="G116" s="117">
        <f>VLOOKUP(B116,Allocators,6)</f>
        <v>1</v>
      </c>
      <c r="H116" s="117"/>
      <c r="I116" s="117"/>
      <c r="J116" s="117">
        <f>VLOOKUP(B116,Allocators,7)</f>
        <v>0.6459</v>
      </c>
      <c r="K116" s="117"/>
      <c r="L116" s="117"/>
      <c r="M116" s="117">
        <f>VLOOKUP(B116,Allocators,8)</f>
        <v>0.3541</v>
      </c>
      <c r="N116" s="117"/>
      <c r="R116" s="77"/>
    </row>
    <row r="117" spans="1:18" ht="14.25" customHeight="1">
      <c r="A117" s="82" t="s">
        <v>735</v>
      </c>
      <c r="B117" s="116">
        <v>4</v>
      </c>
      <c r="C117" s="77" t="str">
        <f>+'E-ALL'!C18</f>
        <v>Jurisdictional 4-Factor Ratio</v>
      </c>
      <c r="F117" s="77"/>
      <c r="G117" s="117">
        <f>VLOOKUP(B117,Allocators,6)</f>
        <v>1</v>
      </c>
      <c r="H117" s="117"/>
      <c r="I117" s="117"/>
      <c r="J117" s="117">
        <f>VLOOKUP(B117,Allocators,7)</f>
        <v>0.65097</v>
      </c>
      <c r="K117" s="117"/>
      <c r="L117" s="117"/>
      <c r="M117" s="117">
        <f>VLOOKUP(B117,Allocators,8)</f>
        <v>0.34903</v>
      </c>
      <c r="N117" s="117"/>
      <c r="R117" s="77"/>
    </row>
    <row r="118" spans="1:18" ht="14.25" customHeight="1">
      <c r="A118" s="82" t="s">
        <v>735</v>
      </c>
      <c r="B118" s="116">
        <v>99</v>
      </c>
      <c r="C118" s="77" t="str">
        <f>'E-ALL'!C128</f>
        <v>Not Allocated</v>
      </c>
      <c r="F118" s="77"/>
      <c r="G118" s="117">
        <f>VLOOKUP(B118,Allocators,6)</f>
        <v>0</v>
      </c>
      <c r="H118" s="117"/>
      <c r="I118" s="117"/>
      <c r="J118" s="117">
        <f>VLOOKUP(B118,Allocators,7)</f>
        <v>0</v>
      </c>
      <c r="K118" s="117"/>
      <c r="L118" s="117"/>
      <c r="M118" s="117">
        <f>VLOOKUP(B118,Allocators,8)</f>
        <v>0</v>
      </c>
      <c r="N118" s="117"/>
      <c r="R118" s="77"/>
    </row>
    <row r="119" spans="1:18" ht="12.75">
      <c r="A119" s="82"/>
      <c r="B119" s="83"/>
      <c r="C119" s="77"/>
      <c r="F119" s="77"/>
      <c r="G119" s="77"/>
      <c r="H119" s="77"/>
      <c r="I119" s="77"/>
      <c r="J119" s="77"/>
      <c r="K119" s="77"/>
      <c r="L119" s="77"/>
      <c r="M119" s="77"/>
      <c r="N119" s="77"/>
      <c r="R119" s="77"/>
    </row>
    <row r="121" spans="1:2" ht="12.75">
      <c r="A121" s="84" t="s">
        <v>214</v>
      </c>
      <c r="B121" s="254" t="s">
        <v>215</v>
      </c>
    </row>
  </sheetData>
  <printOptions/>
  <pageMargins left="0.75" right="0.75" top="0.75" bottom="1" header="0.5" footer="0.5"/>
  <pageSetup horizontalDpi="300" verticalDpi="300" orientation="landscape" scale="63" r:id="rId1"/>
  <headerFooter alignWithMargins="0">
    <oddHeader>&amp;LAVISTA UTILITIES&amp;CRESULTS OF OPERATIONS&amp;RRUN DATE: &amp;D</oddHeader>
    <oddFooter>&amp;CPage &amp;P</oddFooter>
  </headerFooter>
  <rowBreaks count="2" manualBreakCount="2">
    <brk id="47" max="255" man="1"/>
    <brk id="92" max="255" man="1"/>
  </rowBreaks>
</worksheet>
</file>

<file path=xl/worksheets/sheet20.xml><?xml version="1.0" encoding="utf-8"?>
<worksheet xmlns="http://schemas.openxmlformats.org/spreadsheetml/2006/main" xmlns:r="http://schemas.openxmlformats.org/officeDocument/2006/relationships">
  <sheetPr codeName="Sheet17"/>
  <dimension ref="A1:Q50"/>
  <sheetViews>
    <sheetView workbookViewId="0" topLeftCell="A1">
      <pane xSplit="5" ySplit="6" topLeftCell="F7" activePane="bottomRight" state="frozen"/>
      <selection pane="topLeft" activeCell="H8" sqref="H8"/>
      <selection pane="topRight" activeCell="H8" sqref="H8"/>
      <selection pane="bottomLeft" activeCell="H8" sqref="H8"/>
      <selection pane="bottomRight" activeCell="F7" sqref="F7"/>
    </sheetView>
  </sheetViews>
  <sheetFormatPr defaultColWidth="9.00390625" defaultRowHeight="14.25" customHeight="1"/>
  <cols>
    <col min="1" max="1" width="8.875" style="84" customWidth="1"/>
    <col min="2" max="2" width="9.875" style="84" customWidth="1"/>
    <col min="3" max="3" width="15.875" style="84" customWidth="1"/>
    <col min="4" max="14" width="14.875" style="84" customWidth="1"/>
    <col min="15" max="15" width="14.875" style="84" hidden="1" customWidth="1"/>
    <col min="16" max="17" width="14.875" style="84" customWidth="1"/>
    <col min="18" max="16384" width="9.375" style="84" customWidth="1"/>
  </cols>
  <sheetData>
    <row r="1" spans="1:17" ht="14.25" customHeight="1">
      <c r="A1" s="82"/>
      <c r="B1" s="83"/>
      <c r="C1" s="77"/>
      <c r="D1" s="77"/>
      <c r="E1" s="77"/>
      <c r="F1" s="77"/>
      <c r="G1" s="77"/>
      <c r="H1" s="77"/>
      <c r="I1" s="77"/>
      <c r="J1" s="77"/>
      <c r="K1" s="77"/>
      <c r="L1" s="77"/>
      <c r="M1" s="77"/>
      <c r="N1" s="77"/>
      <c r="O1" s="77"/>
      <c r="P1" s="77"/>
      <c r="Q1" s="77"/>
    </row>
    <row r="2" spans="1:17" ht="14.25" customHeight="1">
      <c r="A2" s="85" t="s">
        <v>541</v>
      </c>
      <c r="B2" s="86"/>
      <c r="C2" s="87"/>
      <c r="D2" s="88"/>
      <c r="E2" s="89" t="s">
        <v>725</v>
      </c>
      <c r="F2" s="77"/>
      <c r="G2" s="77"/>
      <c r="H2" s="77"/>
      <c r="I2" s="77"/>
      <c r="J2" s="77"/>
      <c r="K2" s="77"/>
      <c r="L2" s="77"/>
      <c r="M2" s="77"/>
      <c r="Q2" s="77"/>
    </row>
    <row r="3" spans="1:17" ht="14.25" customHeight="1">
      <c r="A3" s="91" t="str">
        <f>tp_heading</f>
        <v>For Twelve Months Ended September 30, 2008</v>
      </c>
      <c r="B3" s="83"/>
      <c r="D3" s="92"/>
      <c r="E3" s="93" t="str">
        <f>"C-IPL-"&amp;months&amp;rbcalc</f>
        <v>C-IPL-12A</v>
      </c>
      <c r="H3" s="77"/>
      <c r="I3" s="77"/>
      <c r="J3" s="77"/>
      <c r="K3" s="77"/>
      <c r="L3" s="77"/>
      <c r="M3" s="77"/>
      <c r="N3" s="77"/>
      <c r="O3" s="77"/>
      <c r="P3" s="77"/>
      <c r="Q3" s="77"/>
    </row>
    <row r="4" spans="1:17" ht="14.25" customHeight="1">
      <c r="A4" s="94" t="str">
        <f>rbcalc_heading</f>
        <v>Average of Monthly Averages Basis</v>
      </c>
      <c r="B4" s="95"/>
      <c r="C4" s="96"/>
      <c r="D4" s="97"/>
      <c r="E4" s="98"/>
      <c r="F4" s="77" t="s">
        <v>501</v>
      </c>
      <c r="G4" s="77"/>
      <c r="H4" s="77"/>
      <c r="I4" s="77"/>
      <c r="J4" s="77" t="s">
        <v>254</v>
      </c>
      <c r="K4" s="77"/>
      <c r="L4" s="77"/>
      <c r="M4" s="77"/>
      <c r="N4" s="363" t="s">
        <v>247</v>
      </c>
      <c r="O4" s="363"/>
      <c r="P4" s="363"/>
      <c r="Q4" s="363"/>
    </row>
    <row r="5" spans="1:17" ht="14.25" customHeight="1">
      <c r="A5" s="99" t="s">
        <v>2</v>
      </c>
      <c r="B5" s="100" t="s">
        <v>815</v>
      </c>
      <c r="C5" s="99" t="s">
        <v>844</v>
      </c>
      <c r="D5" s="96"/>
      <c r="E5" s="282" t="s">
        <v>891</v>
      </c>
      <c r="F5" s="99" t="s">
        <v>502</v>
      </c>
      <c r="G5" s="99" t="s">
        <v>503</v>
      </c>
      <c r="H5" s="99" t="s">
        <v>4</v>
      </c>
      <c r="I5" s="99" t="s">
        <v>891</v>
      </c>
      <c r="J5" s="99" t="s">
        <v>502</v>
      </c>
      <c r="K5" s="99" t="s">
        <v>503</v>
      </c>
      <c r="L5" s="99" t="s">
        <v>4</v>
      </c>
      <c r="M5" s="99" t="s">
        <v>891</v>
      </c>
      <c r="N5" s="99" t="s">
        <v>3</v>
      </c>
      <c r="O5" s="99" t="s">
        <v>505</v>
      </c>
      <c r="P5" s="99" t="s">
        <v>4</v>
      </c>
      <c r="Q5" s="99" t="s">
        <v>891</v>
      </c>
    </row>
    <row r="6" spans="1:17" ht="14.25" customHeight="1">
      <c r="A6" s="101"/>
      <c r="B6" s="102"/>
      <c r="C6" s="101"/>
      <c r="D6" s="103"/>
      <c r="E6" s="291"/>
      <c r="F6" s="101"/>
      <c r="G6" s="101"/>
      <c r="H6" s="101"/>
      <c r="I6" s="239"/>
      <c r="J6" s="101"/>
      <c r="K6" s="101"/>
      <c r="L6" s="101"/>
      <c r="M6" s="104"/>
      <c r="N6" s="101"/>
      <c r="O6" s="101"/>
      <c r="P6" s="101"/>
      <c r="Q6" s="101"/>
    </row>
    <row r="7" spans="1:17" ht="14.25" customHeight="1">
      <c r="A7" s="164"/>
      <c r="B7" s="80">
        <v>303000</v>
      </c>
      <c r="C7" s="73" t="s">
        <v>447</v>
      </c>
      <c r="D7" s="166"/>
      <c r="E7" s="295"/>
      <c r="F7" s="164"/>
      <c r="G7" s="164"/>
      <c r="H7" s="164"/>
      <c r="I7" s="142"/>
      <c r="J7" s="164"/>
      <c r="K7" s="164"/>
      <c r="L7" s="164"/>
      <c r="M7" s="142"/>
      <c r="N7" s="164"/>
      <c r="O7" s="164"/>
      <c r="P7" s="164"/>
      <c r="Q7" s="164"/>
    </row>
    <row r="8" spans="1:17" ht="14.25" customHeight="1">
      <c r="A8" s="79">
        <v>99</v>
      </c>
      <c r="B8" s="80"/>
      <c r="C8" s="73" t="s">
        <v>506</v>
      </c>
      <c r="D8" s="73"/>
      <c r="E8" s="193">
        <f>+I8+M8+Q8</f>
        <v>0</v>
      </c>
      <c r="F8" s="73">
        <v>0</v>
      </c>
      <c r="G8" s="73">
        <v>0</v>
      </c>
      <c r="H8" s="73">
        <f>+Data!I413</f>
        <v>0</v>
      </c>
      <c r="I8" s="193">
        <f aca="true" t="shared" si="0" ref="I8:I13">SUM(F8:H8)</f>
        <v>0</v>
      </c>
      <c r="J8" s="73">
        <v>0</v>
      </c>
      <c r="K8" s="73">
        <v>0</v>
      </c>
      <c r="L8" s="73">
        <v>0</v>
      </c>
      <c r="M8" s="193">
        <f aca="true" t="shared" si="1" ref="M8:M13">SUM(J8:L8)</f>
        <v>0</v>
      </c>
      <c r="N8" s="73">
        <v>0</v>
      </c>
      <c r="O8" s="73">
        <v>0</v>
      </c>
      <c r="P8" s="73">
        <v>0</v>
      </c>
      <c r="Q8" s="73">
        <f aca="true" t="shared" si="2" ref="Q8:Q13">SUM(N8:P8)</f>
        <v>0</v>
      </c>
    </row>
    <row r="9" spans="1:17" ht="14.25" customHeight="1">
      <c r="A9" s="79">
        <v>99</v>
      </c>
      <c r="B9" s="80"/>
      <c r="C9" s="73" t="s">
        <v>507</v>
      </c>
      <c r="D9" s="81"/>
      <c r="E9" s="193">
        <f>+I9+M9+Q9</f>
        <v>417899</v>
      </c>
      <c r="F9" s="73">
        <v>0</v>
      </c>
      <c r="G9" s="73">
        <v>0</v>
      </c>
      <c r="H9" s="73">
        <v>0</v>
      </c>
      <c r="I9" s="193">
        <f t="shared" si="0"/>
        <v>0</v>
      </c>
      <c r="J9" s="77">
        <f>+Data!J413</f>
        <v>249449</v>
      </c>
      <c r="K9" s="77">
        <f>+Data!K413</f>
        <v>168450</v>
      </c>
      <c r="L9" s="77">
        <f>+Data!L413</f>
        <v>0</v>
      </c>
      <c r="M9" s="193">
        <f t="shared" si="1"/>
        <v>417899</v>
      </c>
      <c r="N9" s="73">
        <v>0</v>
      </c>
      <c r="O9" s="73">
        <v>0</v>
      </c>
      <c r="P9" s="73">
        <v>0</v>
      </c>
      <c r="Q9" s="73">
        <f t="shared" si="2"/>
        <v>0</v>
      </c>
    </row>
    <row r="10" spans="1:17" ht="14.25" customHeight="1">
      <c r="A10" s="79">
        <v>99</v>
      </c>
      <c r="B10" s="80"/>
      <c r="C10" s="73" t="s">
        <v>508</v>
      </c>
      <c r="D10" s="81"/>
      <c r="E10" s="193">
        <f>+I10+M10+Q10</f>
        <v>0</v>
      </c>
      <c r="F10" s="73">
        <v>0</v>
      </c>
      <c r="G10" s="73">
        <v>0</v>
      </c>
      <c r="H10" s="73">
        <v>0</v>
      </c>
      <c r="I10" s="193">
        <f t="shared" si="0"/>
        <v>0</v>
      </c>
      <c r="J10" s="73">
        <v>0</v>
      </c>
      <c r="K10" s="73">
        <v>0</v>
      </c>
      <c r="L10" s="73">
        <v>0</v>
      </c>
      <c r="M10" s="193">
        <f t="shared" si="1"/>
        <v>0</v>
      </c>
      <c r="N10" s="73">
        <v>0</v>
      </c>
      <c r="O10" s="73">
        <v>0</v>
      </c>
      <c r="P10" s="73">
        <v>0</v>
      </c>
      <c r="Q10" s="73">
        <f t="shared" si="2"/>
        <v>0</v>
      </c>
    </row>
    <row r="11" spans="1:17" ht="14.25" customHeight="1">
      <c r="A11" s="79">
        <v>7</v>
      </c>
      <c r="B11" s="80"/>
      <c r="C11" s="73" t="s">
        <v>509</v>
      </c>
      <c r="D11" s="81"/>
      <c r="E11" s="193">
        <v>0</v>
      </c>
      <c r="F11" s="73">
        <v>0</v>
      </c>
      <c r="G11" s="73">
        <v>0</v>
      </c>
      <c r="H11" s="73">
        <v>0</v>
      </c>
      <c r="I11" s="193">
        <f t="shared" si="0"/>
        <v>0</v>
      </c>
      <c r="J11" s="73">
        <v>0</v>
      </c>
      <c r="K11" s="73">
        <v>0</v>
      </c>
      <c r="L11" s="73">
        <f>$E11*VLOOKUP($A11,Allocators,8)</f>
        <v>0</v>
      </c>
      <c r="M11" s="193">
        <f t="shared" si="1"/>
        <v>0</v>
      </c>
      <c r="N11" s="73">
        <v>0</v>
      </c>
      <c r="O11" s="73">
        <v>0</v>
      </c>
      <c r="P11" s="73">
        <f>$E11*VLOOKUP($A11,Allocators,9)</f>
        <v>0</v>
      </c>
      <c r="Q11" s="73">
        <f t="shared" si="2"/>
        <v>0</v>
      </c>
    </row>
    <row r="12" spans="1:17" ht="14.25" customHeight="1">
      <c r="A12" s="79">
        <v>8</v>
      </c>
      <c r="B12" s="80"/>
      <c r="C12" s="73" t="s">
        <v>510</v>
      </c>
      <c r="D12" s="73"/>
      <c r="E12" s="193">
        <v>0</v>
      </c>
      <c r="F12" s="73">
        <v>0</v>
      </c>
      <c r="G12" s="73">
        <v>0</v>
      </c>
      <c r="H12" s="73">
        <v>0</v>
      </c>
      <c r="I12" s="193">
        <f t="shared" si="0"/>
        <v>0</v>
      </c>
      <c r="J12" s="73">
        <v>0</v>
      </c>
      <c r="K12" s="73">
        <v>0</v>
      </c>
      <c r="L12" s="73">
        <f>$E12*VLOOKUP($A12,Allocators,8)</f>
        <v>0</v>
      </c>
      <c r="M12" s="193">
        <f t="shared" si="1"/>
        <v>0</v>
      </c>
      <c r="N12" s="73">
        <v>0</v>
      </c>
      <c r="O12" s="73">
        <v>0</v>
      </c>
      <c r="P12" s="73">
        <f>$E12*VLOOKUP($A12,Allocators,9)</f>
        <v>0</v>
      </c>
      <c r="Q12" s="73">
        <f t="shared" si="2"/>
        <v>0</v>
      </c>
    </row>
    <row r="13" spans="1:17" ht="14.25" customHeight="1">
      <c r="A13" s="79">
        <v>9</v>
      </c>
      <c r="B13" s="80"/>
      <c r="C13" s="73" t="s">
        <v>543</v>
      </c>
      <c r="D13" s="81"/>
      <c r="E13" s="78">
        <f>+Data!H414</f>
        <v>121286</v>
      </c>
      <c r="F13" s="73">
        <v>0</v>
      </c>
      <c r="G13" s="73">
        <v>0</v>
      </c>
      <c r="H13" s="77">
        <f>$E13*VLOOKUP($A13,Allocators,7)</f>
        <v>95964</v>
      </c>
      <c r="I13" s="193">
        <f t="shared" si="0"/>
        <v>95964</v>
      </c>
      <c r="J13" s="73">
        <v>0</v>
      </c>
      <c r="K13" s="73">
        <v>0</v>
      </c>
      <c r="L13" s="73">
        <f>$E13*VLOOKUP($A13,Allocators,8)</f>
        <v>25322</v>
      </c>
      <c r="M13" s="193">
        <f t="shared" si="1"/>
        <v>25322</v>
      </c>
      <c r="N13" s="73">
        <v>0</v>
      </c>
      <c r="O13" s="73">
        <v>0</v>
      </c>
      <c r="P13" s="73">
        <f>$E13*VLOOKUP($A13,Allocators,9)</f>
        <v>0</v>
      </c>
      <c r="Q13" s="73">
        <f t="shared" si="2"/>
        <v>0</v>
      </c>
    </row>
    <row r="14" spans="1:17" ht="14.25" customHeight="1">
      <c r="A14" s="79"/>
      <c r="B14" s="80"/>
      <c r="C14" s="296" t="s">
        <v>514</v>
      </c>
      <c r="D14" s="297"/>
      <c r="E14" s="298">
        <f aca="true" t="shared" si="3" ref="E14:Q14">SUM(E8:E13)</f>
        <v>539185</v>
      </c>
      <c r="F14" s="296">
        <f t="shared" si="3"/>
        <v>0</v>
      </c>
      <c r="G14" s="296">
        <f t="shared" si="3"/>
        <v>0</v>
      </c>
      <c r="H14" s="296">
        <f t="shared" si="3"/>
        <v>95964</v>
      </c>
      <c r="I14" s="298">
        <f t="shared" si="3"/>
        <v>95964</v>
      </c>
      <c r="J14" s="296">
        <f t="shared" si="3"/>
        <v>249449</v>
      </c>
      <c r="K14" s="296">
        <f t="shared" si="3"/>
        <v>168450</v>
      </c>
      <c r="L14" s="296">
        <f t="shared" si="3"/>
        <v>25322</v>
      </c>
      <c r="M14" s="298">
        <f t="shared" si="3"/>
        <v>443221</v>
      </c>
      <c r="N14" s="296">
        <f t="shared" si="3"/>
        <v>0</v>
      </c>
      <c r="O14" s="296">
        <f t="shared" si="3"/>
        <v>0</v>
      </c>
      <c r="P14" s="296">
        <f t="shared" si="3"/>
        <v>0</v>
      </c>
      <c r="Q14" s="296">
        <f t="shared" si="3"/>
        <v>0</v>
      </c>
    </row>
    <row r="15" spans="1:17" ht="14.25" customHeight="1">
      <c r="A15" s="101"/>
      <c r="B15" s="299"/>
      <c r="C15" s="101"/>
      <c r="D15" s="103"/>
      <c r="E15" s="291"/>
      <c r="F15" s="101"/>
      <c r="G15" s="101"/>
      <c r="H15" s="101"/>
      <c r="I15" s="239"/>
      <c r="J15" s="101"/>
      <c r="K15" s="101"/>
      <c r="L15" s="101"/>
      <c r="M15" s="239"/>
      <c r="N15" s="101"/>
      <c r="O15" s="101"/>
      <c r="P15" s="101"/>
      <c r="Q15" s="101"/>
    </row>
    <row r="16" spans="1:17" ht="14.25" customHeight="1">
      <c r="A16" s="101"/>
      <c r="B16" s="116">
        <v>303100</v>
      </c>
      <c r="C16" s="77" t="s">
        <v>542</v>
      </c>
      <c r="D16" s="103"/>
      <c r="E16" s="291"/>
      <c r="F16" s="101"/>
      <c r="G16" s="101"/>
      <c r="H16" s="101"/>
      <c r="I16" s="239"/>
      <c r="J16" s="101"/>
      <c r="K16" s="101"/>
      <c r="L16" s="101"/>
      <c r="M16" s="239"/>
      <c r="N16" s="101"/>
      <c r="O16" s="101"/>
      <c r="P16" s="101"/>
      <c r="Q16" s="101"/>
    </row>
    <row r="17" spans="1:17" ht="14.25" customHeight="1">
      <c r="A17" s="82">
        <v>99</v>
      </c>
      <c r="B17" s="116"/>
      <c r="C17" s="77" t="s">
        <v>506</v>
      </c>
      <c r="D17" s="77"/>
      <c r="E17" s="78">
        <f>+I17+M17+Q17</f>
        <v>315346</v>
      </c>
      <c r="F17" s="77">
        <f>+Data!J415</f>
        <v>0</v>
      </c>
      <c r="G17" s="77">
        <f>+Data!K415</f>
        <v>0</v>
      </c>
      <c r="H17" s="77">
        <f>+Data!I415</f>
        <v>315346</v>
      </c>
      <c r="I17" s="78">
        <f aca="true" t="shared" si="4" ref="I17:I22">SUM(F17:H17)</f>
        <v>315346</v>
      </c>
      <c r="J17" s="77">
        <v>0</v>
      </c>
      <c r="K17" s="77">
        <v>0</v>
      </c>
      <c r="L17" s="77">
        <v>0</v>
      </c>
      <c r="M17" s="78">
        <f aca="true" t="shared" si="5" ref="M17:M22">SUM(J17:L17)</f>
        <v>0</v>
      </c>
      <c r="N17" s="77">
        <v>0</v>
      </c>
      <c r="O17" s="77">
        <v>0</v>
      </c>
      <c r="P17" s="77">
        <v>0</v>
      </c>
      <c r="Q17" s="77">
        <f aca="true" t="shared" si="6" ref="Q17:Q22">SUM(N17:P17)</f>
        <v>0</v>
      </c>
    </row>
    <row r="18" spans="1:17" ht="14.25" customHeight="1">
      <c r="A18" s="82">
        <v>99</v>
      </c>
      <c r="B18" s="116"/>
      <c r="C18" s="77" t="s">
        <v>507</v>
      </c>
      <c r="D18" s="283"/>
      <c r="E18" s="78">
        <f>+I18+M18+Q18</f>
        <v>0</v>
      </c>
      <c r="F18" s="77">
        <v>0</v>
      </c>
      <c r="G18" s="77">
        <v>0</v>
      </c>
      <c r="H18" s="77">
        <v>0</v>
      </c>
      <c r="I18" s="78">
        <f t="shared" si="4"/>
        <v>0</v>
      </c>
      <c r="J18" s="77">
        <f>+Data!J416</f>
        <v>0</v>
      </c>
      <c r="K18" s="77">
        <f>+Data!K416</f>
        <v>0</v>
      </c>
      <c r="L18" s="77">
        <f>+Data!I416</f>
        <v>0</v>
      </c>
      <c r="M18" s="78">
        <f t="shared" si="5"/>
        <v>0</v>
      </c>
      <c r="N18" s="77">
        <v>0</v>
      </c>
      <c r="O18" s="77">
        <v>0</v>
      </c>
      <c r="P18" s="77">
        <v>0</v>
      </c>
      <c r="Q18" s="77">
        <f t="shared" si="6"/>
        <v>0</v>
      </c>
    </row>
    <row r="19" spans="1:17" ht="14.25" customHeight="1">
      <c r="A19" s="82">
        <v>99</v>
      </c>
      <c r="B19" s="116"/>
      <c r="C19" s="77" t="s">
        <v>508</v>
      </c>
      <c r="D19" s="283"/>
      <c r="E19" s="78">
        <f>+I19+M19+Q19</f>
        <v>46440</v>
      </c>
      <c r="F19" s="77">
        <v>0</v>
      </c>
      <c r="G19" s="77">
        <v>0</v>
      </c>
      <c r="H19" s="77">
        <v>0</v>
      </c>
      <c r="I19" s="78">
        <f t="shared" si="4"/>
        <v>0</v>
      </c>
      <c r="J19" s="77">
        <v>0</v>
      </c>
      <c r="K19" s="77">
        <v>0</v>
      </c>
      <c r="L19" s="77">
        <v>0</v>
      </c>
      <c r="M19" s="78">
        <f t="shared" si="5"/>
        <v>0</v>
      </c>
      <c r="N19" s="77">
        <f>+Data!J417</f>
        <v>46440</v>
      </c>
      <c r="O19" s="77">
        <f>+Data!K417</f>
        <v>0</v>
      </c>
      <c r="P19" s="77">
        <f>+Data!I417</f>
        <v>0</v>
      </c>
      <c r="Q19" s="77">
        <f t="shared" si="6"/>
        <v>46440</v>
      </c>
    </row>
    <row r="20" spans="1:17" ht="14.25" customHeight="1">
      <c r="A20" s="82">
        <v>7</v>
      </c>
      <c r="B20" s="116"/>
      <c r="C20" s="77" t="s">
        <v>509</v>
      </c>
      <c r="D20" s="283"/>
      <c r="E20" s="78">
        <f>+Data!H418</f>
        <v>11918874</v>
      </c>
      <c r="F20" s="77">
        <v>0</v>
      </c>
      <c r="G20" s="77">
        <v>0</v>
      </c>
      <c r="H20" s="77">
        <f>$E20*VLOOKUP($A20,Allocators,7)</f>
        <v>8576822</v>
      </c>
      <c r="I20" s="78">
        <f t="shared" si="4"/>
        <v>8576822</v>
      </c>
      <c r="J20" s="77">
        <v>0</v>
      </c>
      <c r="K20" s="77">
        <v>0</v>
      </c>
      <c r="L20" s="77">
        <f>$E20*VLOOKUP($A20,Allocators,8)</f>
        <v>2286040</v>
      </c>
      <c r="M20" s="78">
        <f t="shared" si="5"/>
        <v>2286040</v>
      </c>
      <c r="N20" s="77">
        <v>0</v>
      </c>
      <c r="O20" s="77">
        <v>0</v>
      </c>
      <c r="P20" s="77">
        <f>$E20*VLOOKUP($A20,Allocators,9)</f>
        <v>1056012</v>
      </c>
      <c r="Q20" s="77">
        <f t="shared" si="6"/>
        <v>1056012</v>
      </c>
    </row>
    <row r="21" spans="1:17" ht="14.25" customHeight="1">
      <c r="A21" s="82">
        <v>8</v>
      </c>
      <c r="B21" s="116"/>
      <c r="C21" s="77" t="s">
        <v>510</v>
      </c>
      <c r="D21" s="77"/>
      <c r="E21" s="78">
        <f>+Data!H419</f>
        <v>0</v>
      </c>
      <c r="F21" s="77">
        <v>0</v>
      </c>
      <c r="G21" s="77">
        <v>0</v>
      </c>
      <c r="H21" s="77">
        <f>$E21*VLOOKUP($A21,Allocators,7)</f>
        <v>0</v>
      </c>
      <c r="I21" s="78">
        <f t="shared" si="4"/>
        <v>0</v>
      </c>
      <c r="J21" s="77">
        <v>0</v>
      </c>
      <c r="K21" s="77">
        <v>0</v>
      </c>
      <c r="L21" s="77">
        <f>$E21*VLOOKUP($A21,Allocators,8)</f>
        <v>0</v>
      </c>
      <c r="M21" s="78">
        <f t="shared" si="5"/>
        <v>0</v>
      </c>
      <c r="N21" s="77">
        <v>0</v>
      </c>
      <c r="O21" s="77">
        <v>0</v>
      </c>
      <c r="P21" s="77">
        <f>$E21*VLOOKUP($A21,Allocators,9)</f>
        <v>0</v>
      </c>
      <c r="Q21" s="77">
        <f t="shared" si="6"/>
        <v>0</v>
      </c>
    </row>
    <row r="22" spans="1:17" ht="14.25" customHeight="1">
      <c r="A22" s="82">
        <v>9</v>
      </c>
      <c r="B22" s="116"/>
      <c r="C22" s="77" t="s">
        <v>543</v>
      </c>
      <c r="D22" s="283"/>
      <c r="E22" s="78">
        <f>+Data!H420</f>
        <v>0</v>
      </c>
      <c r="F22" s="77">
        <v>0</v>
      </c>
      <c r="G22" s="77">
        <v>0</v>
      </c>
      <c r="H22" s="77">
        <f>$E22*VLOOKUP($A22,Allocators,7)</f>
        <v>0</v>
      </c>
      <c r="I22" s="78">
        <f t="shared" si="4"/>
        <v>0</v>
      </c>
      <c r="J22" s="77">
        <v>0</v>
      </c>
      <c r="K22" s="77">
        <v>0</v>
      </c>
      <c r="L22" s="77">
        <f>$E22*VLOOKUP($A22,Allocators,8)</f>
        <v>0</v>
      </c>
      <c r="M22" s="78">
        <f t="shared" si="5"/>
        <v>0</v>
      </c>
      <c r="N22" s="77">
        <v>0</v>
      </c>
      <c r="O22" s="77">
        <v>0</v>
      </c>
      <c r="P22" s="77">
        <f>$E22*VLOOKUP($A22,Allocators,9)</f>
        <v>0</v>
      </c>
      <c r="Q22" s="77">
        <f t="shared" si="6"/>
        <v>0</v>
      </c>
    </row>
    <row r="23" spans="1:17" ht="14.25" customHeight="1">
      <c r="A23" s="82"/>
      <c r="B23" s="116"/>
      <c r="C23" s="107" t="s">
        <v>514</v>
      </c>
      <c r="D23" s="284"/>
      <c r="E23" s="108">
        <f aca="true" t="shared" si="7" ref="E23:M23">SUM(E17:E22)</f>
        <v>12280660</v>
      </c>
      <c r="F23" s="107">
        <f t="shared" si="7"/>
        <v>0</v>
      </c>
      <c r="G23" s="107">
        <f t="shared" si="7"/>
        <v>0</v>
      </c>
      <c r="H23" s="107">
        <f t="shared" si="7"/>
        <v>8892168</v>
      </c>
      <c r="I23" s="108">
        <f t="shared" si="7"/>
        <v>8892168</v>
      </c>
      <c r="J23" s="107">
        <f t="shared" si="7"/>
        <v>0</v>
      </c>
      <c r="K23" s="107">
        <f t="shared" si="7"/>
        <v>0</v>
      </c>
      <c r="L23" s="107">
        <f t="shared" si="7"/>
        <v>2286040</v>
      </c>
      <c r="M23" s="108">
        <f t="shared" si="7"/>
        <v>2286040</v>
      </c>
      <c r="N23" s="107">
        <f>SUM(N17:N22)</f>
        <v>46440</v>
      </c>
      <c r="O23" s="107">
        <f>SUM(O17:O22)</f>
        <v>0</v>
      </c>
      <c r="P23" s="107">
        <f>SUM(P17:P22)</f>
        <v>1056012</v>
      </c>
      <c r="Q23" s="107">
        <f>SUM(Q17:Q22)</f>
        <v>1102452</v>
      </c>
    </row>
    <row r="24" spans="1:17" ht="14.25" customHeight="1">
      <c r="A24" s="82"/>
      <c r="B24" s="116"/>
      <c r="C24" s="77"/>
      <c r="D24" s="283"/>
      <c r="E24" s="78"/>
      <c r="F24" s="117"/>
      <c r="G24" s="117"/>
      <c r="H24" s="77"/>
      <c r="I24" s="78"/>
      <c r="J24" s="77"/>
      <c r="K24" s="77"/>
      <c r="L24" s="77"/>
      <c r="M24" s="78"/>
      <c r="N24" s="77"/>
      <c r="O24" s="77"/>
      <c r="P24" s="77"/>
      <c r="Q24" s="77"/>
    </row>
    <row r="25" spans="1:14" ht="14.25" customHeight="1">
      <c r="A25" s="82"/>
      <c r="B25" s="116">
        <v>303110</v>
      </c>
      <c r="C25" s="77" t="s">
        <v>544</v>
      </c>
      <c r="D25" s="77"/>
      <c r="E25" s="78"/>
      <c r="F25" s="77"/>
      <c r="G25" s="77"/>
      <c r="H25" s="77"/>
      <c r="I25" s="78"/>
      <c r="J25" s="77"/>
      <c r="K25" s="77"/>
      <c r="L25" s="77"/>
      <c r="M25" s="78"/>
      <c r="N25" s="77"/>
    </row>
    <row r="26" spans="1:17" ht="14.25" customHeight="1">
      <c r="A26" s="82">
        <v>99</v>
      </c>
      <c r="B26" s="116"/>
      <c r="C26" s="77" t="s">
        <v>506</v>
      </c>
      <c r="D26" s="77"/>
      <c r="E26" s="78">
        <f>+I26+M26+Q26</f>
        <v>1502147</v>
      </c>
      <c r="F26" s="77">
        <f>+Data!J421</f>
        <v>0</v>
      </c>
      <c r="G26" s="77">
        <f>+Data!K421</f>
        <v>0</v>
      </c>
      <c r="H26" s="77">
        <f>+Data!I421</f>
        <v>1502147</v>
      </c>
      <c r="I26" s="78">
        <f aca="true" t="shared" si="8" ref="I26:I31">SUM(F26:H26)</f>
        <v>1502147</v>
      </c>
      <c r="J26" s="77">
        <v>0</v>
      </c>
      <c r="K26" s="77">
        <v>0</v>
      </c>
      <c r="L26" s="77">
        <v>0</v>
      </c>
      <c r="M26" s="78">
        <f aca="true" t="shared" si="9" ref="M26:M31">SUM(J26:L26)</f>
        <v>0</v>
      </c>
      <c r="N26" s="77">
        <v>0</v>
      </c>
      <c r="O26" s="77">
        <v>0</v>
      </c>
      <c r="P26" s="77">
        <v>0</v>
      </c>
      <c r="Q26" s="77">
        <f aca="true" t="shared" si="10" ref="Q26:Q31">SUM(N26:P26)</f>
        <v>0</v>
      </c>
    </row>
    <row r="27" spans="1:17" ht="14.25" customHeight="1">
      <c r="A27" s="82">
        <v>99</v>
      </c>
      <c r="B27" s="116"/>
      <c r="C27" s="77" t="s">
        <v>507</v>
      </c>
      <c r="D27" s="283"/>
      <c r="E27" s="78">
        <f>+I27+M27+Q27</f>
        <v>7811</v>
      </c>
      <c r="F27" s="77">
        <v>0</v>
      </c>
      <c r="G27" s="77">
        <v>0</v>
      </c>
      <c r="H27" s="77">
        <v>0</v>
      </c>
      <c r="I27" s="78">
        <f t="shared" si="8"/>
        <v>0</v>
      </c>
      <c r="J27" s="77">
        <f>+Data!J422</f>
        <v>0</v>
      </c>
      <c r="K27" s="77">
        <f>+Data!K422</f>
        <v>0</v>
      </c>
      <c r="L27" s="77">
        <f>+Data!I422</f>
        <v>7811</v>
      </c>
      <c r="M27" s="78">
        <f t="shared" si="9"/>
        <v>7811</v>
      </c>
      <c r="N27" s="77">
        <v>0</v>
      </c>
      <c r="O27" s="77">
        <v>0</v>
      </c>
      <c r="P27" s="77">
        <v>0</v>
      </c>
      <c r="Q27" s="77">
        <f t="shared" si="10"/>
        <v>0</v>
      </c>
    </row>
    <row r="28" spans="1:17" ht="14.25" customHeight="1">
      <c r="A28" s="82">
        <v>99</v>
      </c>
      <c r="B28" s="116"/>
      <c r="C28" s="77" t="s">
        <v>508</v>
      </c>
      <c r="D28" s="283"/>
      <c r="E28" s="78">
        <f>+I28+M28+Q28</f>
        <v>0</v>
      </c>
      <c r="F28" s="77">
        <v>0</v>
      </c>
      <c r="G28" s="77">
        <v>0</v>
      </c>
      <c r="H28" s="77">
        <v>0</v>
      </c>
      <c r="I28" s="78">
        <f t="shared" si="8"/>
        <v>0</v>
      </c>
      <c r="J28" s="77">
        <v>0</v>
      </c>
      <c r="K28" s="77">
        <v>0</v>
      </c>
      <c r="L28" s="77">
        <v>0</v>
      </c>
      <c r="M28" s="78">
        <f t="shared" si="9"/>
        <v>0</v>
      </c>
      <c r="N28" s="77">
        <f>+Data!J423</f>
        <v>0</v>
      </c>
      <c r="O28" s="77">
        <f>+Data!K423</f>
        <v>0</v>
      </c>
      <c r="P28" s="77">
        <f>+Data!I423</f>
        <v>0</v>
      </c>
      <c r="Q28" s="77">
        <f t="shared" si="10"/>
        <v>0</v>
      </c>
    </row>
    <row r="29" spans="1:17" ht="14.25" customHeight="1">
      <c r="A29" s="82">
        <v>7</v>
      </c>
      <c r="B29" s="116"/>
      <c r="C29" s="77" t="s">
        <v>509</v>
      </c>
      <c r="D29" s="283"/>
      <c r="E29" s="78">
        <f>+Data!H424</f>
        <v>9162031</v>
      </c>
      <c r="F29" s="77">
        <v>0</v>
      </c>
      <c r="G29" s="77">
        <v>0</v>
      </c>
      <c r="H29" s="77">
        <f>$E29*VLOOKUP($A29,Allocators,7)</f>
        <v>6592998</v>
      </c>
      <c r="I29" s="78">
        <f t="shared" si="8"/>
        <v>6592998</v>
      </c>
      <c r="J29" s="77">
        <v>0</v>
      </c>
      <c r="K29" s="77">
        <v>0</v>
      </c>
      <c r="L29" s="77">
        <f>$E29*VLOOKUP($A29,Allocators,8)</f>
        <v>1757278</v>
      </c>
      <c r="M29" s="78">
        <f t="shared" si="9"/>
        <v>1757278</v>
      </c>
      <c r="N29" s="77">
        <v>0</v>
      </c>
      <c r="O29" s="77">
        <v>0</v>
      </c>
      <c r="P29" s="77">
        <f>$E29*VLOOKUP($A29,Allocators,9)</f>
        <v>811756</v>
      </c>
      <c r="Q29" s="77">
        <f t="shared" si="10"/>
        <v>811756</v>
      </c>
    </row>
    <row r="30" spans="1:17" ht="14.25" customHeight="1">
      <c r="A30" s="82">
        <v>8</v>
      </c>
      <c r="B30" s="116"/>
      <c r="C30" s="77" t="s">
        <v>510</v>
      </c>
      <c r="D30" s="77"/>
      <c r="E30" s="78">
        <f>+Data!H425</f>
        <v>723251</v>
      </c>
      <c r="F30" s="77">
        <v>0</v>
      </c>
      <c r="G30" s="77">
        <v>0</v>
      </c>
      <c r="H30" s="77">
        <f>$E30*VLOOKUP($A30,Allocators,7)</f>
        <v>0</v>
      </c>
      <c r="I30" s="78">
        <f t="shared" si="8"/>
        <v>0</v>
      </c>
      <c r="J30" s="77">
        <v>0</v>
      </c>
      <c r="K30" s="77">
        <v>0</v>
      </c>
      <c r="L30" s="77">
        <f>$E30*VLOOKUP($A30,Allocators,8)</f>
        <v>492946</v>
      </c>
      <c r="M30" s="78">
        <f t="shared" si="9"/>
        <v>492946</v>
      </c>
      <c r="N30" s="77">
        <v>0</v>
      </c>
      <c r="O30" s="77">
        <v>0</v>
      </c>
      <c r="P30" s="77">
        <f>$E30*VLOOKUP($A30,Allocators,9)</f>
        <v>230305</v>
      </c>
      <c r="Q30" s="77">
        <f t="shared" si="10"/>
        <v>230305</v>
      </c>
    </row>
    <row r="31" spans="1:17" ht="14.25" customHeight="1">
      <c r="A31" s="82">
        <v>9</v>
      </c>
      <c r="B31" s="116"/>
      <c r="C31" s="77" t="s">
        <v>543</v>
      </c>
      <c r="D31" s="283"/>
      <c r="E31" s="78">
        <f>+Data!H426</f>
        <v>0</v>
      </c>
      <c r="F31" s="77">
        <v>0</v>
      </c>
      <c r="G31" s="77">
        <v>0</v>
      </c>
      <c r="H31" s="77">
        <f>$E31*VLOOKUP($A31,Allocators,7)</f>
        <v>0</v>
      </c>
      <c r="I31" s="78">
        <f t="shared" si="8"/>
        <v>0</v>
      </c>
      <c r="J31" s="77">
        <v>0</v>
      </c>
      <c r="K31" s="77">
        <v>0</v>
      </c>
      <c r="L31" s="77">
        <f>$E31*VLOOKUP($A31,Allocators,8)</f>
        <v>0</v>
      </c>
      <c r="M31" s="78">
        <f t="shared" si="9"/>
        <v>0</v>
      </c>
      <c r="N31" s="77">
        <v>0</v>
      </c>
      <c r="O31" s="77">
        <v>0</v>
      </c>
      <c r="P31" s="77">
        <f>$E31*VLOOKUP($A31,Allocators,9)</f>
        <v>0</v>
      </c>
      <c r="Q31" s="77">
        <f t="shared" si="10"/>
        <v>0</v>
      </c>
    </row>
    <row r="32" spans="1:17" ht="14.25" customHeight="1">
      <c r="A32" s="82"/>
      <c r="B32" s="116"/>
      <c r="C32" s="107" t="s">
        <v>514</v>
      </c>
      <c r="D32" s="284"/>
      <c r="E32" s="108">
        <f aca="true" t="shared" si="11" ref="E32:M32">SUM(E26:E31)</f>
        <v>11395240</v>
      </c>
      <c r="F32" s="107">
        <f t="shared" si="11"/>
        <v>0</v>
      </c>
      <c r="G32" s="107">
        <f t="shared" si="11"/>
        <v>0</v>
      </c>
      <c r="H32" s="107">
        <f t="shared" si="11"/>
        <v>8095145</v>
      </c>
      <c r="I32" s="108">
        <f t="shared" si="11"/>
        <v>8095145</v>
      </c>
      <c r="J32" s="107">
        <f t="shared" si="11"/>
        <v>0</v>
      </c>
      <c r="K32" s="107">
        <f t="shared" si="11"/>
        <v>0</v>
      </c>
      <c r="L32" s="107">
        <f t="shared" si="11"/>
        <v>2258035</v>
      </c>
      <c r="M32" s="108">
        <f t="shared" si="11"/>
        <v>2258035</v>
      </c>
      <c r="N32" s="107">
        <f>SUM(N26:N31)</f>
        <v>0</v>
      </c>
      <c r="O32" s="107">
        <f>SUM(O26:O31)</f>
        <v>0</v>
      </c>
      <c r="P32" s="107">
        <f>SUM(P26:P31)</f>
        <v>1042061</v>
      </c>
      <c r="Q32" s="107">
        <f>SUM(Q26:Q31)</f>
        <v>1042061</v>
      </c>
    </row>
    <row r="33" spans="1:17" ht="14.25" customHeight="1">
      <c r="A33" s="82"/>
      <c r="B33" s="116"/>
      <c r="C33" s="109"/>
      <c r="D33" s="118"/>
      <c r="E33" s="78"/>
      <c r="F33" s="109"/>
      <c r="G33" s="109"/>
      <c r="H33" s="109"/>
      <c r="I33" s="78"/>
      <c r="J33" s="109"/>
      <c r="K33" s="109"/>
      <c r="L33" s="109"/>
      <c r="M33" s="78"/>
      <c r="N33" s="109"/>
      <c r="O33" s="109"/>
      <c r="P33" s="109"/>
      <c r="Q33" s="109"/>
    </row>
    <row r="34" spans="1:17" ht="14.25" customHeight="1">
      <c r="A34" s="82"/>
      <c r="B34" s="116">
        <v>303120</v>
      </c>
      <c r="C34" s="77" t="s">
        <v>545</v>
      </c>
      <c r="D34" s="118"/>
      <c r="E34" s="78"/>
      <c r="F34" s="109"/>
      <c r="G34" s="109"/>
      <c r="H34" s="109"/>
      <c r="I34" s="78"/>
      <c r="J34" s="109"/>
      <c r="K34" s="109"/>
      <c r="L34" s="109"/>
      <c r="M34" s="78"/>
      <c r="N34" s="109"/>
      <c r="O34" s="109"/>
      <c r="P34" s="109"/>
      <c r="Q34" s="109"/>
    </row>
    <row r="35" spans="1:17" ht="14.25" customHeight="1">
      <c r="A35" s="82">
        <v>99</v>
      </c>
      <c r="B35" s="83"/>
      <c r="C35" s="77" t="s">
        <v>506</v>
      </c>
      <c r="D35" s="77"/>
      <c r="E35" s="78">
        <f>+I35+M35+Q35</f>
        <v>0</v>
      </c>
      <c r="F35" s="77">
        <f>+Data!J427</f>
        <v>0</v>
      </c>
      <c r="G35" s="77">
        <f>+Data!K427</f>
        <v>0</v>
      </c>
      <c r="H35" s="77">
        <f>+Data!I427</f>
        <v>0</v>
      </c>
      <c r="I35" s="78">
        <f aca="true" t="shared" si="12" ref="I35:I40">SUM(F35:H35)</f>
        <v>0</v>
      </c>
      <c r="J35" s="77">
        <v>0</v>
      </c>
      <c r="K35" s="77">
        <v>0</v>
      </c>
      <c r="L35" s="77">
        <v>0</v>
      </c>
      <c r="M35" s="78">
        <f aca="true" t="shared" si="13" ref="M35:M40">SUM(J35:L35)</f>
        <v>0</v>
      </c>
      <c r="N35" s="77">
        <v>0</v>
      </c>
      <c r="O35" s="77">
        <v>0</v>
      </c>
      <c r="P35" s="77">
        <v>0</v>
      </c>
      <c r="Q35" s="77">
        <f aca="true" t="shared" si="14" ref="Q35:Q40">SUM(N35:P35)</f>
        <v>0</v>
      </c>
    </row>
    <row r="36" spans="1:17" ht="14.25" customHeight="1">
      <c r="A36" s="82">
        <v>99</v>
      </c>
      <c r="B36" s="83"/>
      <c r="C36" s="77" t="s">
        <v>507</v>
      </c>
      <c r="D36" s="283"/>
      <c r="E36" s="78">
        <f>+I36+M36+Q36</f>
        <v>0</v>
      </c>
      <c r="F36" s="77">
        <v>0</v>
      </c>
      <c r="G36" s="77">
        <v>0</v>
      </c>
      <c r="H36" s="77">
        <v>0</v>
      </c>
      <c r="I36" s="78">
        <f t="shared" si="12"/>
        <v>0</v>
      </c>
      <c r="J36" s="77">
        <f>+Data!J428</f>
        <v>0</v>
      </c>
      <c r="K36" s="77">
        <f>+Data!K428</f>
        <v>0</v>
      </c>
      <c r="L36" s="77">
        <f>+Data!I428</f>
        <v>0</v>
      </c>
      <c r="M36" s="78">
        <f t="shared" si="13"/>
        <v>0</v>
      </c>
      <c r="N36" s="77">
        <v>0</v>
      </c>
      <c r="O36" s="77">
        <v>0</v>
      </c>
      <c r="P36" s="77">
        <v>0</v>
      </c>
      <c r="Q36" s="77">
        <f t="shared" si="14"/>
        <v>0</v>
      </c>
    </row>
    <row r="37" spans="1:17" ht="14.25" customHeight="1">
      <c r="A37" s="82">
        <v>99</v>
      </c>
      <c r="B37" s="83"/>
      <c r="C37" s="77" t="s">
        <v>508</v>
      </c>
      <c r="D37" s="283"/>
      <c r="E37" s="78">
        <f>+I37+M37+Q37</f>
        <v>0</v>
      </c>
      <c r="F37" s="77">
        <v>0</v>
      </c>
      <c r="G37" s="77">
        <v>0</v>
      </c>
      <c r="H37" s="77">
        <v>0</v>
      </c>
      <c r="I37" s="78">
        <f t="shared" si="12"/>
        <v>0</v>
      </c>
      <c r="J37" s="77">
        <v>0</v>
      </c>
      <c r="K37" s="77">
        <v>0</v>
      </c>
      <c r="L37" s="77">
        <v>0</v>
      </c>
      <c r="M37" s="78">
        <f t="shared" si="13"/>
        <v>0</v>
      </c>
      <c r="N37" s="77">
        <f>+Data!J429</f>
        <v>0</v>
      </c>
      <c r="O37" s="77">
        <f>+Data!K429</f>
        <v>0</v>
      </c>
      <c r="P37" s="77">
        <f>+Data!I429</f>
        <v>0</v>
      </c>
      <c r="Q37" s="77">
        <f t="shared" si="14"/>
        <v>0</v>
      </c>
    </row>
    <row r="38" spans="1:17" ht="14.25" customHeight="1">
      <c r="A38" s="82">
        <v>7</v>
      </c>
      <c r="B38" s="83"/>
      <c r="C38" s="77" t="s">
        <v>509</v>
      </c>
      <c r="D38" s="283"/>
      <c r="E38" s="78">
        <f>+Data!H430</f>
        <v>0</v>
      </c>
      <c r="F38" s="77">
        <v>0</v>
      </c>
      <c r="G38" s="77">
        <v>0</v>
      </c>
      <c r="H38" s="77">
        <f>$E38*VLOOKUP($A38,Allocators,7)</f>
        <v>0</v>
      </c>
      <c r="I38" s="78">
        <f t="shared" si="12"/>
        <v>0</v>
      </c>
      <c r="J38" s="77">
        <v>0</v>
      </c>
      <c r="K38" s="77">
        <v>0</v>
      </c>
      <c r="L38" s="77">
        <f>$E38*VLOOKUP($A38,Allocators,8)</f>
        <v>0</v>
      </c>
      <c r="M38" s="78">
        <f t="shared" si="13"/>
        <v>0</v>
      </c>
      <c r="N38" s="77">
        <v>0</v>
      </c>
      <c r="O38" s="77">
        <v>0</v>
      </c>
      <c r="P38" s="77">
        <f>$E38*VLOOKUP($A38,Allocators,9)</f>
        <v>0</v>
      </c>
      <c r="Q38" s="77">
        <f t="shared" si="14"/>
        <v>0</v>
      </c>
    </row>
    <row r="39" spans="1:17" ht="14.25" customHeight="1">
      <c r="A39" s="82">
        <v>8</v>
      </c>
      <c r="B39" s="83"/>
      <c r="C39" s="77" t="s">
        <v>510</v>
      </c>
      <c r="D39" s="77"/>
      <c r="E39" s="78">
        <f>+Data!H431</f>
        <v>0</v>
      </c>
      <c r="F39" s="77">
        <v>0</v>
      </c>
      <c r="G39" s="77">
        <v>0</v>
      </c>
      <c r="H39" s="77">
        <f>$E39*VLOOKUP($A39,Allocators,7)</f>
        <v>0</v>
      </c>
      <c r="I39" s="78">
        <f t="shared" si="12"/>
        <v>0</v>
      </c>
      <c r="J39" s="77">
        <v>0</v>
      </c>
      <c r="K39" s="77">
        <v>0</v>
      </c>
      <c r="L39" s="77">
        <f>$E39*VLOOKUP($A39,Allocators,8)</f>
        <v>0</v>
      </c>
      <c r="M39" s="78">
        <f t="shared" si="13"/>
        <v>0</v>
      </c>
      <c r="N39" s="77">
        <v>0</v>
      </c>
      <c r="O39" s="77">
        <v>0</v>
      </c>
      <c r="P39" s="77">
        <f>$E39*VLOOKUP($A39,Allocators,9)</f>
        <v>0</v>
      </c>
      <c r="Q39" s="77">
        <f t="shared" si="14"/>
        <v>0</v>
      </c>
    </row>
    <row r="40" spans="1:17" ht="14.25" customHeight="1">
      <c r="A40" s="82">
        <v>9</v>
      </c>
      <c r="B40" s="83"/>
      <c r="C40" s="77" t="s">
        <v>543</v>
      </c>
      <c r="D40" s="283"/>
      <c r="E40" s="78">
        <f>+Data!H432</f>
        <v>0</v>
      </c>
      <c r="F40" s="77">
        <v>0</v>
      </c>
      <c r="G40" s="77">
        <v>0</v>
      </c>
      <c r="H40" s="77">
        <f>$E40*VLOOKUP($A40,Allocators,7)</f>
        <v>0</v>
      </c>
      <c r="I40" s="78">
        <f t="shared" si="12"/>
        <v>0</v>
      </c>
      <c r="J40" s="77">
        <v>0</v>
      </c>
      <c r="K40" s="77">
        <v>0</v>
      </c>
      <c r="L40" s="77">
        <f>$E40*VLOOKUP($A40,Allocators,8)</f>
        <v>0</v>
      </c>
      <c r="M40" s="78">
        <f t="shared" si="13"/>
        <v>0</v>
      </c>
      <c r="N40" s="77">
        <v>0</v>
      </c>
      <c r="O40" s="77">
        <v>0</v>
      </c>
      <c r="P40" s="77">
        <f>$E40*VLOOKUP($A40,Allocators,9)</f>
        <v>0</v>
      </c>
      <c r="Q40" s="77">
        <f t="shared" si="14"/>
        <v>0</v>
      </c>
    </row>
    <row r="41" spans="1:17" ht="14.25" customHeight="1">
      <c r="A41" s="82"/>
      <c r="B41" s="83"/>
      <c r="C41" s="107" t="s">
        <v>514</v>
      </c>
      <c r="D41" s="284"/>
      <c r="E41" s="108">
        <f aca="true" t="shared" si="15" ref="E41:M41">SUM(E35:E40)</f>
        <v>0</v>
      </c>
      <c r="F41" s="107">
        <f t="shared" si="15"/>
        <v>0</v>
      </c>
      <c r="G41" s="107">
        <f t="shared" si="15"/>
        <v>0</v>
      </c>
      <c r="H41" s="107">
        <f t="shared" si="15"/>
        <v>0</v>
      </c>
      <c r="I41" s="108">
        <f t="shared" si="15"/>
        <v>0</v>
      </c>
      <c r="J41" s="107">
        <f t="shared" si="15"/>
        <v>0</v>
      </c>
      <c r="K41" s="107">
        <f t="shared" si="15"/>
        <v>0</v>
      </c>
      <c r="L41" s="107">
        <f t="shared" si="15"/>
        <v>0</v>
      </c>
      <c r="M41" s="108">
        <f t="shared" si="15"/>
        <v>0</v>
      </c>
      <c r="N41" s="107">
        <f>SUM(N35:N40)</f>
        <v>0</v>
      </c>
      <c r="O41" s="107">
        <f>SUM(O35:O40)</f>
        <v>0</v>
      </c>
      <c r="P41" s="107">
        <f>SUM(P35:P40)</f>
        <v>0</v>
      </c>
      <c r="Q41" s="107">
        <f>SUM(Q35:Q40)</f>
        <v>0</v>
      </c>
    </row>
    <row r="42" spans="1:17" ht="14.25" customHeight="1">
      <c r="A42" s="82"/>
      <c r="B42" s="83"/>
      <c r="C42" s="109"/>
      <c r="D42" s="118"/>
      <c r="E42" s="78"/>
      <c r="F42" s="109"/>
      <c r="G42" s="109"/>
      <c r="H42" s="109"/>
      <c r="I42" s="78"/>
      <c r="J42" s="109"/>
      <c r="K42" s="109"/>
      <c r="L42" s="109"/>
      <c r="M42" s="78"/>
      <c r="N42" s="109"/>
      <c r="O42" s="109"/>
      <c r="P42" s="109"/>
      <c r="Q42" s="109"/>
    </row>
    <row r="43" spans="1:17" ht="14.25" customHeight="1">
      <c r="A43" s="82"/>
      <c r="B43" s="83"/>
      <c r="C43" s="107" t="s">
        <v>809</v>
      </c>
      <c r="D43" s="107"/>
      <c r="E43" s="107">
        <f aca="true" t="shared" si="16" ref="E43:P43">+E41+E32+E23+E14</f>
        <v>24215085</v>
      </c>
      <c r="F43" s="107">
        <f t="shared" si="16"/>
        <v>0</v>
      </c>
      <c r="G43" s="107">
        <f t="shared" si="16"/>
        <v>0</v>
      </c>
      <c r="H43" s="107">
        <f t="shared" si="16"/>
        <v>17083277</v>
      </c>
      <c r="I43" s="108">
        <f t="shared" si="16"/>
        <v>17083277</v>
      </c>
      <c r="J43" s="107">
        <f t="shared" si="16"/>
        <v>249449</v>
      </c>
      <c r="K43" s="107">
        <f t="shared" si="16"/>
        <v>168450</v>
      </c>
      <c r="L43" s="107">
        <f t="shared" si="16"/>
        <v>4569397</v>
      </c>
      <c r="M43" s="108">
        <f t="shared" si="16"/>
        <v>4987296</v>
      </c>
      <c r="N43" s="107">
        <f t="shared" si="16"/>
        <v>46440</v>
      </c>
      <c r="O43" s="107">
        <f t="shared" si="16"/>
        <v>0</v>
      </c>
      <c r="P43" s="107">
        <f t="shared" si="16"/>
        <v>2098073</v>
      </c>
      <c r="Q43" s="107">
        <f>IF(O44=1,+Q41+Q32+Q23+Q14,"CHECK HIDDEN CALIFORNIA COLUMN")</f>
        <v>2144513</v>
      </c>
    </row>
    <row r="44" spans="1:17" ht="14.25" customHeight="1">
      <c r="A44" s="82"/>
      <c r="B44" s="83"/>
      <c r="C44" s="77"/>
      <c r="D44" s="77"/>
      <c r="E44" s="77"/>
      <c r="F44" s="77"/>
      <c r="G44" s="77"/>
      <c r="H44" s="77"/>
      <c r="I44" s="77"/>
      <c r="J44" s="77"/>
      <c r="K44" s="77"/>
      <c r="L44" s="77"/>
      <c r="M44" s="77"/>
      <c r="N44" s="77"/>
      <c r="O44" s="77">
        <f>IF(O43=0,1,2)</f>
        <v>1</v>
      </c>
      <c r="P44" s="77"/>
      <c r="Q44" s="77"/>
    </row>
    <row r="45" spans="1:17" ht="14.25" customHeight="1">
      <c r="A45" s="77" t="s">
        <v>341</v>
      </c>
      <c r="B45" s="115"/>
      <c r="C45" s="116"/>
      <c r="D45" s="116"/>
      <c r="E45" s="286"/>
      <c r="F45" s="117"/>
      <c r="G45" s="117"/>
      <c r="H45" s="117"/>
      <c r="I45" s="117"/>
      <c r="J45" s="77"/>
      <c r="K45" s="77"/>
      <c r="L45" s="77"/>
      <c r="M45" s="77"/>
      <c r="N45" s="77"/>
      <c r="O45" s="77"/>
      <c r="P45" s="77"/>
      <c r="Q45" s="77"/>
    </row>
    <row r="46" spans="1:17" ht="14.25" customHeight="1">
      <c r="A46" s="82" t="s">
        <v>735</v>
      </c>
      <c r="B46" s="116">
        <v>7</v>
      </c>
      <c r="C46" s="287" t="str">
        <f>+'E-ALL'!C39</f>
        <v>Elec/Gas North/Oregon 4-Factor</v>
      </c>
      <c r="D46" s="116"/>
      <c r="E46" s="117">
        <f>VLOOKUP(B46,Allocators,6)</f>
        <v>1</v>
      </c>
      <c r="F46" s="117"/>
      <c r="G46" s="117"/>
      <c r="H46" s="117">
        <f>VLOOKUP(B46,Allocators,7)</f>
        <v>0.7196</v>
      </c>
      <c r="I46" s="117"/>
      <c r="J46" s="77"/>
      <c r="K46" s="77"/>
      <c r="L46" s="117">
        <f>VLOOKUP(B46,Allocators,8)</f>
        <v>0.1918</v>
      </c>
      <c r="M46" s="77"/>
      <c r="N46" s="77"/>
      <c r="O46" s="77"/>
      <c r="P46" s="117">
        <f>VLOOKUP(B46,Allocators,9)</f>
        <v>0.0886</v>
      </c>
      <c r="Q46" s="77"/>
    </row>
    <row r="47" spans="1:17" ht="14.25" customHeight="1">
      <c r="A47" s="82" t="s">
        <v>735</v>
      </c>
      <c r="B47" s="116">
        <v>8</v>
      </c>
      <c r="C47" s="287" t="str">
        <f>+'E-ALL'!C62</f>
        <v>Gas North/Oregon 4-Factor</v>
      </c>
      <c r="D47" s="116"/>
      <c r="E47" s="117">
        <f>VLOOKUP(B47,Allocators,6)</f>
        <v>1</v>
      </c>
      <c r="F47" s="117"/>
      <c r="G47" s="117"/>
      <c r="H47" s="117">
        <f>VLOOKUP(B47,Allocators,7)</f>
        <v>0</v>
      </c>
      <c r="I47" s="117"/>
      <c r="J47" s="77"/>
      <c r="K47" s="77"/>
      <c r="L47" s="117">
        <f>VLOOKUP(B47,Allocators,8)</f>
        <v>0.68157</v>
      </c>
      <c r="M47" s="77"/>
      <c r="N47" s="77"/>
      <c r="O47" s="77"/>
      <c r="P47" s="117">
        <f>VLOOKUP(B47,Allocators,9)</f>
        <v>0.31843</v>
      </c>
      <c r="Q47" s="77"/>
    </row>
    <row r="48" spans="1:17" ht="14.25" customHeight="1">
      <c r="A48" s="82" t="s">
        <v>735</v>
      </c>
      <c r="B48" s="116">
        <v>9</v>
      </c>
      <c r="C48" s="287" t="str">
        <f>+'E-ALL'!C85</f>
        <v>Elec/Gas North 4-Factor</v>
      </c>
      <c r="D48" s="116"/>
      <c r="E48" s="117">
        <f>VLOOKUP(B48,Allocators,6)</f>
        <v>1</v>
      </c>
      <c r="F48" s="117"/>
      <c r="G48" s="117"/>
      <c r="H48" s="117">
        <f>VLOOKUP(B48,Allocators,7)</f>
        <v>0.79122</v>
      </c>
      <c r="I48" s="117"/>
      <c r="J48" s="77"/>
      <c r="K48" s="77"/>
      <c r="L48" s="117">
        <f>VLOOKUP(B48,Allocators,8)</f>
        <v>0.20878</v>
      </c>
      <c r="M48" s="77"/>
      <c r="N48" s="77"/>
      <c r="O48" s="77"/>
      <c r="P48" s="117">
        <f>VLOOKUP(B48,Allocators,9)</f>
        <v>0</v>
      </c>
      <c r="Q48" s="77"/>
    </row>
    <row r="49" spans="1:17" ht="14.25" customHeight="1">
      <c r="A49" s="82" t="s">
        <v>735</v>
      </c>
      <c r="B49" s="116">
        <v>99</v>
      </c>
      <c r="C49" s="287" t="s">
        <v>906</v>
      </c>
      <c r="D49" s="116"/>
      <c r="E49" s="117">
        <v>0</v>
      </c>
      <c r="F49" s="117"/>
      <c r="G49" s="117"/>
      <c r="H49" s="117">
        <v>0</v>
      </c>
      <c r="I49" s="117"/>
      <c r="J49" s="77"/>
      <c r="K49" s="77"/>
      <c r="L49" s="117">
        <v>0</v>
      </c>
      <c r="M49" s="77"/>
      <c r="N49" s="77"/>
      <c r="O49" s="77"/>
      <c r="P49" s="117">
        <v>0</v>
      </c>
      <c r="Q49" s="77"/>
    </row>
    <row r="50" spans="1:17" ht="14.25" customHeight="1">
      <c r="A50" s="82"/>
      <c r="B50" s="83"/>
      <c r="C50" s="77"/>
      <c r="D50" s="77"/>
      <c r="E50" s="77"/>
      <c r="F50" s="77"/>
      <c r="G50" s="77"/>
      <c r="H50" s="77"/>
      <c r="I50" s="77"/>
      <c r="J50" s="77"/>
      <c r="K50" s="77"/>
      <c r="L50" s="77"/>
      <c r="M50" s="77"/>
      <c r="N50" s="77"/>
      <c r="O50" s="77"/>
      <c r="P50" s="77"/>
      <c r="Q50" s="77"/>
    </row>
  </sheetData>
  <mergeCells count="1">
    <mergeCell ref="N4:Q4"/>
  </mergeCells>
  <printOptions/>
  <pageMargins left="0.75" right="0.75" top="0.75" bottom="1" header="0.5" footer="0.5"/>
  <pageSetup horizontalDpi="300" verticalDpi="300" orientation="landscape" scale="60" r:id="rId1"/>
  <headerFooter alignWithMargins="0">
    <oddHeader>&amp;LAVISTA UTILITIES&amp;CRESULTS OF OPERATIONS&amp;RRUN DATE: &amp;D</oddHeader>
    <oddFooter>&amp;CPage &amp;P</oddFooter>
  </headerFooter>
  <ignoredErrors>
    <ignoredError sqref="E43:P43 Q8:Q15 Q34:Q42 E16:P24 Q16:Q24 Q25:Q33 E25:P33 E34:P42 E14:E15 E8:E12 F8:G15 I8:P15 H8:H12 H14:H15" evalError="1"/>
  </ignoredErrors>
</worksheet>
</file>

<file path=xl/worksheets/sheet21.xml><?xml version="1.0" encoding="utf-8"?>
<worksheet xmlns="http://schemas.openxmlformats.org/spreadsheetml/2006/main" xmlns:r="http://schemas.openxmlformats.org/officeDocument/2006/relationships">
  <sheetPr codeName="Sheet18"/>
  <dimension ref="A1:R34"/>
  <sheetViews>
    <sheetView workbookViewId="0" topLeftCell="A1">
      <pane xSplit="5" ySplit="8" topLeftCell="F9" activePane="bottomRight" state="frozen"/>
      <selection pane="topLeft" activeCell="H8" sqref="H8"/>
      <selection pane="topRight" activeCell="H8" sqref="H8"/>
      <selection pane="bottomLeft" activeCell="H8" sqref="H8"/>
      <selection pane="bottomRight" activeCell="F9" sqref="F9"/>
    </sheetView>
  </sheetViews>
  <sheetFormatPr defaultColWidth="9.00390625" defaultRowHeight="15" customHeight="1"/>
  <cols>
    <col min="1" max="1" width="9.375" style="84" customWidth="1"/>
    <col min="2" max="2" width="9.875" style="84" customWidth="1"/>
    <col min="3" max="3" width="17.00390625" style="84" customWidth="1"/>
    <col min="4" max="4" width="17.375" style="84" customWidth="1"/>
    <col min="5" max="5" width="14.875" style="84" customWidth="1"/>
    <col min="6" max="14" width="15.875" style="84" customWidth="1"/>
    <col min="15" max="16384" width="9.375" style="84" customWidth="1"/>
  </cols>
  <sheetData>
    <row r="1" spans="1:17" ht="15" customHeight="1">
      <c r="A1" s="82"/>
      <c r="B1" s="83"/>
      <c r="C1" s="77"/>
      <c r="D1" s="77"/>
      <c r="E1" s="77"/>
      <c r="F1" s="77"/>
      <c r="G1" s="77"/>
      <c r="H1" s="77"/>
      <c r="I1" s="77"/>
      <c r="J1" s="77"/>
      <c r="K1" s="77"/>
      <c r="L1" s="77"/>
      <c r="M1" s="77"/>
      <c r="N1" s="77"/>
      <c r="O1" s="77"/>
      <c r="P1" s="77"/>
      <c r="Q1" s="77"/>
    </row>
    <row r="2" spans="1:18" ht="15" customHeight="1">
      <c r="A2" s="85" t="s">
        <v>481</v>
      </c>
      <c r="B2" s="86"/>
      <c r="C2" s="87"/>
      <c r="D2" s="88"/>
      <c r="E2" s="89" t="s">
        <v>725</v>
      </c>
      <c r="F2" s="77"/>
      <c r="G2" s="77"/>
      <c r="H2" s="77"/>
      <c r="I2" s="77"/>
      <c r="J2" s="77"/>
      <c r="K2" s="77"/>
      <c r="L2" s="77"/>
      <c r="M2" s="77"/>
      <c r="N2" s="77"/>
      <c r="R2" s="77"/>
    </row>
    <row r="3" spans="1:18" ht="15" customHeight="1">
      <c r="A3" s="110" t="s">
        <v>547</v>
      </c>
      <c r="B3" s="83"/>
      <c r="D3" s="92"/>
      <c r="E3" s="93" t="str">
        <f>"C-AAM-"&amp;months&amp;rbcalc</f>
        <v>C-AAM-12A</v>
      </c>
      <c r="F3" s="77"/>
      <c r="G3" s="77"/>
      <c r="H3" s="77"/>
      <c r="I3" s="77"/>
      <c r="J3" s="77"/>
      <c r="K3" s="77"/>
      <c r="L3" s="77"/>
      <c r="M3" s="77"/>
      <c r="N3" s="77"/>
      <c r="R3" s="77"/>
    </row>
    <row r="4" spans="1:18" ht="15" customHeight="1">
      <c r="A4" s="91" t="str">
        <f>tp_heading</f>
        <v>For Twelve Months Ended September 30, 2008</v>
      </c>
      <c r="D4" s="92"/>
      <c r="E4" s="238"/>
      <c r="F4" s="77"/>
      <c r="G4" s="77"/>
      <c r="H4" s="77"/>
      <c r="I4" s="77"/>
      <c r="J4" s="77"/>
      <c r="K4" s="77"/>
      <c r="L4" s="77"/>
      <c r="M4" s="77"/>
      <c r="N4" s="77"/>
      <c r="R4" s="77"/>
    </row>
    <row r="5" spans="1:9" ht="15" customHeight="1">
      <c r="A5" s="94" t="str">
        <f>rbcalc_heading</f>
        <v>Average of Monthly Averages Basis</v>
      </c>
      <c r="B5" s="95"/>
      <c r="C5" s="96"/>
      <c r="D5" s="97"/>
      <c r="E5" s="98"/>
      <c r="F5" s="82"/>
      <c r="G5" s="82" t="s">
        <v>548</v>
      </c>
      <c r="H5" s="82" t="s">
        <v>548</v>
      </c>
      <c r="I5" s="82" t="s">
        <v>548</v>
      </c>
    </row>
    <row r="6" spans="1:9" ht="15" customHeight="1">
      <c r="A6" s="99" t="s">
        <v>2</v>
      </c>
      <c r="B6" s="100" t="s">
        <v>815</v>
      </c>
      <c r="C6" s="99" t="s">
        <v>844</v>
      </c>
      <c r="D6" s="96"/>
      <c r="E6" s="96"/>
      <c r="F6" s="99" t="s">
        <v>891</v>
      </c>
      <c r="G6" s="99" t="s">
        <v>549</v>
      </c>
      <c r="H6" s="99" t="s">
        <v>257</v>
      </c>
      <c r="I6" s="99" t="s">
        <v>245</v>
      </c>
    </row>
    <row r="7" spans="1:8" ht="15" customHeight="1">
      <c r="A7" s="82"/>
      <c r="B7" s="83"/>
      <c r="F7" s="77"/>
      <c r="G7" s="77"/>
      <c r="H7" s="77"/>
    </row>
    <row r="8" spans="1:8" ht="15" customHeight="1">
      <c r="A8" s="82"/>
      <c r="B8" s="243"/>
      <c r="C8" s="77" t="s">
        <v>141</v>
      </c>
      <c r="F8" s="77"/>
      <c r="G8" s="77"/>
      <c r="H8" s="77"/>
    </row>
    <row r="9" spans="1:9" ht="15" customHeight="1">
      <c r="A9" s="82">
        <v>99</v>
      </c>
      <c r="B9" s="83"/>
      <c r="C9" s="77" t="s">
        <v>506</v>
      </c>
      <c r="F9" s="109">
        <f>SUM(G9:I9)</f>
        <v>1118862</v>
      </c>
      <c r="G9" s="109">
        <f>-Data!H397-Data!H398</f>
        <v>1118862</v>
      </c>
      <c r="H9" s="109">
        <v>0</v>
      </c>
      <c r="I9" s="84">
        <v>0</v>
      </c>
    </row>
    <row r="10" spans="1:9" ht="15" customHeight="1">
      <c r="A10" s="82">
        <v>99</v>
      </c>
      <c r="B10" s="83"/>
      <c r="C10" s="77" t="s">
        <v>507</v>
      </c>
      <c r="F10" s="109">
        <f>SUM(G10:I10)</f>
        <v>2289</v>
      </c>
      <c r="G10" s="109">
        <v>0</v>
      </c>
      <c r="H10" s="109">
        <f>-Data!H399-Data!H404</f>
        <v>2289</v>
      </c>
      <c r="I10" s="84">
        <v>0</v>
      </c>
    </row>
    <row r="11" spans="1:9" ht="15" customHeight="1">
      <c r="A11" s="82">
        <v>99</v>
      </c>
      <c r="B11" s="83"/>
      <c r="C11" s="77" t="s">
        <v>508</v>
      </c>
      <c r="F11" s="109">
        <f>SUM(G11:I11)</f>
        <v>0</v>
      </c>
      <c r="G11" s="109">
        <v>0</v>
      </c>
      <c r="H11" s="109">
        <v>0</v>
      </c>
      <c r="I11" s="77">
        <f>-Data!I400-Data!I405</f>
        <v>0</v>
      </c>
    </row>
    <row r="12" spans="1:9" ht="15" customHeight="1">
      <c r="A12" s="82">
        <v>99</v>
      </c>
      <c r="B12" s="83"/>
      <c r="C12" s="77" t="s">
        <v>550</v>
      </c>
      <c r="F12" s="109">
        <f>SUM(G12:I12)</f>
        <v>7353</v>
      </c>
      <c r="G12" s="109">
        <v>0</v>
      </c>
      <c r="H12" s="109">
        <v>0</v>
      </c>
      <c r="I12" s="77">
        <f>-Data!J400-Data!J405</f>
        <v>7353</v>
      </c>
    </row>
    <row r="13" spans="1:9" ht="15" customHeight="1">
      <c r="A13" s="82">
        <v>99</v>
      </c>
      <c r="B13" s="83"/>
      <c r="C13" s="77" t="s">
        <v>551</v>
      </c>
      <c r="F13" s="109">
        <f>SUM(G13:I13)</f>
        <v>0</v>
      </c>
      <c r="G13" s="109">
        <v>0</v>
      </c>
      <c r="H13" s="109">
        <v>0</v>
      </c>
      <c r="I13" s="77">
        <f>-Data!K400-Data!K405</f>
        <v>0</v>
      </c>
    </row>
    <row r="14" spans="1:9" ht="15" customHeight="1">
      <c r="A14" s="82">
        <v>7</v>
      </c>
      <c r="B14" s="83"/>
      <c r="C14" s="77" t="s">
        <v>509</v>
      </c>
      <c r="E14" s="109"/>
      <c r="F14" s="109">
        <f>-Data!H401-Data!H406</f>
        <v>8383235</v>
      </c>
      <c r="G14" s="77">
        <f>$F14*VLOOKUP($A14,Allocators,7)</f>
        <v>6032576</v>
      </c>
      <c r="H14" s="77">
        <f>$F14*VLOOKUP($A14,Allocators,8)</f>
        <v>1607904</v>
      </c>
      <c r="I14" s="77">
        <f>$F14*VLOOKUP($A14,Allocators,9)</f>
        <v>742755</v>
      </c>
    </row>
    <row r="15" spans="1:9" ht="15" customHeight="1">
      <c r="A15" s="82">
        <v>8</v>
      </c>
      <c r="B15" s="83"/>
      <c r="C15" s="77" t="s">
        <v>510</v>
      </c>
      <c r="F15" s="109">
        <f>-Data!H402-Data!H407</f>
        <v>450244</v>
      </c>
      <c r="G15" s="77">
        <f>$F15*VLOOKUP($A15,Allocators,7)</f>
        <v>0</v>
      </c>
      <c r="H15" s="77">
        <f>$F15*VLOOKUP($A15,Allocators,8)</f>
        <v>306873</v>
      </c>
      <c r="I15" s="77">
        <f>$F15*VLOOKUP($A15,Allocators,9)</f>
        <v>143371</v>
      </c>
    </row>
    <row r="16" spans="1:9" ht="15" customHeight="1">
      <c r="A16" s="82">
        <v>9</v>
      </c>
      <c r="B16" s="83"/>
      <c r="C16" s="77" t="s">
        <v>543</v>
      </c>
      <c r="F16" s="109">
        <f>-Data!H408</f>
        <v>2345</v>
      </c>
      <c r="G16" s="77">
        <f>$F16*VLOOKUP($A16,Allocators,7)</f>
        <v>1855</v>
      </c>
      <c r="H16" s="77">
        <f>$F16*VLOOKUP($A16,Allocators,8)</f>
        <v>490</v>
      </c>
      <c r="I16" s="77">
        <f>$F16*VLOOKUP($A16,Allocators,9)</f>
        <v>0</v>
      </c>
    </row>
    <row r="17" spans="1:9" ht="15" customHeight="1" thickBot="1">
      <c r="A17" s="82"/>
      <c r="B17" s="82"/>
      <c r="C17" s="77" t="s">
        <v>891</v>
      </c>
      <c r="F17" s="234">
        <f>SUM(F9:F16)</f>
        <v>9964328</v>
      </c>
      <c r="G17" s="234">
        <f>SUM(G9:G16)</f>
        <v>7153293</v>
      </c>
      <c r="H17" s="234">
        <f>SUM(H9:H16)</f>
        <v>1917556</v>
      </c>
      <c r="I17" s="234">
        <f>SUM(I9:I16)</f>
        <v>893479</v>
      </c>
    </row>
    <row r="18" spans="1:18" ht="15" customHeight="1" thickTop="1">
      <c r="A18" s="82"/>
      <c r="B18" s="83"/>
      <c r="C18" s="77"/>
      <c r="D18" s="77"/>
      <c r="E18" s="77"/>
      <c r="F18" s="77"/>
      <c r="G18" s="77"/>
      <c r="H18" s="77"/>
      <c r="I18" s="77"/>
      <c r="J18" s="77"/>
      <c r="K18" s="77"/>
      <c r="L18" s="77"/>
      <c r="M18" s="77"/>
      <c r="N18" s="77"/>
      <c r="O18" s="77"/>
      <c r="P18" s="77"/>
      <c r="Q18" s="77"/>
      <c r="R18" s="77"/>
    </row>
    <row r="19" spans="1:18" ht="15" customHeight="1">
      <c r="A19" s="82"/>
      <c r="B19" s="243"/>
      <c r="C19" s="77" t="s">
        <v>142</v>
      </c>
      <c r="F19" s="77"/>
      <c r="G19" s="77"/>
      <c r="H19" s="77"/>
      <c r="J19" s="77"/>
      <c r="K19" s="77"/>
      <c r="L19" s="77"/>
      <c r="M19" s="77"/>
      <c r="N19" s="77"/>
      <c r="O19" s="77"/>
      <c r="P19" s="77"/>
      <c r="Q19" s="77"/>
      <c r="R19" s="77"/>
    </row>
    <row r="20" spans="1:18" ht="15" customHeight="1">
      <c r="A20" s="82">
        <v>99</v>
      </c>
      <c r="B20" s="83"/>
      <c r="C20" s="77" t="s">
        <v>506</v>
      </c>
      <c r="F20" s="109">
        <f>SUM(G20:I20)</f>
        <v>0</v>
      </c>
      <c r="G20" s="109">
        <f>-Data!H409</f>
        <v>0</v>
      </c>
      <c r="H20" s="109">
        <v>0</v>
      </c>
      <c r="I20" s="84">
        <v>0</v>
      </c>
      <c r="J20" s="77"/>
      <c r="K20" s="77"/>
      <c r="L20" s="77"/>
      <c r="M20" s="77"/>
      <c r="N20" s="77"/>
      <c r="O20" s="77"/>
      <c r="P20" s="77"/>
      <c r="Q20" s="77"/>
      <c r="R20" s="77"/>
    </row>
    <row r="21" spans="1:18" ht="15" customHeight="1">
      <c r="A21" s="82">
        <v>99</v>
      </c>
      <c r="B21" s="83"/>
      <c r="C21" s="77" t="s">
        <v>507</v>
      </c>
      <c r="F21" s="109">
        <f>SUM(G21:I21)</f>
        <v>0</v>
      </c>
      <c r="G21" s="109">
        <v>0</v>
      </c>
      <c r="H21" s="109">
        <f>-Data!H392</f>
        <v>0</v>
      </c>
      <c r="I21" s="84">
        <v>0</v>
      </c>
      <c r="J21" s="77"/>
      <c r="K21" s="77"/>
      <c r="L21" s="77"/>
      <c r="M21" s="77"/>
      <c r="N21" s="77"/>
      <c r="O21" s="77"/>
      <c r="P21" s="77"/>
      <c r="Q21" s="77"/>
      <c r="R21" s="77"/>
    </row>
    <row r="22" spans="1:18" ht="15" customHeight="1">
      <c r="A22" s="82">
        <v>99</v>
      </c>
      <c r="B22" s="83"/>
      <c r="C22" s="77" t="s">
        <v>508</v>
      </c>
      <c r="F22" s="109">
        <f>SUM(G22:I22)</f>
        <v>0</v>
      </c>
      <c r="G22" s="109">
        <v>0</v>
      </c>
      <c r="H22" s="109">
        <v>0</v>
      </c>
      <c r="I22" s="109">
        <f>-Data!H393</f>
        <v>0</v>
      </c>
      <c r="J22" s="77"/>
      <c r="K22" s="77"/>
      <c r="L22" s="77"/>
      <c r="M22" s="77"/>
      <c r="N22" s="77"/>
      <c r="O22" s="77"/>
      <c r="P22" s="77"/>
      <c r="Q22" s="77"/>
      <c r="R22" s="77"/>
    </row>
    <row r="23" spans="1:18" ht="15" customHeight="1">
      <c r="A23" s="82">
        <v>7</v>
      </c>
      <c r="B23" s="83"/>
      <c r="C23" s="77" t="s">
        <v>509</v>
      </c>
      <c r="F23" s="109">
        <f>-Data!H390</f>
        <v>84220</v>
      </c>
      <c r="G23" s="77">
        <f>$F23*VLOOKUP($A23,Allocators,7)</f>
        <v>60605</v>
      </c>
      <c r="H23" s="77">
        <f>$F23*VLOOKUP($A23,Allocators,8)</f>
        <v>16153</v>
      </c>
      <c r="I23" s="77">
        <f>$F23*VLOOKUP($A23,Allocators,9)</f>
        <v>7462</v>
      </c>
      <c r="J23" s="77"/>
      <c r="K23" s="77"/>
      <c r="L23" s="77"/>
      <c r="M23" s="77"/>
      <c r="N23" s="77"/>
      <c r="O23" s="77"/>
      <c r="P23" s="77"/>
      <c r="Q23" s="77"/>
      <c r="R23" s="77"/>
    </row>
    <row r="24" spans="1:18" ht="15" customHeight="1">
      <c r="A24" s="82">
        <v>8</v>
      </c>
      <c r="B24" s="83"/>
      <c r="C24" s="77" t="s">
        <v>510</v>
      </c>
      <c r="F24" s="109">
        <f>-Data!H394</f>
        <v>0</v>
      </c>
      <c r="G24" s="77">
        <f>$F24*VLOOKUP($A24,Allocators,7)</f>
        <v>0</v>
      </c>
      <c r="H24" s="77">
        <f>$F24*VLOOKUP($A24,Allocators,8)</f>
        <v>0</v>
      </c>
      <c r="I24" s="77">
        <f>$F24*VLOOKUP($A24,Allocators,9)</f>
        <v>0</v>
      </c>
      <c r="J24" s="77"/>
      <c r="K24" s="77"/>
      <c r="L24" s="77"/>
      <c r="M24" s="77"/>
      <c r="N24" s="77"/>
      <c r="O24" s="77"/>
      <c r="P24" s="77"/>
      <c r="Q24" s="77"/>
      <c r="R24" s="77"/>
    </row>
    <row r="25" spans="1:18" ht="15" customHeight="1">
      <c r="A25" s="82">
        <v>9</v>
      </c>
      <c r="B25" s="83"/>
      <c r="C25" s="77" t="s">
        <v>543</v>
      </c>
      <c r="F25" s="109">
        <f>-Data!H395-Data!H403</f>
        <v>8332</v>
      </c>
      <c r="G25" s="77">
        <f>$F25*VLOOKUP($A25,Allocators,7)</f>
        <v>6592</v>
      </c>
      <c r="H25" s="77">
        <f>$F25*VLOOKUP($A25,Allocators,8)</f>
        <v>1740</v>
      </c>
      <c r="I25" s="77">
        <f>$F25*VLOOKUP($A25,Allocators,9)</f>
        <v>0</v>
      </c>
      <c r="J25" s="77"/>
      <c r="K25" s="77"/>
      <c r="L25" s="77"/>
      <c r="M25" s="77"/>
      <c r="N25" s="77"/>
      <c r="O25" s="77"/>
      <c r="P25" s="77"/>
      <c r="Q25" s="77"/>
      <c r="R25" s="77"/>
    </row>
    <row r="26" spans="1:18" ht="15" customHeight="1" thickBot="1">
      <c r="A26" s="82"/>
      <c r="B26" s="82"/>
      <c r="C26" s="77" t="s">
        <v>891</v>
      </c>
      <c r="F26" s="234">
        <f>SUM(F20:F25)</f>
        <v>92552</v>
      </c>
      <c r="G26" s="234">
        <f>SUM(G20:G25)</f>
        <v>67197</v>
      </c>
      <c r="H26" s="234">
        <f>SUM(H20:H25)</f>
        <v>17893</v>
      </c>
      <c r="I26" s="234">
        <f>SUM(I20:I25)</f>
        <v>7462</v>
      </c>
      <c r="J26" s="77"/>
      <c r="K26" s="77"/>
      <c r="L26" s="77"/>
      <c r="M26" s="77"/>
      <c r="N26" s="77"/>
      <c r="O26" s="77"/>
      <c r="P26" s="77"/>
      <c r="Q26" s="77"/>
      <c r="R26" s="77"/>
    </row>
    <row r="27" spans="1:18" ht="15" customHeight="1" thickTop="1">
      <c r="A27" s="82"/>
      <c r="B27" s="83"/>
      <c r="C27" s="77"/>
      <c r="D27" s="77"/>
      <c r="E27" s="77"/>
      <c r="F27" s="77"/>
      <c r="G27" s="77"/>
      <c r="H27" s="77"/>
      <c r="I27" s="77"/>
      <c r="J27" s="77"/>
      <c r="K27" s="77"/>
      <c r="L27" s="77"/>
      <c r="M27" s="77"/>
      <c r="N27" s="77"/>
      <c r="O27" s="77"/>
      <c r="P27" s="77"/>
      <c r="Q27" s="77"/>
      <c r="R27" s="77"/>
    </row>
    <row r="28" spans="1:18" ht="15" customHeight="1">
      <c r="A28" s="77" t="s">
        <v>341</v>
      </c>
      <c r="B28" s="115"/>
      <c r="C28" s="116"/>
      <c r="D28" s="116"/>
      <c r="E28" s="286"/>
      <c r="F28" s="117"/>
      <c r="G28" s="117"/>
      <c r="H28" s="117"/>
      <c r="I28" s="117"/>
      <c r="J28" s="77"/>
      <c r="K28" s="77"/>
      <c r="L28" s="77"/>
      <c r="M28" s="77"/>
      <c r="N28" s="77"/>
      <c r="O28" s="77"/>
      <c r="P28" s="77"/>
      <c r="Q28" s="77"/>
      <c r="R28" s="77"/>
    </row>
    <row r="29" spans="1:18" ht="15" customHeight="1">
      <c r="A29" s="82" t="s">
        <v>735</v>
      </c>
      <c r="B29" s="116">
        <v>7</v>
      </c>
      <c r="C29" s="287" t="str">
        <f>+'E-ALL'!C39</f>
        <v>Elec/Gas North/Oregon 4-Factor</v>
      </c>
      <c r="D29" s="116"/>
      <c r="E29" s="117"/>
      <c r="F29" s="117">
        <f>VLOOKUP($B29,Allocators,6)</f>
        <v>1</v>
      </c>
      <c r="G29" s="117">
        <f>VLOOKUP($B29,Allocators,7)</f>
        <v>0.7196</v>
      </c>
      <c r="H29" s="117">
        <f>VLOOKUP($B29,Allocators,8)</f>
        <v>0.1918</v>
      </c>
      <c r="I29" s="117">
        <f>VLOOKUP($B29,Allocators,9)</f>
        <v>0.0886</v>
      </c>
      <c r="J29" s="77"/>
      <c r="K29" s="77"/>
      <c r="L29" s="117"/>
      <c r="M29" s="77"/>
      <c r="N29" s="77"/>
      <c r="O29" s="77"/>
      <c r="P29" s="117"/>
      <c r="Q29" s="77"/>
      <c r="R29" s="77"/>
    </row>
    <row r="30" spans="1:18" ht="15" customHeight="1">
      <c r="A30" s="82" t="s">
        <v>735</v>
      </c>
      <c r="B30" s="116">
        <v>8</v>
      </c>
      <c r="C30" s="287" t="str">
        <f>+'E-ALL'!C62</f>
        <v>Gas North/Oregon 4-Factor</v>
      </c>
      <c r="D30" s="116"/>
      <c r="E30" s="117"/>
      <c r="F30" s="117">
        <f>VLOOKUP($B30,Allocators,6)</f>
        <v>1</v>
      </c>
      <c r="G30" s="117">
        <f>VLOOKUP($B30,Allocators,7)</f>
        <v>0</v>
      </c>
      <c r="H30" s="117">
        <f>VLOOKUP($B30,Allocators,8)</f>
        <v>0.68157</v>
      </c>
      <c r="I30" s="117">
        <f>VLOOKUP($B30,Allocators,9)</f>
        <v>0.31843</v>
      </c>
      <c r="J30" s="77"/>
      <c r="K30" s="77"/>
      <c r="L30" s="117"/>
      <c r="M30" s="77"/>
      <c r="N30" s="77"/>
      <c r="O30" s="77"/>
      <c r="P30" s="117"/>
      <c r="Q30" s="77"/>
      <c r="R30" s="77"/>
    </row>
    <row r="31" spans="1:18" ht="15" customHeight="1">
      <c r="A31" s="82" t="s">
        <v>735</v>
      </c>
      <c r="B31" s="116">
        <v>9</v>
      </c>
      <c r="C31" s="287" t="str">
        <f>+'E-ALL'!C85</f>
        <v>Elec/Gas North 4-Factor</v>
      </c>
      <c r="D31" s="116"/>
      <c r="E31" s="117"/>
      <c r="F31" s="117">
        <f>VLOOKUP($B31,Allocators,6)</f>
        <v>1</v>
      </c>
      <c r="G31" s="117">
        <f>VLOOKUP($B31,Allocators,7)</f>
        <v>0.79122</v>
      </c>
      <c r="H31" s="117">
        <f>VLOOKUP($B31,Allocators,8)</f>
        <v>0.20878</v>
      </c>
      <c r="I31" s="117">
        <f>VLOOKUP($B31,Allocators,9)</f>
        <v>0</v>
      </c>
      <c r="J31" s="77"/>
      <c r="K31" s="77"/>
      <c r="L31" s="117"/>
      <c r="M31" s="77"/>
      <c r="N31" s="77"/>
      <c r="O31" s="77"/>
      <c r="P31" s="117"/>
      <c r="Q31" s="77"/>
      <c r="R31" s="77"/>
    </row>
    <row r="32" spans="1:18" ht="15" customHeight="1">
      <c r="A32" s="82" t="s">
        <v>735</v>
      </c>
      <c r="B32" s="116">
        <v>99</v>
      </c>
      <c r="C32" s="287" t="s">
        <v>906</v>
      </c>
      <c r="D32" s="116"/>
      <c r="E32" s="117"/>
      <c r="F32" s="117">
        <v>0</v>
      </c>
      <c r="G32" s="117">
        <v>0</v>
      </c>
      <c r="H32" s="117">
        <v>0</v>
      </c>
      <c r="I32" s="117">
        <v>0</v>
      </c>
      <c r="J32" s="77"/>
      <c r="K32" s="77"/>
      <c r="L32" s="117"/>
      <c r="M32" s="77"/>
      <c r="N32" s="77"/>
      <c r="O32" s="77"/>
      <c r="P32" s="117"/>
      <c r="Q32" s="77"/>
      <c r="R32" s="77"/>
    </row>
    <row r="33" spans="1:18" ht="15" customHeight="1">
      <c r="A33" s="82"/>
      <c r="B33" s="116"/>
      <c r="C33" s="287"/>
      <c r="D33" s="116"/>
      <c r="E33" s="117"/>
      <c r="F33" s="117"/>
      <c r="G33" s="117"/>
      <c r="H33" s="117"/>
      <c r="I33" s="117"/>
      <c r="J33" s="77"/>
      <c r="K33" s="77"/>
      <c r="L33" s="117"/>
      <c r="M33" s="77"/>
      <c r="N33" s="77"/>
      <c r="O33" s="77"/>
      <c r="P33" s="117"/>
      <c r="Q33" s="77"/>
      <c r="R33" s="77"/>
    </row>
    <row r="34" spans="1:18" ht="15" customHeight="1">
      <c r="A34" s="82"/>
      <c r="B34" s="116"/>
      <c r="C34" s="287"/>
      <c r="D34" s="116"/>
      <c r="E34" s="117"/>
      <c r="F34" s="117"/>
      <c r="G34" s="117"/>
      <c r="H34" s="117"/>
      <c r="I34" s="117"/>
      <c r="J34" s="77"/>
      <c r="K34" s="77"/>
      <c r="L34" s="117"/>
      <c r="M34" s="77"/>
      <c r="N34" s="77"/>
      <c r="O34" s="77"/>
      <c r="P34" s="117"/>
      <c r="Q34" s="77"/>
      <c r="R34" s="77"/>
    </row>
  </sheetData>
  <printOptions/>
  <pageMargins left="0.75" right="0.75" top="0.75" bottom="1" header="0.5" footer="0.5"/>
  <pageSetup horizontalDpi="300" verticalDpi="300" orientation="landscape" scale="85" r:id="rId1"/>
  <headerFooter alignWithMargins="0">
    <oddHeader>&amp;LAVISTA UTILITIES&amp;CRESULTS OF OPERATIONS&amp;RRUN DATE: &amp;D</oddHeader>
    <oddFooter>&amp;CPage &amp;P</oddFooter>
  </headerFooter>
  <ignoredErrors>
    <ignoredError sqref="F9:I26" evalError="1"/>
  </ignoredErrors>
</worksheet>
</file>

<file path=xl/worksheets/sheet22.xml><?xml version="1.0" encoding="utf-8"?>
<worksheet xmlns="http://schemas.openxmlformats.org/spreadsheetml/2006/main" xmlns:r="http://schemas.openxmlformats.org/officeDocument/2006/relationships">
  <sheetPr codeName="Sheet19">
    <pageSetUpPr fitToPage="1"/>
  </sheetPr>
  <dimension ref="A1:R26"/>
  <sheetViews>
    <sheetView workbookViewId="0" topLeftCell="A1">
      <pane xSplit="5" ySplit="6" topLeftCell="F7" activePane="bottomRight" state="frozen"/>
      <selection pane="topLeft" activeCell="H8" sqref="H8"/>
      <selection pane="topRight" activeCell="H8" sqref="H8"/>
      <selection pane="bottomLeft" activeCell="H8" sqref="H8"/>
      <selection pane="bottomRight" activeCell="F7" sqref="F7"/>
    </sheetView>
  </sheetViews>
  <sheetFormatPr defaultColWidth="9.00390625" defaultRowHeight="15" customHeight="1"/>
  <cols>
    <col min="1" max="1" width="9.375" style="84" customWidth="1"/>
    <col min="2" max="2" width="9.625" style="84" bestFit="1" customWidth="1"/>
    <col min="3" max="4" width="15.875" style="84" customWidth="1"/>
    <col min="5" max="14" width="14.875" style="84" customWidth="1"/>
    <col min="15" max="16384" width="9.375" style="84" customWidth="1"/>
  </cols>
  <sheetData>
    <row r="1" spans="1:18" ht="15" customHeight="1">
      <c r="A1" s="82"/>
      <c r="B1" s="83"/>
      <c r="C1" s="77"/>
      <c r="D1" s="77"/>
      <c r="E1" s="77"/>
      <c r="F1" s="77"/>
      <c r="G1" s="77"/>
      <c r="H1" s="77"/>
      <c r="I1" s="77"/>
      <c r="J1" s="77"/>
      <c r="K1" s="77"/>
      <c r="L1" s="77"/>
      <c r="M1" s="77"/>
      <c r="N1" s="77"/>
      <c r="O1" s="77"/>
      <c r="P1" s="77"/>
      <c r="Q1" s="77"/>
      <c r="R1" s="77"/>
    </row>
    <row r="2" spans="1:18" ht="15" customHeight="1">
      <c r="A2" s="85" t="s">
        <v>552</v>
      </c>
      <c r="B2" s="86"/>
      <c r="C2" s="87"/>
      <c r="D2" s="88"/>
      <c r="E2" s="89" t="s">
        <v>725</v>
      </c>
      <c r="F2" s="77"/>
      <c r="G2" s="77"/>
      <c r="H2" s="77"/>
      <c r="I2" s="77"/>
      <c r="J2" s="77"/>
      <c r="K2" s="77"/>
      <c r="L2" s="77"/>
      <c r="M2" s="77"/>
      <c r="N2" s="77"/>
      <c r="R2" s="77"/>
    </row>
    <row r="3" spans="1:18" ht="15" customHeight="1">
      <c r="A3" s="110" t="s">
        <v>553</v>
      </c>
      <c r="B3" s="83"/>
      <c r="D3" s="92"/>
      <c r="E3" s="93" t="str">
        <f>"E-CAM-"&amp;months&amp;rbcalc</f>
        <v>E-CAM-12A</v>
      </c>
      <c r="F3" s="77"/>
      <c r="G3" s="77"/>
      <c r="H3" s="77"/>
      <c r="I3" s="77"/>
      <c r="J3" s="77"/>
      <c r="K3" s="77"/>
      <c r="L3" s="77"/>
      <c r="M3" s="77"/>
      <c r="N3" s="77"/>
      <c r="R3" s="77"/>
    </row>
    <row r="4" spans="1:18" ht="15" customHeight="1">
      <c r="A4" s="91" t="str">
        <f>tp_heading</f>
        <v>For Twelve Months Ended September 30, 2008</v>
      </c>
      <c r="D4" s="92"/>
      <c r="E4" s="291"/>
      <c r="F4" s="77"/>
      <c r="G4" s="77"/>
      <c r="H4" s="77"/>
      <c r="I4" s="77"/>
      <c r="J4" s="77"/>
      <c r="K4" s="77"/>
      <c r="L4" s="77"/>
      <c r="M4" s="77"/>
      <c r="N4" s="77"/>
      <c r="R4" s="77"/>
    </row>
    <row r="5" spans="1:18" ht="15" customHeight="1">
      <c r="A5" s="94" t="str">
        <f>rbcalc_heading</f>
        <v>Average of Monthly Averages Basis</v>
      </c>
      <c r="B5" s="95"/>
      <c r="C5" s="96"/>
      <c r="D5" s="97"/>
      <c r="E5" s="98"/>
      <c r="F5" s="77" t="s">
        <v>921</v>
      </c>
      <c r="G5" s="77"/>
      <c r="H5" s="77"/>
      <c r="I5" s="77" t="s">
        <v>0</v>
      </c>
      <c r="J5" s="77"/>
      <c r="K5" s="77"/>
      <c r="L5" s="363" t="s">
        <v>596</v>
      </c>
      <c r="M5" s="363"/>
      <c r="N5" s="363"/>
      <c r="R5" s="77"/>
    </row>
    <row r="6" spans="1:18" ht="15" customHeight="1">
      <c r="A6" s="292" t="s">
        <v>2</v>
      </c>
      <c r="B6" s="100" t="s">
        <v>815</v>
      </c>
      <c r="C6" s="99" t="s">
        <v>844</v>
      </c>
      <c r="D6" s="96"/>
      <c r="E6" s="97"/>
      <c r="F6" s="99" t="s">
        <v>3</v>
      </c>
      <c r="G6" s="99" t="s">
        <v>4</v>
      </c>
      <c r="H6" s="99" t="s">
        <v>891</v>
      </c>
      <c r="I6" s="99" t="s">
        <v>3</v>
      </c>
      <c r="J6" s="99" t="s">
        <v>4</v>
      </c>
      <c r="K6" s="99" t="s">
        <v>891</v>
      </c>
      <c r="L6" s="99" t="s">
        <v>3</v>
      </c>
      <c r="M6" s="99" t="s">
        <v>4</v>
      </c>
      <c r="N6" s="99" t="s">
        <v>891</v>
      </c>
      <c r="R6" s="77"/>
    </row>
    <row r="7" spans="1:18" ht="15" customHeight="1">
      <c r="A7" s="82"/>
      <c r="B7" s="106"/>
      <c r="F7" s="77"/>
      <c r="G7" s="77"/>
      <c r="H7" s="114"/>
      <c r="I7" s="77"/>
      <c r="J7" s="77"/>
      <c r="K7" s="114"/>
      <c r="L7" s="77"/>
      <c r="M7" s="77"/>
      <c r="N7" s="77"/>
      <c r="R7" s="77"/>
    </row>
    <row r="8" spans="1:11" ht="15" customHeight="1">
      <c r="A8" s="82"/>
      <c r="B8" s="83"/>
      <c r="C8" s="77" t="s">
        <v>522</v>
      </c>
      <c r="F8" s="77"/>
      <c r="G8" s="77"/>
      <c r="H8" s="78"/>
      <c r="K8" s="92"/>
    </row>
    <row r="9" spans="1:14" ht="15" customHeight="1">
      <c r="A9" s="82" t="s">
        <v>751</v>
      </c>
      <c r="B9" s="105">
        <v>303100</v>
      </c>
      <c r="C9" s="77" t="s">
        <v>554</v>
      </c>
      <c r="F9" s="77">
        <f>'Electric Plant'!F12</f>
        <v>0</v>
      </c>
      <c r="G9" s="77">
        <f>'Electric Plant'!G12</f>
        <v>8892168</v>
      </c>
      <c r="H9" s="78">
        <f>+G9+F9</f>
        <v>8892168</v>
      </c>
      <c r="I9" s="77">
        <f>'Electric Plant'!I12</f>
        <v>0</v>
      </c>
      <c r="J9" s="77">
        <f>'Electric Plant'!J12</f>
        <v>5788535</v>
      </c>
      <c r="K9" s="78">
        <f>+J9+I9</f>
        <v>5788535</v>
      </c>
      <c r="L9" s="77">
        <f>'Electric Plant'!L12</f>
        <v>0</v>
      </c>
      <c r="M9" s="77">
        <f>'Electric Plant'!M12</f>
        <v>3103633</v>
      </c>
      <c r="N9" s="77">
        <f>+M9+L9</f>
        <v>3103633</v>
      </c>
    </row>
    <row r="10" spans="1:14" ht="15" customHeight="1">
      <c r="A10" s="82" t="s">
        <v>751</v>
      </c>
      <c r="B10" s="105">
        <v>303110</v>
      </c>
      <c r="C10" s="77" t="s">
        <v>555</v>
      </c>
      <c r="F10" s="77">
        <f>'Electric Plant'!F13</f>
        <v>0</v>
      </c>
      <c r="G10" s="77">
        <f>'Electric Plant'!G13</f>
        <v>8095145</v>
      </c>
      <c r="H10" s="78">
        <f>+G10+F10</f>
        <v>8095145</v>
      </c>
      <c r="I10" s="77">
        <f>'Electric Plant'!I13</f>
        <v>0</v>
      </c>
      <c r="J10" s="77">
        <f>'Electric Plant'!J13</f>
        <v>5269697</v>
      </c>
      <c r="K10" s="78">
        <f>+J10+I10</f>
        <v>5269697</v>
      </c>
      <c r="L10" s="77">
        <f>'Electric Plant'!L13</f>
        <v>0</v>
      </c>
      <c r="M10" s="77">
        <f>'Electric Plant'!M13</f>
        <v>2825448</v>
      </c>
      <c r="N10" s="77">
        <f>+M10+L10</f>
        <v>2825448</v>
      </c>
    </row>
    <row r="11" spans="1:14" ht="15" customHeight="1">
      <c r="A11" s="82" t="s">
        <v>751</v>
      </c>
      <c r="B11" s="105">
        <v>303120</v>
      </c>
      <c r="C11" s="77" t="s">
        <v>556</v>
      </c>
      <c r="F11" s="77">
        <f>'Electric Plant'!F14</f>
        <v>0</v>
      </c>
      <c r="G11" s="77">
        <f>'Electric Plant'!G14</f>
        <v>0</v>
      </c>
      <c r="H11" s="78">
        <f>+G11+F11</f>
        <v>0</v>
      </c>
      <c r="I11" s="77">
        <f>'Electric Plant'!I14</f>
        <v>0</v>
      </c>
      <c r="J11" s="77">
        <f>'Electric Plant'!J14</f>
        <v>0</v>
      </c>
      <c r="K11" s="78">
        <f>+J11+I11</f>
        <v>0</v>
      </c>
      <c r="L11" s="77">
        <f>'Electric Plant'!L14</f>
        <v>0</v>
      </c>
      <c r="M11" s="77">
        <f>'Electric Plant'!M14</f>
        <v>0</v>
      </c>
      <c r="N11" s="77">
        <f>+M11+L11</f>
        <v>0</v>
      </c>
    </row>
    <row r="12" spans="1:14" ht="15" customHeight="1">
      <c r="A12" s="82"/>
      <c r="B12" s="83"/>
      <c r="C12" s="77" t="s">
        <v>557</v>
      </c>
      <c r="F12" s="113">
        <f aca="true" t="shared" si="0" ref="F12:N12">SUM(F9:F11)</f>
        <v>0</v>
      </c>
      <c r="G12" s="113">
        <f t="shared" si="0"/>
        <v>16987313</v>
      </c>
      <c r="H12" s="114">
        <f t="shared" si="0"/>
        <v>16987313</v>
      </c>
      <c r="I12" s="113">
        <f t="shared" si="0"/>
        <v>0</v>
      </c>
      <c r="J12" s="113">
        <f t="shared" si="0"/>
        <v>11058232</v>
      </c>
      <c r="K12" s="114">
        <f t="shared" si="0"/>
        <v>11058232</v>
      </c>
      <c r="L12" s="113">
        <f t="shared" si="0"/>
        <v>0</v>
      </c>
      <c r="M12" s="113">
        <f t="shared" si="0"/>
        <v>5929081</v>
      </c>
      <c r="N12" s="113">
        <f t="shared" si="0"/>
        <v>5929081</v>
      </c>
    </row>
    <row r="13" spans="1:18" ht="15" customHeight="1">
      <c r="A13" s="82"/>
      <c r="B13" s="106"/>
      <c r="C13" s="77" t="s">
        <v>892</v>
      </c>
      <c r="G13" s="117">
        <f>G12/H12</f>
        <v>1</v>
      </c>
      <c r="H13" s="293">
        <v>1</v>
      </c>
      <c r="I13" s="117">
        <f>I12/H12</f>
        <v>0</v>
      </c>
      <c r="K13" s="293"/>
      <c r="L13" s="117">
        <f>L12/H12</f>
        <v>0</v>
      </c>
      <c r="M13" s="117"/>
      <c r="N13" s="117"/>
      <c r="R13" s="77"/>
    </row>
    <row r="14" spans="1:18" ht="15" customHeight="1">
      <c r="A14" s="82"/>
      <c r="B14" s="106"/>
      <c r="C14" s="77"/>
      <c r="F14" s="77"/>
      <c r="G14" s="77"/>
      <c r="H14" s="78"/>
      <c r="I14" s="77"/>
      <c r="J14" s="77"/>
      <c r="K14" s="78"/>
      <c r="L14" s="77"/>
      <c r="M14" s="77"/>
      <c r="N14" s="77"/>
      <c r="R14" s="77"/>
    </row>
    <row r="15" spans="1:18" ht="15" customHeight="1">
      <c r="A15" s="82"/>
      <c r="B15" s="106"/>
      <c r="C15" s="84" t="s">
        <v>526</v>
      </c>
      <c r="F15" s="77"/>
      <c r="G15" s="77"/>
      <c r="H15" s="78"/>
      <c r="I15" s="77"/>
      <c r="J15" s="77"/>
      <c r="K15" s="78"/>
      <c r="L15" s="77"/>
      <c r="M15" s="77"/>
      <c r="N15" s="77"/>
      <c r="R15" s="77"/>
    </row>
    <row r="16" spans="1:18" ht="15" customHeight="1">
      <c r="A16" s="77"/>
      <c r="B16" s="77"/>
      <c r="C16" s="77" t="s">
        <v>527</v>
      </c>
      <c r="D16" s="77"/>
      <c r="E16" s="77"/>
      <c r="F16" s="77"/>
      <c r="G16" s="77"/>
      <c r="H16" s="78"/>
      <c r="I16" s="77"/>
      <c r="J16" s="77"/>
      <c r="K16" s="78"/>
      <c r="L16" s="77"/>
      <c r="M16" s="77"/>
      <c r="N16" s="77"/>
      <c r="R16" s="77"/>
    </row>
    <row r="17" spans="1:18" ht="15" customHeight="1">
      <c r="A17" s="82" t="s">
        <v>782</v>
      </c>
      <c r="B17" s="82">
        <v>111</v>
      </c>
      <c r="C17" s="77" t="s">
        <v>558</v>
      </c>
      <c r="G17" s="77">
        <f>H17*G13</f>
        <v>7153293</v>
      </c>
      <c r="H17" s="78">
        <f>'C-AAM'!G17</f>
        <v>7153293</v>
      </c>
      <c r="I17" s="77">
        <f>H17*I13</f>
        <v>0</v>
      </c>
      <c r="K17" s="78"/>
      <c r="L17" s="77">
        <f>H17-G17-I17</f>
        <v>0</v>
      </c>
      <c r="M17" s="77"/>
      <c r="N17" s="77"/>
      <c r="R17" s="77"/>
    </row>
    <row r="18" spans="1:18" ht="15" customHeight="1">
      <c r="A18" s="82"/>
      <c r="B18" s="106"/>
      <c r="C18" s="77" t="s">
        <v>134</v>
      </c>
      <c r="G18" s="77">
        <f>H18*G13</f>
        <v>3348320</v>
      </c>
      <c r="H18" s="78">
        <f>+Data!H64+Data!H68+'C-AMT'!G12+'C-AMT'!G17+'C-AMT'!G22</f>
        <v>3348320</v>
      </c>
      <c r="I18" s="77">
        <f>H18*I13</f>
        <v>0</v>
      </c>
      <c r="K18" s="78"/>
      <c r="L18" s="77">
        <f>H18-G18-I18</f>
        <v>0</v>
      </c>
      <c r="M18" s="77"/>
      <c r="N18" s="77"/>
      <c r="R18" s="77"/>
    </row>
    <row r="19" spans="1:18" ht="15" customHeight="1">
      <c r="A19" s="82"/>
      <c r="B19" s="106"/>
      <c r="C19" s="77"/>
      <c r="F19" s="77"/>
      <c r="G19" s="77"/>
      <c r="H19" s="78"/>
      <c r="I19" s="77"/>
      <c r="J19" s="77"/>
      <c r="K19" s="78"/>
      <c r="L19" s="77"/>
      <c r="M19" s="77"/>
      <c r="N19" s="77"/>
      <c r="R19" s="77"/>
    </row>
    <row r="20" spans="1:18" ht="15" customHeight="1">
      <c r="A20" s="82"/>
      <c r="B20" s="106"/>
      <c r="C20" s="77" t="s">
        <v>529</v>
      </c>
      <c r="F20" s="77"/>
      <c r="G20" s="77"/>
      <c r="H20" s="78"/>
      <c r="I20" s="77"/>
      <c r="J20" s="77"/>
      <c r="K20" s="78"/>
      <c r="L20" s="77"/>
      <c r="M20" s="77"/>
      <c r="N20" s="77"/>
      <c r="R20" s="77"/>
    </row>
    <row r="21" spans="1:18" ht="15" customHeight="1">
      <c r="A21" s="82">
        <v>4</v>
      </c>
      <c r="B21" s="82">
        <v>111</v>
      </c>
      <c r="C21" s="77" t="s">
        <v>558</v>
      </c>
      <c r="F21" s="77">
        <f>I21+L21</f>
        <v>0</v>
      </c>
      <c r="G21" s="77">
        <f>G17</f>
        <v>7153293</v>
      </c>
      <c r="H21" s="78">
        <f>F21+G21</f>
        <v>7153293</v>
      </c>
      <c r="I21" s="77">
        <f>I17</f>
        <v>0</v>
      </c>
      <c r="J21" s="77">
        <f>G21*VLOOKUP(A21,Allocators,7)</f>
        <v>4656579</v>
      </c>
      <c r="K21" s="78">
        <f>I21+J21</f>
        <v>4656579</v>
      </c>
      <c r="L21" s="77">
        <f>L17</f>
        <v>0</v>
      </c>
      <c r="M21" s="77">
        <f>G21*VLOOKUP(A21,Allocators,8)</f>
        <v>2496714</v>
      </c>
      <c r="N21" s="77">
        <f>L21+M21</f>
        <v>2496714</v>
      </c>
      <c r="R21" s="77"/>
    </row>
    <row r="22" spans="1:18" ht="15" customHeight="1">
      <c r="A22" s="82">
        <v>4</v>
      </c>
      <c r="B22" s="106"/>
      <c r="C22" s="77" t="s">
        <v>134</v>
      </c>
      <c r="F22" s="77">
        <f>I22+L22</f>
        <v>0</v>
      </c>
      <c r="G22" s="77">
        <f>G18</f>
        <v>3348320</v>
      </c>
      <c r="H22" s="78">
        <f>F22+G22</f>
        <v>3348320</v>
      </c>
      <c r="I22" s="77">
        <f>I18</f>
        <v>0</v>
      </c>
      <c r="J22" s="77">
        <f>G22*VLOOKUP(A22,Allocators,7)</f>
        <v>2179656</v>
      </c>
      <c r="K22" s="78">
        <f>I22+J22</f>
        <v>2179656</v>
      </c>
      <c r="L22" s="77">
        <f>L18</f>
        <v>0</v>
      </c>
      <c r="M22" s="77">
        <f>G22*VLOOKUP(A22,Allocators,8)</f>
        <v>1168664</v>
      </c>
      <c r="N22" s="77">
        <f>L22+M22</f>
        <v>1168664</v>
      </c>
      <c r="R22" s="77"/>
    </row>
    <row r="23" spans="1:18" ht="15" customHeight="1">
      <c r="A23" s="77"/>
      <c r="B23" s="77"/>
      <c r="C23" s="77"/>
      <c r="D23" s="77"/>
      <c r="E23" s="77"/>
      <c r="F23" s="77"/>
      <c r="G23" s="77"/>
      <c r="H23" s="77"/>
      <c r="I23" s="77"/>
      <c r="J23" s="77"/>
      <c r="K23" s="77"/>
      <c r="L23" s="77"/>
      <c r="M23" s="77"/>
      <c r="N23" s="77"/>
      <c r="R23" s="77"/>
    </row>
    <row r="24" spans="1:18" ht="15" customHeight="1">
      <c r="A24" s="77" t="s">
        <v>341</v>
      </c>
      <c r="B24" s="83"/>
      <c r="C24" s="77"/>
      <c r="F24" s="77"/>
      <c r="G24" s="77"/>
      <c r="H24" s="77"/>
      <c r="I24" s="77"/>
      <c r="J24" s="77"/>
      <c r="K24" s="77"/>
      <c r="L24" s="77"/>
      <c r="M24" s="77"/>
      <c r="N24" s="77"/>
      <c r="R24" s="77"/>
    </row>
    <row r="25" spans="1:18" ht="15" customHeight="1">
      <c r="A25" s="82" t="s">
        <v>735</v>
      </c>
      <c r="B25" s="116">
        <v>4</v>
      </c>
      <c r="C25" s="77" t="str">
        <f>+'E-ALL'!C18</f>
        <v>Jurisdictional 4-Factor Ratio</v>
      </c>
      <c r="F25" s="77"/>
      <c r="G25" s="117">
        <f>VLOOKUP(B25,Allocators,6)</f>
        <v>1</v>
      </c>
      <c r="H25" s="117"/>
      <c r="I25" s="117"/>
      <c r="J25" s="117">
        <f>VLOOKUP(B25,Allocators,7)</f>
        <v>0.65097</v>
      </c>
      <c r="K25" s="117"/>
      <c r="L25" s="117"/>
      <c r="M25" s="117">
        <f>VLOOKUP(B25,Allocators,8)</f>
        <v>0.34903</v>
      </c>
      <c r="N25" s="117"/>
      <c r="R25" s="77"/>
    </row>
    <row r="26" spans="1:18" ht="15" customHeight="1">
      <c r="A26" s="82"/>
      <c r="B26" s="116"/>
      <c r="C26" s="77"/>
      <c r="F26" s="77"/>
      <c r="G26" s="117"/>
      <c r="H26" s="117"/>
      <c r="I26" s="117"/>
      <c r="J26" s="117"/>
      <c r="K26" s="117"/>
      <c r="L26" s="117"/>
      <c r="M26" s="117"/>
      <c r="N26" s="117"/>
      <c r="O26" s="117"/>
      <c r="P26" s="117"/>
      <c r="R26" s="77"/>
    </row>
  </sheetData>
  <mergeCells count="1">
    <mergeCell ref="L5:N5"/>
  </mergeCells>
  <printOptions/>
  <pageMargins left="0.75" right="0.75" top="0.75" bottom="0.75" header="0.5" footer="0.5"/>
  <pageSetup fitToHeight="1" fitToWidth="1" horizontalDpi="300" verticalDpi="300" orientation="landscape" scale="67" r:id="rId1"/>
  <headerFooter alignWithMargins="0">
    <oddHeader>&amp;LAVISTA UTILITIES&amp;CRESULTS OF OPERATIONS&amp;RRUN DATE: &amp;D</oddHeader>
    <oddFooter>&amp;CPage &amp;P</oddFooter>
  </headerFooter>
  <ignoredErrors>
    <ignoredError sqref="F9:N22" evalError="1"/>
  </ignoredErrors>
</worksheet>
</file>

<file path=xl/worksheets/sheet23.xml><?xml version="1.0" encoding="utf-8"?>
<worksheet xmlns="http://schemas.openxmlformats.org/spreadsheetml/2006/main" xmlns:r="http://schemas.openxmlformats.org/officeDocument/2006/relationships">
  <sheetPr codeName="Sheet20"/>
  <dimension ref="A1:R24"/>
  <sheetViews>
    <sheetView workbookViewId="0" topLeftCell="A1">
      <selection activeCell="I7" sqref="I7"/>
    </sheetView>
  </sheetViews>
  <sheetFormatPr defaultColWidth="9.00390625" defaultRowHeight="15.75" customHeight="1"/>
  <cols>
    <col min="1" max="1" width="9.375" style="4" customWidth="1"/>
    <col min="2" max="2" width="9.875" style="4" customWidth="1"/>
    <col min="3" max="3" width="15.875" style="4" customWidth="1"/>
    <col min="4" max="4" width="16.125" style="4" customWidth="1"/>
    <col min="5" max="5" width="15.875" style="4" customWidth="1"/>
    <col min="6" max="9" width="17.00390625" style="4" customWidth="1"/>
    <col min="10" max="14" width="15.875" style="4" customWidth="1"/>
    <col min="15" max="16384" width="9.375" style="4" customWidth="1"/>
  </cols>
  <sheetData>
    <row r="1" spans="1:18" ht="15.75" customHeight="1">
      <c r="A1" s="1"/>
      <c r="B1" s="29"/>
      <c r="C1" s="3"/>
      <c r="F1" s="3"/>
      <c r="G1" s="30"/>
      <c r="H1" s="30"/>
      <c r="I1" s="30"/>
      <c r="J1" s="30"/>
      <c r="K1" s="30"/>
      <c r="L1" s="30"/>
      <c r="M1" s="30"/>
      <c r="N1" s="30"/>
      <c r="O1" s="30"/>
      <c r="P1" s="30"/>
      <c r="R1" s="3"/>
    </row>
    <row r="2" spans="1:18" ht="15.75" customHeight="1">
      <c r="A2" s="6" t="s">
        <v>559</v>
      </c>
      <c r="B2" s="7"/>
      <c r="C2" s="8"/>
      <c r="D2" s="9"/>
      <c r="E2" s="10" t="s">
        <v>725</v>
      </c>
      <c r="F2" s="3"/>
      <c r="G2" s="3"/>
      <c r="H2" s="3"/>
      <c r="I2" s="3"/>
      <c r="J2" s="30"/>
      <c r="K2" s="30"/>
      <c r="L2" s="30"/>
      <c r="M2" s="30"/>
      <c r="N2" s="30"/>
      <c r="O2" s="30"/>
      <c r="P2" s="30"/>
      <c r="R2" s="3"/>
    </row>
    <row r="3" spans="1:18" ht="15.75" customHeight="1">
      <c r="A3" s="11" t="s">
        <v>562</v>
      </c>
      <c r="B3" s="2"/>
      <c r="D3" s="12"/>
      <c r="E3" s="13" t="str">
        <f>"C-DTX-"&amp;months&amp;rbcalc</f>
        <v>C-DTX-12A</v>
      </c>
      <c r="F3" s="3"/>
      <c r="G3" s="3"/>
      <c r="H3" s="3"/>
      <c r="I3" s="3"/>
      <c r="J3" s="30"/>
      <c r="K3" s="30"/>
      <c r="L3" s="30"/>
      <c r="M3" s="30"/>
      <c r="N3" s="30"/>
      <c r="O3" s="30"/>
      <c r="P3" s="30"/>
      <c r="R3" s="3"/>
    </row>
    <row r="4" spans="1:18" ht="15.75" customHeight="1">
      <c r="A4" s="14" t="str">
        <f>tp_heading</f>
        <v>For Twelve Months Ended September 30, 2008</v>
      </c>
      <c r="D4" s="12"/>
      <c r="E4" s="15"/>
      <c r="F4" s="3"/>
      <c r="G4" s="3"/>
      <c r="H4" s="3"/>
      <c r="I4" s="3"/>
      <c r="J4" s="30"/>
      <c r="K4" s="30"/>
      <c r="L4" s="30"/>
      <c r="M4" s="30"/>
      <c r="N4" s="30"/>
      <c r="O4" s="30"/>
      <c r="P4" s="30"/>
      <c r="R4" s="3"/>
    </row>
    <row r="5" spans="1:18" ht="15.75" customHeight="1">
      <c r="A5" s="16" t="str">
        <f>rbcalc_heading</f>
        <v>Average of Monthly Averages Basis</v>
      </c>
      <c r="B5" s="17"/>
      <c r="C5" s="18"/>
      <c r="D5" s="19"/>
      <c r="E5" s="20"/>
      <c r="F5" s="1"/>
      <c r="G5" s="1"/>
      <c r="H5" s="1"/>
      <c r="I5" s="1"/>
      <c r="J5" s="30"/>
      <c r="K5" s="30"/>
      <c r="L5" s="30"/>
      <c r="M5" s="30"/>
      <c r="N5" s="30"/>
      <c r="O5" s="30"/>
      <c r="P5" s="30"/>
      <c r="R5" s="3"/>
    </row>
    <row r="6" spans="1:18" ht="15.75" customHeight="1">
      <c r="A6" s="21" t="s">
        <v>2</v>
      </c>
      <c r="B6" s="22" t="s">
        <v>815</v>
      </c>
      <c r="C6" s="21" t="s">
        <v>844</v>
      </c>
      <c r="D6" s="18"/>
      <c r="E6" s="18"/>
      <c r="F6" s="21" t="s">
        <v>891</v>
      </c>
      <c r="G6" s="21" t="s">
        <v>897</v>
      </c>
      <c r="H6" s="21" t="s">
        <v>244</v>
      </c>
      <c r="I6" s="21" t="s">
        <v>246</v>
      </c>
      <c r="J6" s="30"/>
      <c r="K6" s="30"/>
      <c r="L6" s="30"/>
      <c r="M6" s="30"/>
      <c r="N6" s="30"/>
      <c r="O6" s="30"/>
      <c r="P6" s="30"/>
      <c r="R6" s="3"/>
    </row>
    <row r="7" spans="1:18" ht="15.75" customHeight="1">
      <c r="A7" s="1"/>
      <c r="B7" s="2"/>
      <c r="F7" s="3"/>
      <c r="G7" s="3"/>
      <c r="H7" s="3"/>
      <c r="J7" s="30"/>
      <c r="K7" s="30"/>
      <c r="L7" s="30"/>
      <c r="M7" s="30"/>
      <c r="N7" s="30"/>
      <c r="O7" s="30"/>
      <c r="P7" s="30"/>
      <c r="R7" s="3"/>
    </row>
    <row r="8" spans="1:18" ht="15.75" customHeight="1">
      <c r="A8" s="1"/>
      <c r="B8" s="39"/>
      <c r="C8" s="3" t="s">
        <v>563</v>
      </c>
      <c r="F8" s="3"/>
      <c r="G8" s="3"/>
      <c r="H8" s="3"/>
      <c r="J8" s="30"/>
      <c r="K8" s="30"/>
      <c r="L8" s="30"/>
      <c r="M8" s="30"/>
      <c r="N8" s="30"/>
      <c r="O8" s="30"/>
      <c r="P8" s="30"/>
      <c r="R8" s="3"/>
    </row>
    <row r="9" spans="1:18" ht="15.75" customHeight="1">
      <c r="A9" s="1">
        <v>7</v>
      </c>
      <c r="B9" s="24">
        <v>282900</v>
      </c>
      <c r="C9" s="3" t="s">
        <v>509</v>
      </c>
      <c r="F9" s="26">
        <f>+Data!H567</f>
        <v>-9338525</v>
      </c>
      <c r="G9" s="3">
        <f>$F9*VLOOKUP($A9,Allocators,7)</f>
        <v>-6720003</v>
      </c>
      <c r="H9" s="3">
        <f>$F9*VLOOKUP($A9,Allocators,8)</f>
        <v>-1791129</v>
      </c>
      <c r="I9" s="3">
        <f>$F9*VLOOKUP($A9,Allocators,9)</f>
        <v>-827393</v>
      </c>
      <c r="J9" s="30"/>
      <c r="K9" s="30"/>
      <c r="L9" s="30"/>
      <c r="M9" s="30"/>
      <c r="N9" s="30"/>
      <c r="O9" s="30"/>
      <c r="P9" s="30"/>
      <c r="R9" s="3"/>
    </row>
    <row r="10" spans="1:18" ht="15.75" customHeight="1">
      <c r="A10" s="1">
        <v>8</v>
      </c>
      <c r="B10" s="24">
        <v>282900</v>
      </c>
      <c r="C10" s="3" t="s">
        <v>510</v>
      </c>
      <c r="F10" s="26">
        <f>+Data!H568</f>
        <v>0</v>
      </c>
      <c r="G10" s="3">
        <f>$F10*VLOOKUP($A10,Allocators,7)</f>
        <v>0</v>
      </c>
      <c r="H10" s="3">
        <f>$F10*VLOOKUP($A10,Allocators,8)</f>
        <v>0</v>
      </c>
      <c r="I10" s="3">
        <f>$F10*VLOOKUP($A10,Allocators,9)</f>
        <v>0</v>
      </c>
      <c r="J10" s="30"/>
      <c r="K10" s="30"/>
      <c r="L10" s="30"/>
      <c r="M10" s="30"/>
      <c r="N10" s="30"/>
      <c r="O10" s="30"/>
      <c r="P10" s="30"/>
      <c r="R10" s="3"/>
    </row>
    <row r="11" spans="1:18" ht="15.75" customHeight="1">
      <c r="A11" s="1">
        <v>9</v>
      </c>
      <c r="B11" s="24">
        <v>282900</v>
      </c>
      <c r="C11" s="3" t="s">
        <v>543</v>
      </c>
      <c r="F11" s="26">
        <f>+Data!H569</f>
        <v>-1531264</v>
      </c>
      <c r="G11" s="3">
        <f>$F11*VLOOKUP($A11,Allocators,7)</f>
        <v>-1211567</v>
      </c>
      <c r="H11" s="3">
        <f>$F11*VLOOKUP($A11,Allocators,8)</f>
        <v>-319697</v>
      </c>
      <c r="I11" s="3">
        <f>$F11*VLOOKUP($A11,Allocators,9)</f>
        <v>0</v>
      </c>
      <c r="J11" s="30"/>
      <c r="K11" s="30"/>
      <c r="L11" s="30"/>
      <c r="M11" s="30"/>
      <c r="N11" s="30"/>
      <c r="O11" s="30"/>
      <c r="P11" s="30"/>
      <c r="R11" s="3"/>
    </row>
    <row r="12" spans="1:18" ht="15.75" customHeight="1" thickBot="1">
      <c r="A12" s="1"/>
      <c r="B12" s="1"/>
      <c r="C12" s="3" t="s">
        <v>891</v>
      </c>
      <c r="F12" s="34">
        <f>SUM(F9:F11)</f>
        <v>-10869789</v>
      </c>
      <c r="G12" s="34">
        <f>SUM(G9:G11)</f>
        <v>-7931570</v>
      </c>
      <c r="H12" s="34">
        <f>SUM(H9:H11)</f>
        <v>-2110826</v>
      </c>
      <c r="I12" s="34">
        <f>SUM(I9:I11)</f>
        <v>-827393</v>
      </c>
      <c r="J12" s="30"/>
      <c r="K12" s="30"/>
      <c r="L12" s="30"/>
      <c r="M12" s="30"/>
      <c r="N12" s="30"/>
      <c r="O12" s="30"/>
      <c r="P12" s="30"/>
      <c r="R12" s="3"/>
    </row>
    <row r="13" spans="1:18" ht="15.75" customHeight="1" thickTop="1">
      <c r="A13" s="1"/>
      <c r="B13" s="1"/>
      <c r="C13" s="3"/>
      <c r="F13" s="26"/>
      <c r="G13" s="26"/>
      <c r="H13" s="26"/>
      <c r="I13" s="26"/>
      <c r="J13" s="30"/>
      <c r="K13" s="30"/>
      <c r="L13" s="30"/>
      <c r="M13" s="30"/>
      <c r="N13" s="30"/>
      <c r="O13" s="30"/>
      <c r="P13" s="30"/>
      <c r="R13" s="3"/>
    </row>
    <row r="14" spans="1:18" ht="15.75" customHeight="1">
      <c r="A14" s="1"/>
      <c r="B14" s="1"/>
      <c r="C14" s="3"/>
      <c r="F14" s="26"/>
      <c r="G14" s="26"/>
      <c r="H14" s="26"/>
      <c r="I14" s="26"/>
      <c r="J14" s="30"/>
      <c r="K14" s="30"/>
      <c r="L14" s="30"/>
      <c r="M14" s="30"/>
      <c r="N14" s="30"/>
      <c r="O14" s="30"/>
      <c r="P14" s="30"/>
      <c r="R14" s="3"/>
    </row>
    <row r="15" spans="1:18" ht="15.75" customHeight="1">
      <c r="A15" s="1"/>
      <c r="B15" s="2"/>
      <c r="C15" s="3"/>
      <c r="D15" s="3"/>
      <c r="E15" s="3"/>
      <c r="F15" s="3"/>
      <c r="G15" s="3"/>
      <c r="H15" s="3"/>
      <c r="I15" s="3"/>
      <c r="J15" s="30"/>
      <c r="K15" s="30"/>
      <c r="L15" s="30"/>
      <c r="M15" s="30"/>
      <c r="N15" s="30"/>
      <c r="O15" s="30"/>
      <c r="P15" s="30"/>
      <c r="R15" s="3"/>
    </row>
    <row r="16" spans="1:18" ht="15.75" customHeight="1">
      <c r="A16" s="1"/>
      <c r="B16" s="2"/>
      <c r="C16" s="3"/>
      <c r="D16" s="3"/>
      <c r="E16" s="3"/>
      <c r="F16" s="3"/>
      <c r="G16" s="3"/>
      <c r="H16" s="3"/>
      <c r="I16" s="3"/>
      <c r="J16" s="30"/>
      <c r="K16" s="30"/>
      <c r="L16" s="30"/>
      <c r="M16" s="30"/>
      <c r="N16" s="30"/>
      <c r="O16" s="30"/>
      <c r="P16" s="30"/>
      <c r="R16" s="3"/>
    </row>
    <row r="17" spans="1:18" ht="15.75" customHeight="1">
      <c r="A17" s="3" t="s">
        <v>341</v>
      </c>
      <c r="B17" s="36"/>
      <c r="C17" s="29"/>
      <c r="D17" s="29"/>
      <c r="E17" s="37"/>
      <c r="F17" s="30"/>
      <c r="G17" s="30"/>
      <c r="H17" s="30"/>
      <c r="I17" s="30"/>
      <c r="J17" s="30"/>
      <c r="K17" s="30"/>
      <c r="L17" s="30"/>
      <c r="M17" s="30"/>
      <c r="N17" s="30"/>
      <c r="O17" s="30"/>
      <c r="P17" s="30"/>
      <c r="R17" s="3"/>
    </row>
    <row r="18" spans="1:18" ht="15.75" customHeight="1">
      <c r="A18" s="1" t="s">
        <v>735</v>
      </c>
      <c r="B18" s="29">
        <v>7</v>
      </c>
      <c r="C18" s="38" t="str">
        <f>+'E-ALL'!C39</f>
        <v>Elec/Gas North/Oregon 4-Factor</v>
      </c>
      <c r="D18" s="29"/>
      <c r="E18" s="30"/>
      <c r="F18" s="30">
        <f>VLOOKUP($B18,Allocators,6)</f>
        <v>1</v>
      </c>
      <c r="G18" s="30">
        <f>VLOOKUP($B18,Allocators,7)</f>
        <v>0.7196</v>
      </c>
      <c r="H18" s="30">
        <f>VLOOKUP($B18,Allocators,8)</f>
        <v>0.1918</v>
      </c>
      <c r="I18" s="30">
        <f>VLOOKUP($B18,Allocators,9)</f>
        <v>0.0886</v>
      </c>
      <c r="J18" s="30"/>
      <c r="K18" s="30"/>
      <c r="L18" s="30"/>
      <c r="M18" s="30"/>
      <c r="N18" s="30"/>
      <c r="O18" s="30"/>
      <c r="P18" s="30"/>
      <c r="R18" s="3"/>
    </row>
    <row r="19" spans="1:18" ht="15.75" customHeight="1">
      <c r="A19" s="1" t="s">
        <v>735</v>
      </c>
      <c r="B19" s="29">
        <v>8</v>
      </c>
      <c r="C19" s="38" t="str">
        <f>+'E-ALL'!C62</f>
        <v>Gas North/Oregon 4-Factor</v>
      </c>
      <c r="D19" s="29"/>
      <c r="E19" s="30"/>
      <c r="F19" s="30">
        <f>VLOOKUP($B19,Allocators,6)</f>
        <v>1</v>
      </c>
      <c r="G19" s="30">
        <f>VLOOKUP($B19,Allocators,7)</f>
        <v>0</v>
      </c>
      <c r="H19" s="30">
        <f>VLOOKUP($B19,Allocators,8)</f>
        <v>0.68157</v>
      </c>
      <c r="I19" s="30">
        <f>VLOOKUP($B19,Allocators,9)</f>
        <v>0.31843</v>
      </c>
      <c r="J19" s="30"/>
      <c r="K19" s="30"/>
      <c r="L19" s="30"/>
      <c r="M19" s="30"/>
      <c r="N19" s="30"/>
      <c r="O19" s="30"/>
      <c r="P19" s="30"/>
      <c r="R19" s="3"/>
    </row>
    <row r="20" spans="1:18" ht="15.75" customHeight="1">
      <c r="A20" s="1" t="s">
        <v>735</v>
      </c>
      <c r="B20" s="29">
        <v>9</v>
      </c>
      <c r="C20" s="38" t="str">
        <f>+'E-ALL'!C85</f>
        <v>Elec/Gas North 4-Factor</v>
      </c>
      <c r="D20" s="29"/>
      <c r="E20" s="30"/>
      <c r="F20" s="30">
        <f>VLOOKUP($B20,Allocators,6)</f>
        <v>1</v>
      </c>
      <c r="G20" s="30">
        <f>VLOOKUP($B20,Allocators,7)</f>
        <v>0.79122</v>
      </c>
      <c r="H20" s="30">
        <f>VLOOKUP($B20,Allocators,8)</f>
        <v>0.20878</v>
      </c>
      <c r="I20" s="30">
        <f>VLOOKUP($B20,Allocators,9)</f>
        <v>0</v>
      </c>
      <c r="J20" s="30"/>
      <c r="K20" s="30"/>
      <c r="L20" s="30"/>
      <c r="M20" s="30"/>
      <c r="N20" s="30"/>
      <c r="O20" s="30"/>
      <c r="P20" s="30"/>
      <c r="R20" s="3"/>
    </row>
    <row r="21" spans="1:18" ht="15.75" customHeight="1">
      <c r="A21" s="1" t="s">
        <v>735</v>
      </c>
      <c r="B21" s="29">
        <v>99</v>
      </c>
      <c r="C21" s="38" t="s">
        <v>906</v>
      </c>
      <c r="D21" s="29"/>
      <c r="E21" s="30"/>
      <c r="F21" s="30">
        <v>0</v>
      </c>
      <c r="G21" s="30">
        <v>0</v>
      </c>
      <c r="H21" s="30">
        <v>0</v>
      </c>
      <c r="I21" s="30">
        <v>0</v>
      </c>
      <c r="J21" s="30"/>
      <c r="K21" s="30"/>
      <c r="L21" s="30"/>
      <c r="M21" s="30"/>
      <c r="N21" s="30"/>
      <c r="O21" s="30"/>
      <c r="P21" s="30"/>
      <c r="R21" s="3"/>
    </row>
    <row r="22" spans="1:18" ht="15.75" customHeight="1">
      <c r="A22" s="1"/>
      <c r="B22" s="29"/>
      <c r="C22" s="38"/>
      <c r="D22" s="29"/>
      <c r="E22" s="30"/>
      <c r="F22" s="30"/>
      <c r="G22" s="30"/>
      <c r="H22" s="30"/>
      <c r="I22" s="30"/>
      <c r="J22" s="30"/>
      <c r="K22" s="30"/>
      <c r="L22" s="30"/>
      <c r="M22" s="30"/>
      <c r="N22" s="30"/>
      <c r="O22" s="30"/>
      <c r="P22" s="30"/>
      <c r="R22" s="3"/>
    </row>
    <row r="23" spans="1:18" ht="15.75" customHeight="1">
      <c r="A23" s="1"/>
      <c r="B23" s="2"/>
      <c r="C23" s="3"/>
      <c r="D23" s="3"/>
      <c r="E23" s="3"/>
      <c r="F23" s="3"/>
      <c r="G23" s="3"/>
      <c r="H23" s="3"/>
      <c r="I23" s="3"/>
      <c r="J23" s="30"/>
      <c r="K23" s="30"/>
      <c r="L23" s="30"/>
      <c r="M23" s="30"/>
      <c r="N23" s="30"/>
      <c r="O23" s="30"/>
      <c r="P23" s="30"/>
      <c r="R23" s="3"/>
    </row>
    <row r="24" spans="1:18" ht="15.75" customHeight="1">
      <c r="A24" s="1"/>
      <c r="B24" s="29"/>
      <c r="C24" s="38"/>
      <c r="D24" s="29"/>
      <c r="E24" s="30"/>
      <c r="F24" s="30"/>
      <c r="G24" s="30"/>
      <c r="H24" s="30"/>
      <c r="I24" s="30"/>
      <c r="J24" s="30"/>
      <c r="K24" s="30"/>
      <c r="L24" s="30"/>
      <c r="M24" s="30"/>
      <c r="N24" s="30"/>
      <c r="O24" s="30"/>
      <c r="P24" s="30"/>
      <c r="R24" s="3"/>
    </row>
  </sheetData>
  <printOptions/>
  <pageMargins left="0.75" right="0.75" top="0.75" bottom="1" header="0.5" footer="0.5"/>
  <pageSetup horizontalDpi="300" verticalDpi="300" orientation="landscape" scale="85" r:id="rId1"/>
  <headerFooter alignWithMargins="0">
    <oddHeader>&amp;LAVISTA UTILITIES&amp;CRESULTS OF OPERATIONS&amp;RRUN DATE: &amp;D</oddHeader>
    <oddFooter>&amp;CPage &amp;P</oddFooter>
  </headerFooter>
  <ignoredErrors>
    <ignoredError sqref="F9:I12" evalError="1"/>
  </ignoredErrors>
</worksheet>
</file>

<file path=xl/worksheets/sheet24.xml><?xml version="1.0" encoding="utf-8"?>
<worksheet xmlns="http://schemas.openxmlformats.org/spreadsheetml/2006/main" xmlns:r="http://schemas.openxmlformats.org/officeDocument/2006/relationships">
  <sheetPr codeName="Sheet21"/>
  <dimension ref="A1:R25"/>
  <sheetViews>
    <sheetView workbookViewId="0" topLeftCell="A1">
      <selection activeCell="G9" sqref="G9"/>
    </sheetView>
  </sheetViews>
  <sheetFormatPr defaultColWidth="9.00390625" defaultRowHeight="15.75" customHeight="1"/>
  <cols>
    <col min="1" max="1" width="9.375" style="4" customWidth="1"/>
    <col min="2" max="2" width="9.875" style="4" customWidth="1"/>
    <col min="3" max="3" width="16.625" style="4" customWidth="1"/>
    <col min="4" max="4" width="27.875" style="4" customWidth="1"/>
    <col min="5" max="5" width="15.875" style="4" customWidth="1"/>
    <col min="6" max="8" width="17.00390625" style="4" customWidth="1"/>
    <col min="9" max="14" width="15.875" style="4" customWidth="1"/>
    <col min="15" max="16384" width="9.375" style="4" customWidth="1"/>
  </cols>
  <sheetData>
    <row r="1" spans="1:18" ht="15.75" customHeight="1">
      <c r="A1" s="3"/>
      <c r="B1" s="3"/>
      <c r="C1" s="3"/>
      <c r="D1" s="3"/>
      <c r="E1" s="3"/>
      <c r="F1" s="3"/>
      <c r="G1" s="3"/>
      <c r="H1" s="3"/>
      <c r="I1" s="3"/>
      <c r="J1" s="3"/>
      <c r="K1" s="3"/>
      <c r="L1" s="3"/>
      <c r="M1" s="3"/>
      <c r="N1" s="3"/>
      <c r="O1" s="3"/>
      <c r="P1" s="3"/>
      <c r="Q1" s="3"/>
      <c r="R1" s="3"/>
    </row>
    <row r="2" spans="1:18" ht="15.75" customHeight="1">
      <c r="A2" s="6" t="s">
        <v>564</v>
      </c>
      <c r="B2" s="7"/>
      <c r="C2" s="8"/>
      <c r="D2" s="9"/>
      <c r="E2" s="10" t="s">
        <v>725</v>
      </c>
      <c r="F2" s="3"/>
      <c r="G2" s="3"/>
      <c r="H2" s="3"/>
      <c r="I2" s="3"/>
      <c r="J2" s="3"/>
      <c r="K2" s="3"/>
      <c r="L2" s="3"/>
      <c r="M2" s="3"/>
      <c r="N2" s="3"/>
      <c r="O2" s="3"/>
      <c r="P2" s="3"/>
      <c r="Q2" s="3"/>
      <c r="R2" s="3"/>
    </row>
    <row r="3" spans="1:18" ht="15.75" customHeight="1">
      <c r="A3" s="14" t="str">
        <f>tp_heading</f>
        <v>For Twelve Months Ended September 30, 2008</v>
      </c>
      <c r="B3" s="2"/>
      <c r="D3" s="12"/>
      <c r="E3" s="13" t="str">
        <f>"E-ROR-"&amp;months&amp;rbcalc</f>
        <v>E-ROR-12A</v>
      </c>
      <c r="F3" s="3"/>
      <c r="G3" s="3"/>
      <c r="H3" s="3"/>
      <c r="I3" s="3"/>
      <c r="J3" s="3"/>
      <c r="K3" s="3"/>
      <c r="L3" s="3"/>
      <c r="M3" s="3"/>
      <c r="N3" s="3"/>
      <c r="O3" s="3"/>
      <c r="P3" s="3"/>
      <c r="Q3" s="3"/>
      <c r="R3" s="3"/>
    </row>
    <row r="4" spans="1:18" ht="15.75" customHeight="1">
      <c r="A4" s="16" t="str">
        <f>rbcalc_heading</f>
        <v>Average of Monthly Averages Basis</v>
      </c>
      <c r="B4" s="17"/>
      <c r="C4" s="18"/>
      <c r="D4" s="19"/>
      <c r="E4" s="20"/>
      <c r="F4" s="3"/>
      <c r="G4" s="3"/>
      <c r="H4" s="3"/>
      <c r="I4" s="3"/>
      <c r="J4" s="3"/>
      <c r="K4" s="3"/>
      <c r="L4" s="3"/>
      <c r="M4" s="3"/>
      <c r="N4" s="3"/>
      <c r="O4" s="3"/>
      <c r="P4" s="3"/>
      <c r="Q4" s="3"/>
      <c r="R4" s="3"/>
    </row>
    <row r="5" spans="1:18" ht="15.75" customHeight="1">
      <c r="A5" s="21" t="s">
        <v>2</v>
      </c>
      <c r="B5" s="22" t="s">
        <v>815</v>
      </c>
      <c r="C5" s="21" t="s">
        <v>844</v>
      </c>
      <c r="D5" s="18"/>
      <c r="E5" s="18"/>
      <c r="F5" s="21" t="s">
        <v>878</v>
      </c>
      <c r="G5" s="21" t="s">
        <v>861</v>
      </c>
      <c r="H5" s="21" t="s">
        <v>862</v>
      </c>
      <c r="J5" s="3"/>
      <c r="K5" s="3"/>
      <c r="L5" s="3"/>
      <c r="M5" s="3"/>
      <c r="N5" s="3"/>
      <c r="O5" s="3"/>
      <c r="P5" s="3"/>
      <c r="Q5" s="3"/>
      <c r="R5" s="3"/>
    </row>
    <row r="6" spans="1:18" ht="15.75" customHeight="1">
      <c r="A6" s="1"/>
      <c r="B6" s="2"/>
      <c r="C6" s="3"/>
      <c r="F6" s="3"/>
      <c r="G6" s="3"/>
      <c r="H6" s="3"/>
      <c r="J6" s="3"/>
      <c r="K6" s="3"/>
      <c r="L6" s="3"/>
      <c r="M6" s="3"/>
      <c r="N6" s="3"/>
      <c r="O6" s="3"/>
      <c r="P6" s="3"/>
      <c r="Q6" s="3"/>
      <c r="R6" s="3"/>
    </row>
    <row r="7" spans="1:18" ht="15.75" customHeight="1">
      <c r="A7" s="32" t="s">
        <v>737</v>
      </c>
      <c r="B7" s="25"/>
      <c r="C7" s="3" t="s">
        <v>565</v>
      </c>
      <c r="F7" s="3">
        <f>'Electric Operations - IS'!H201</f>
        <v>110850755</v>
      </c>
      <c r="G7" s="3">
        <f>'Electric Operations - IS'!K201</f>
        <v>68537568</v>
      </c>
      <c r="H7" s="26">
        <f>'Electric Operations - IS'!N201</f>
        <v>42313187</v>
      </c>
      <c r="J7" s="3"/>
      <c r="K7" s="3"/>
      <c r="L7" s="3"/>
      <c r="M7" s="3"/>
      <c r="N7" s="3"/>
      <c r="O7" s="3"/>
      <c r="P7" s="3"/>
      <c r="Q7" s="3"/>
      <c r="R7" s="3"/>
    </row>
    <row r="8" spans="1:18" ht="15.75" customHeight="1">
      <c r="A8" s="32"/>
      <c r="B8" s="25"/>
      <c r="C8" s="3"/>
      <c r="F8" s="3"/>
      <c r="G8" s="3"/>
      <c r="H8" s="26"/>
      <c r="J8" s="3"/>
      <c r="K8" s="3"/>
      <c r="L8" s="3"/>
      <c r="M8" s="3"/>
      <c r="N8" s="3"/>
      <c r="O8" s="3"/>
      <c r="P8" s="3"/>
      <c r="Q8" s="3"/>
      <c r="R8" s="3"/>
    </row>
    <row r="9" spans="1:18" ht="15.75" customHeight="1">
      <c r="A9" s="32" t="s">
        <v>735</v>
      </c>
      <c r="B9" s="25"/>
      <c r="C9" s="3" t="s">
        <v>566</v>
      </c>
      <c r="D9" s="3"/>
      <c r="E9" s="3"/>
      <c r="F9" s="3">
        <f>G9+H9</f>
        <v>0</v>
      </c>
      <c r="G9" s="3">
        <f>'E-ALL'!G145</f>
        <v>-201909</v>
      </c>
      <c r="H9" s="26">
        <f>'E-ALL'!H145</f>
        <v>201909</v>
      </c>
      <c r="J9" s="3"/>
      <c r="K9" s="3"/>
      <c r="L9" s="3"/>
      <c r="M9" s="3"/>
      <c r="N9" s="3"/>
      <c r="O9" s="3"/>
      <c r="P9" s="3"/>
      <c r="Q9" s="3"/>
      <c r="R9" s="3"/>
    </row>
    <row r="10" spans="2:18" ht="15.75" customHeight="1">
      <c r="B10" s="25"/>
      <c r="F10" s="3"/>
      <c r="G10" s="3"/>
      <c r="H10" s="26"/>
      <c r="J10" s="3"/>
      <c r="K10" s="3"/>
      <c r="L10" s="3"/>
      <c r="M10" s="3"/>
      <c r="N10" s="3"/>
      <c r="O10" s="3"/>
      <c r="P10" s="3"/>
      <c r="Q10" s="3"/>
      <c r="R10" s="3"/>
    </row>
    <row r="11" spans="1:18" ht="15.75" customHeight="1">
      <c r="A11" s="32"/>
      <c r="B11" s="25"/>
      <c r="C11" s="3" t="s">
        <v>567</v>
      </c>
      <c r="D11" s="3"/>
      <c r="E11" s="3"/>
      <c r="F11" s="35">
        <f>SUM(F7:F10)</f>
        <v>110850755</v>
      </c>
      <c r="G11" s="35">
        <f>SUM(G7:G10)</f>
        <v>68335659</v>
      </c>
      <c r="H11" s="35">
        <f>SUM(H7:H10)</f>
        <v>42515096</v>
      </c>
      <c r="J11" s="3"/>
      <c r="K11" s="3"/>
      <c r="L11" s="3"/>
      <c r="M11" s="3"/>
      <c r="N11" s="3"/>
      <c r="O11" s="3"/>
      <c r="P11" s="3"/>
      <c r="Q11" s="3"/>
      <c r="R11" s="3"/>
    </row>
    <row r="12" spans="1:18" ht="15.75" customHeight="1">
      <c r="A12" s="1"/>
      <c r="B12" s="2"/>
      <c r="C12" s="3"/>
      <c r="D12" s="3"/>
      <c r="E12" s="3"/>
      <c r="F12" s="3"/>
      <c r="G12" s="3"/>
      <c r="H12" s="3" t="str">
        <f>IF(H11+G11-F11=0," ","ERROR")</f>
        <v> </v>
      </c>
      <c r="J12" s="3"/>
      <c r="K12" s="3"/>
      <c r="L12" s="3"/>
      <c r="M12" s="3"/>
      <c r="N12" s="3"/>
      <c r="O12" s="3"/>
      <c r="P12" s="3"/>
      <c r="Q12" s="3"/>
      <c r="R12" s="3"/>
    </row>
    <row r="13" spans="1:18" ht="15.75" customHeight="1">
      <c r="A13" s="1" t="s">
        <v>772</v>
      </c>
      <c r="B13" s="2"/>
      <c r="C13" s="3" t="s">
        <v>617</v>
      </c>
      <c r="D13" s="3"/>
      <c r="E13" s="3"/>
      <c r="F13" s="26">
        <f>'E-APL'!H36</f>
        <v>1461760749</v>
      </c>
      <c r="G13" s="26">
        <f>'E-APL'!K36</f>
        <v>934538717</v>
      </c>
      <c r="H13" s="26">
        <f>'E-APL'!N36</f>
        <v>527222032</v>
      </c>
      <c r="I13" s="3" t="str">
        <f>IF(H13+G13-F13=0," ","ERROR")</f>
        <v> </v>
      </c>
      <c r="J13" s="3"/>
      <c r="K13" s="3"/>
      <c r="L13" s="3"/>
      <c r="M13" s="3"/>
      <c r="N13" s="3"/>
      <c r="O13" s="3"/>
      <c r="P13" s="3"/>
      <c r="Q13" s="3"/>
      <c r="R13" s="3"/>
    </row>
    <row r="14" spans="1:18" ht="15.75" customHeight="1">
      <c r="A14" s="1"/>
      <c r="B14" s="2"/>
      <c r="C14" s="3"/>
      <c r="D14" s="3"/>
      <c r="E14" s="3"/>
      <c r="F14" s="3"/>
      <c r="G14" s="3"/>
      <c r="H14" s="26"/>
      <c r="J14" s="3"/>
      <c r="K14" s="3"/>
      <c r="L14" s="3"/>
      <c r="M14" s="3"/>
      <c r="N14" s="3"/>
      <c r="O14" s="3"/>
      <c r="P14" s="3"/>
      <c r="Q14" s="3"/>
      <c r="R14" s="3"/>
    </row>
    <row r="15" spans="1:18" ht="15.75" customHeight="1" thickBot="1">
      <c r="A15" s="1"/>
      <c r="B15" s="2"/>
      <c r="C15" s="3" t="s">
        <v>569</v>
      </c>
      <c r="D15" s="3"/>
      <c r="E15" s="3"/>
      <c r="F15" s="33">
        <f>ROUND(F11/F13,5)</f>
        <v>0.07583</v>
      </c>
      <c r="G15" s="33">
        <f>ROUND(G11/G13,5)</f>
        <v>0.07312</v>
      </c>
      <c r="H15" s="33">
        <f>ROUND(H11/H13,5)</f>
        <v>0.08064</v>
      </c>
      <c r="J15" s="3"/>
      <c r="K15" s="3"/>
      <c r="L15" s="3"/>
      <c r="M15" s="3"/>
      <c r="N15" s="3"/>
      <c r="O15" s="3"/>
      <c r="P15" s="3"/>
      <c r="Q15" s="3"/>
      <c r="R15" s="3"/>
    </row>
    <row r="16" spans="1:18" ht="15.75" customHeight="1" thickTop="1">
      <c r="A16" s="3"/>
      <c r="B16" s="2"/>
      <c r="C16" s="3"/>
      <c r="D16" s="3"/>
      <c r="E16" s="3"/>
      <c r="F16" s="30"/>
      <c r="G16" s="30"/>
      <c r="H16" s="30"/>
      <c r="I16" s="30"/>
      <c r="J16" s="3"/>
      <c r="K16" s="3"/>
      <c r="L16" s="3"/>
      <c r="M16" s="3"/>
      <c r="N16" s="3"/>
      <c r="O16" s="3"/>
      <c r="P16" s="3"/>
      <c r="Q16" s="3"/>
      <c r="R16" s="3"/>
    </row>
    <row r="17" spans="1:18" ht="15.75" customHeight="1">
      <c r="A17" s="1"/>
      <c r="B17" s="2"/>
      <c r="C17" s="3"/>
      <c r="D17" s="3"/>
      <c r="E17" s="3"/>
      <c r="F17" s="3"/>
      <c r="G17" s="3"/>
      <c r="H17" s="3"/>
      <c r="I17" s="3"/>
      <c r="J17" s="3"/>
      <c r="K17" s="3"/>
      <c r="L17" s="3"/>
      <c r="M17" s="3"/>
      <c r="N17" s="3"/>
      <c r="O17" s="3"/>
      <c r="P17" s="3"/>
      <c r="Q17" s="3"/>
      <c r="R17" s="3"/>
    </row>
    <row r="18" spans="1:18" ht="15.75" customHeight="1">
      <c r="A18" s="1"/>
      <c r="B18" s="2"/>
      <c r="C18" s="3"/>
      <c r="D18" s="3"/>
      <c r="E18" s="3"/>
      <c r="F18" s="40"/>
      <c r="G18" s="3"/>
      <c r="H18" s="3"/>
      <c r="I18" s="3"/>
      <c r="J18" s="3"/>
      <c r="K18" s="3"/>
      <c r="L18" s="3"/>
      <c r="M18" s="3"/>
      <c r="N18" s="3"/>
      <c r="O18" s="3"/>
      <c r="P18" s="3"/>
      <c r="Q18" s="3"/>
      <c r="R18" s="3"/>
    </row>
    <row r="19" spans="1:18" ht="15.75" customHeight="1">
      <c r="A19" s="1"/>
      <c r="B19" s="2"/>
      <c r="C19" s="3"/>
      <c r="D19" s="3"/>
      <c r="E19" s="3"/>
      <c r="F19" s="3"/>
      <c r="G19" s="3"/>
      <c r="H19" s="3"/>
      <c r="I19" s="3"/>
      <c r="J19" s="3"/>
      <c r="K19" s="3"/>
      <c r="L19" s="3"/>
      <c r="M19" s="3"/>
      <c r="N19" s="3"/>
      <c r="O19" s="3"/>
      <c r="P19" s="3"/>
      <c r="Q19" s="3"/>
      <c r="R19" s="3"/>
    </row>
    <row r="20" spans="1:18" ht="15.75" customHeight="1">
      <c r="A20" s="1"/>
      <c r="B20" s="2"/>
      <c r="C20" s="3"/>
      <c r="D20" s="3"/>
      <c r="E20" s="3"/>
      <c r="F20" s="3"/>
      <c r="G20" s="3"/>
      <c r="H20" s="3"/>
      <c r="I20" s="3"/>
      <c r="J20" s="3"/>
      <c r="K20" s="3"/>
      <c r="L20" s="3"/>
      <c r="M20" s="3"/>
      <c r="N20" s="3"/>
      <c r="O20" s="3"/>
      <c r="P20" s="3"/>
      <c r="Q20" s="3"/>
      <c r="R20" s="3"/>
    </row>
    <row r="21" spans="1:18" ht="15.75" customHeight="1">
      <c r="A21" s="1"/>
      <c r="B21" s="2"/>
      <c r="C21" s="3"/>
      <c r="D21" s="3"/>
      <c r="E21" s="3"/>
      <c r="F21" s="3"/>
      <c r="G21" s="3"/>
      <c r="H21" s="3"/>
      <c r="I21" s="3"/>
      <c r="J21" s="3"/>
      <c r="K21" s="3"/>
      <c r="L21" s="3"/>
      <c r="M21" s="3"/>
      <c r="N21" s="3"/>
      <c r="O21" s="3"/>
      <c r="P21" s="3"/>
      <c r="Q21" s="3"/>
      <c r="R21" s="3"/>
    </row>
    <row r="22" spans="1:18" ht="15.75" customHeight="1">
      <c r="A22" s="1"/>
      <c r="B22" s="2"/>
      <c r="C22" s="3"/>
      <c r="D22" s="3"/>
      <c r="E22" s="3"/>
      <c r="F22" s="3"/>
      <c r="G22" s="3"/>
      <c r="H22" s="3"/>
      <c r="I22" s="3"/>
      <c r="J22" s="3"/>
      <c r="K22" s="3"/>
      <c r="L22" s="3"/>
      <c r="M22" s="3"/>
      <c r="N22" s="3"/>
      <c r="O22" s="3"/>
      <c r="P22" s="3"/>
      <c r="Q22" s="3"/>
      <c r="R22" s="3"/>
    </row>
    <row r="23" spans="1:18" ht="15.75" customHeight="1">
      <c r="A23" s="1"/>
      <c r="B23" s="2"/>
      <c r="C23" s="3"/>
      <c r="D23" s="3"/>
      <c r="E23" s="3"/>
      <c r="F23" s="3"/>
      <c r="G23" s="3"/>
      <c r="H23" s="3"/>
      <c r="I23" s="3"/>
      <c r="J23" s="3"/>
      <c r="K23" s="3"/>
      <c r="L23" s="3"/>
      <c r="M23" s="3"/>
      <c r="N23" s="3"/>
      <c r="O23" s="3"/>
      <c r="P23" s="3"/>
      <c r="Q23" s="3"/>
      <c r="R23" s="3"/>
    </row>
    <row r="24" spans="1:18" ht="15.75" customHeight="1">
      <c r="A24" s="1"/>
      <c r="B24" s="2"/>
      <c r="C24" s="3"/>
      <c r="D24" s="3"/>
      <c r="E24" s="3"/>
      <c r="F24" s="3"/>
      <c r="G24" s="3"/>
      <c r="H24" s="3"/>
      <c r="I24" s="3"/>
      <c r="J24" s="3"/>
      <c r="K24" s="3"/>
      <c r="L24" s="3"/>
      <c r="M24" s="3"/>
      <c r="N24" s="3"/>
      <c r="O24" s="3"/>
      <c r="P24" s="3"/>
      <c r="Q24" s="3"/>
      <c r="R24" s="3"/>
    </row>
    <row r="25" spans="1:18" ht="15.75" customHeight="1">
      <c r="A25" s="1"/>
      <c r="B25" s="2"/>
      <c r="C25" s="3"/>
      <c r="D25" s="3"/>
      <c r="E25" s="3"/>
      <c r="F25" s="3"/>
      <c r="G25" s="3"/>
      <c r="H25" s="3"/>
      <c r="I25" s="3"/>
      <c r="J25" s="3"/>
      <c r="K25" s="3"/>
      <c r="L25" s="3"/>
      <c r="M25" s="3"/>
      <c r="N25" s="3"/>
      <c r="O25" s="3"/>
      <c r="P25" s="3"/>
      <c r="Q25" s="3"/>
      <c r="R25" s="3"/>
    </row>
  </sheetData>
  <printOptions/>
  <pageMargins left="0.75" right="0.75" top="0.75" bottom="1" header="0.5" footer="0.5"/>
  <pageSetup horizontalDpi="300" verticalDpi="300" orientation="landscape" scale="85" r:id="rId1"/>
  <headerFooter alignWithMargins="0">
    <oddHeader>&amp;LAVISTA UTILITIES&amp;CRESULTS OF OPERATIONS&amp;RRUN DATE: &amp;D</oddHeader>
    <oddFooter>&amp;CPage &amp;P</oddFooter>
  </headerFooter>
  <ignoredErrors>
    <ignoredError sqref="F7:I8 F9:I15" evalError="1"/>
  </ignoredErrors>
</worksheet>
</file>

<file path=xl/worksheets/sheet25.xml><?xml version="1.0" encoding="utf-8"?>
<worksheet xmlns="http://schemas.openxmlformats.org/spreadsheetml/2006/main" xmlns:r="http://schemas.openxmlformats.org/officeDocument/2006/relationships">
  <sheetPr codeName="Sheet23"/>
  <dimension ref="A1:F48"/>
  <sheetViews>
    <sheetView showZeros="0" workbookViewId="0" topLeftCell="A1">
      <pane xSplit="2" ySplit="7" topLeftCell="C8" activePane="bottomRight" state="frozen"/>
      <selection pane="topLeft" activeCell="A3" sqref="A3"/>
      <selection pane="topRight" activeCell="A3" sqref="A3"/>
      <selection pane="bottomLeft" activeCell="A3" sqref="A3"/>
      <selection pane="bottomRight" activeCell="A3" sqref="A3"/>
    </sheetView>
  </sheetViews>
  <sheetFormatPr defaultColWidth="9.00390625" defaultRowHeight="12.75"/>
  <cols>
    <col min="1" max="1" width="12.875" style="152" customWidth="1"/>
    <col min="2" max="2" width="9.375" style="152" customWidth="1"/>
    <col min="3" max="4" width="14.875" style="152" customWidth="1"/>
    <col min="5" max="5" width="14.875" style="153" customWidth="1"/>
    <col min="6" max="7" width="12.875" style="152" customWidth="1"/>
    <col min="8" max="16384" width="9.375" style="152" customWidth="1"/>
  </cols>
  <sheetData>
    <row r="1" spans="1:5" s="119" customFormat="1" ht="12.75">
      <c r="A1" s="119" t="str">
        <f>SFAS143AccDep!A1</f>
        <v>AVISTA UTILITIES</v>
      </c>
      <c r="E1" s="150"/>
    </row>
    <row r="2" spans="1:5" s="119" customFormat="1" ht="12.75">
      <c r="A2" s="119" t="s">
        <v>103</v>
      </c>
      <c r="E2" s="150"/>
    </row>
    <row r="3" ht="12.75">
      <c r="A3" s="151"/>
    </row>
    <row r="5" spans="3:5" ht="12.75">
      <c r="C5" s="154" t="s">
        <v>803</v>
      </c>
      <c r="D5" s="154" t="s">
        <v>710</v>
      </c>
      <c r="E5" s="155" t="s">
        <v>891</v>
      </c>
    </row>
    <row r="6" spans="3:5" ht="12.75">
      <c r="C6" s="155" t="s">
        <v>912</v>
      </c>
      <c r="D6" s="155" t="s">
        <v>912</v>
      </c>
      <c r="E6" s="155" t="s">
        <v>912</v>
      </c>
    </row>
    <row r="7" spans="3:5" ht="12.75">
      <c r="C7" s="155" t="s">
        <v>221</v>
      </c>
      <c r="D7" s="155" t="s">
        <v>221</v>
      </c>
      <c r="E7" s="155" t="s">
        <v>221</v>
      </c>
    </row>
    <row r="8" ht="12.75">
      <c r="E8" s="154"/>
    </row>
    <row r="9" spans="1:5" ht="12.75">
      <c r="A9" s="152" t="s">
        <v>644</v>
      </c>
      <c r="B9" s="156" t="s">
        <v>259</v>
      </c>
      <c r="C9" s="153"/>
      <c r="D9" s="153">
        <v>-279867</v>
      </c>
      <c r="E9" s="153">
        <f aca="true" t="shared" si="0" ref="E9:E28">SUM(C9:D9)</f>
        <v>-279867</v>
      </c>
    </row>
    <row r="10" spans="1:5" ht="12.75">
      <c r="A10" s="152" t="s">
        <v>645</v>
      </c>
      <c r="C10" s="153"/>
      <c r="D10" s="153">
        <v>-267547</v>
      </c>
      <c r="E10" s="153">
        <f t="shared" si="0"/>
        <v>-267547</v>
      </c>
    </row>
    <row r="11" spans="1:5" ht="12.75">
      <c r="A11" s="152" t="s">
        <v>646</v>
      </c>
      <c r="C11" s="153"/>
      <c r="D11" s="153">
        <v>-303542</v>
      </c>
      <c r="E11" s="153">
        <f t="shared" si="0"/>
        <v>-303542</v>
      </c>
    </row>
    <row r="12" spans="1:5" ht="12.75">
      <c r="A12" s="152" t="s">
        <v>658</v>
      </c>
      <c r="C12" s="153"/>
      <c r="D12" s="153">
        <v>-139972</v>
      </c>
      <c r="E12" s="153">
        <f t="shared" si="0"/>
        <v>-139972</v>
      </c>
    </row>
    <row r="13" spans="1:5" ht="12.75">
      <c r="A13" s="152" t="s">
        <v>659</v>
      </c>
      <c r="C13" s="153"/>
      <c r="D13" s="153">
        <v>-204610</v>
      </c>
      <c r="E13" s="153">
        <f t="shared" si="0"/>
        <v>-204610</v>
      </c>
    </row>
    <row r="14" spans="1:5" ht="12.75">
      <c r="A14" s="152" t="s">
        <v>660</v>
      </c>
      <c r="C14" s="153"/>
      <c r="D14" s="153">
        <v>-78062</v>
      </c>
      <c r="E14" s="153">
        <f t="shared" si="0"/>
        <v>-78062</v>
      </c>
    </row>
    <row r="15" spans="1:5" ht="12.75">
      <c r="A15" s="152" t="s">
        <v>661</v>
      </c>
      <c r="C15" s="153"/>
      <c r="D15" s="153">
        <v>-288776</v>
      </c>
      <c r="E15" s="153">
        <f t="shared" si="0"/>
        <v>-288776</v>
      </c>
    </row>
    <row r="16" spans="1:5" ht="12.75">
      <c r="A16" s="152" t="s">
        <v>662</v>
      </c>
      <c r="C16" s="153"/>
      <c r="D16" s="153">
        <v>-298070</v>
      </c>
      <c r="E16" s="153">
        <f t="shared" si="0"/>
        <v>-298070</v>
      </c>
    </row>
    <row r="17" spans="1:5" ht="12.75">
      <c r="A17" s="152" t="s">
        <v>663</v>
      </c>
      <c r="C17" s="153"/>
      <c r="D17" s="153">
        <v>-286605</v>
      </c>
      <c r="E17" s="153">
        <f t="shared" si="0"/>
        <v>-286605</v>
      </c>
    </row>
    <row r="18" spans="1:5" ht="12.75">
      <c r="A18" s="152" t="s">
        <v>664</v>
      </c>
      <c r="C18" s="153"/>
      <c r="D18" s="153">
        <v>-294975</v>
      </c>
      <c r="E18" s="153">
        <f t="shared" si="0"/>
        <v>-294975</v>
      </c>
    </row>
    <row r="19" spans="1:5" ht="12.75">
      <c r="A19" s="152" t="s">
        <v>665</v>
      </c>
      <c r="C19" s="153"/>
      <c r="D19" s="153">
        <v>-445657</v>
      </c>
      <c r="E19" s="153">
        <f t="shared" si="0"/>
        <v>-445657</v>
      </c>
    </row>
    <row r="20" spans="1:5" ht="12.75">
      <c r="A20" s="152" t="s">
        <v>666</v>
      </c>
      <c r="C20" s="153"/>
      <c r="D20" s="153">
        <v>-313211</v>
      </c>
      <c r="E20" s="153">
        <f t="shared" si="0"/>
        <v>-313211</v>
      </c>
    </row>
    <row r="21" spans="1:5" ht="12.75">
      <c r="A21" s="152" t="str">
        <f aca="true" t="shared" si="1" ref="A21:A40">+A9</f>
        <v>January</v>
      </c>
      <c r="B21" s="156" t="s">
        <v>102</v>
      </c>
      <c r="C21" s="153"/>
      <c r="D21" s="153">
        <v>-312379</v>
      </c>
      <c r="E21" s="153">
        <f t="shared" si="0"/>
        <v>-312379</v>
      </c>
    </row>
    <row r="22" spans="1:5" ht="12.75">
      <c r="A22" s="152" t="str">
        <f t="shared" si="1"/>
        <v>February</v>
      </c>
      <c r="B22" s="156"/>
      <c r="C22" s="153"/>
      <c r="D22" s="153">
        <v>-270627</v>
      </c>
      <c r="E22" s="153">
        <f t="shared" si="0"/>
        <v>-270627</v>
      </c>
    </row>
    <row r="23" spans="1:5" ht="12.75">
      <c r="A23" s="152" t="str">
        <f t="shared" si="1"/>
        <v>March</v>
      </c>
      <c r="B23" s="156"/>
      <c r="C23" s="153"/>
      <c r="D23" s="153">
        <v>-181869</v>
      </c>
      <c r="E23" s="153">
        <f t="shared" si="0"/>
        <v>-181869</v>
      </c>
    </row>
    <row r="24" spans="1:5" ht="12.75">
      <c r="A24" s="152" t="str">
        <f t="shared" si="1"/>
        <v>April</v>
      </c>
      <c r="B24" s="156"/>
      <c r="C24" s="153">
        <v>-7090</v>
      </c>
      <c r="D24" s="153">
        <v>-223729</v>
      </c>
      <c r="E24" s="153">
        <f t="shared" si="0"/>
        <v>-230819</v>
      </c>
    </row>
    <row r="25" spans="1:5" ht="12.75">
      <c r="A25" s="152" t="str">
        <f t="shared" si="1"/>
        <v>May</v>
      </c>
      <c r="B25" s="156"/>
      <c r="C25" s="153">
        <v>-9690</v>
      </c>
      <c r="D25" s="153">
        <v>-187930</v>
      </c>
      <c r="E25" s="153">
        <f t="shared" si="0"/>
        <v>-197620</v>
      </c>
    </row>
    <row r="26" spans="1:5" ht="12.75">
      <c r="A26" s="152" t="str">
        <f t="shared" si="1"/>
        <v>June</v>
      </c>
      <c r="B26" s="156"/>
      <c r="C26" s="153">
        <v>-8323</v>
      </c>
      <c r="D26" s="153">
        <v>-118731</v>
      </c>
      <c r="E26" s="153">
        <f t="shared" si="0"/>
        <v>-127054</v>
      </c>
    </row>
    <row r="27" spans="1:5" ht="12.75">
      <c r="A27" s="152" t="str">
        <f t="shared" si="1"/>
        <v>July</v>
      </c>
      <c r="B27" s="156"/>
      <c r="C27" s="153">
        <v>-4153</v>
      </c>
      <c r="D27" s="153">
        <f>-258143+1</f>
        <v>-258142</v>
      </c>
      <c r="E27" s="153">
        <f t="shared" si="0"/>
        <v>-262295</v>
      </c>
    </row>
    <row r="28" spans="1:5" ht="12.75">
      <c r="A28" s="152" t="str">
        <f t="shared" si="1"/>
        <v>August</v>
      </c>
      <c r="B28" s="156"/>
      <c r="C28" s="153">
        <v>-2391</v>
      </c>
      <c r="D28" s="153">
        <v>-127552</v>
      </c>
      <c r="E28" s="153">
        <f t="shared" si="0"/>
        <v>-129943</v>
      </c>
    </row>
    <row r="29" spans="1:5" ht="12.75">
      <c r="A29" s="152" t="str">
        <f t="shared" si="1"/>
        <v>September</v>
      </c>
      <c r="B29" s="156"/>
      <c r="C29" s="153">
        <v>-2348</v>
      </c>
      <c r="D29" s="153">
        <v>-260450</v>
      </c>
      <c r="E29" s="153">
        <f aca="true" t="shared" si="2" ref="E29:E41">SUM(C29:D29)</f>
        <v>-262798</v>
      </c>
    </row>
    <row r="30" spans="1:5" ht="12.75">
      <c r="A30" s="152" t="str">
        <f t="shared" si="1"/>
        <v>October</v>
      </c>
      <c r="B30" s="156"/>
      <c r="C30" s="153">
        <f>-2591-1789</f>
        <v>-4380</v>
      </c>
      <c r="D30" s="153">
        <f>-306669-102179</f>
        <v>-408848</v>
      </c>
      <c r="E30" s="153">
        <f t="shared" si="2"/>
        <v>-413228</v>
      </c>
    </row>
    <row r="31" spans="1:5" ht="12.75">
      <c r="A31" s="152" t="str">
        <f t="shared" si="1"/>
        <v>November</v>
      </c>
      <c r="B31" s="156"/>
      <c r="C31" s="153">
        <v>-2350</v>
      </c>
      <c r="D31" s="153">
        <v>-245674</v>
      </c>
      <c r="E31" s="153">
        <f t="shared" si="2"/>
        <v>-248024</v>
      </c>
    </row>
    <row r="32" spans="1:5" ht="12.75">
      <c r="A32" s="152" t="str">
        <f t="shared" si="1"/>
        <v>December</v>
      </c>
      <c r="B32" s="156"/>
      <c r="C32" s="153">
        <v>-4268</v>
      </c>
      <c r="D32" s="153">
        <v>-48783</v>
      </c>
      <c r="E32" s="153">
        <f t="shared" si="2"/>
        <v>-53051</v>
      </c>
    </row>
    <row r="33" spans="1:5" ht="12.75">
      <c r="A33" s="152" t="str">
        <f t="shared" si="1"/>
        <v>January</v>
      </c>
      <c r="B33" s="156">
        <v>2008</v>
      </c>
      <c r="C33" s="153">
        <v>-3472</v>
      </c>
      <c r="D33" s="153">
        <v>-263550</v>
      </c>
      <c r="E33" s="153">
        <f t="shared" si="2"/>
        <v>-267022</v>
      </c>
    </row>
    <row r="34" spans="1:5" ht="12.75">
      <c r="A34" s="152" t="str">
        <f t="shared" si="1"/>
        <v>February</v>
      </c>
      <c r="B34" s="156"/>
      <c r="C34" s="153">
        <v>-3142</v>
      </c>
      <c r="D34" s="153">
        <v>-272878</v>
      </c>
      <c r="E34" s="153">
        <f t="shared" si="2"/>
        <v>-276020</v>
      </c>
    </row>
    <row r="35" spans="1:5" ht="12.75">
      <c r="A35" s="152" t="str">
        <f t="shared" si="1"/>
        <v>March</v>
      </c>
      <c r="B35" s="156"/>
      <c r="C35" s="153">
        <v>-3297</v>
      </c>
      <c r="D35" s="153">
        <v>-260785</v>
      </c>
      <c r="E35" s="153">
        <f t="shared" si="2"/>
        <v>-264082</v>
      </c>
    </row>
    <row r="36" spans="1:5" ht="12.75">
      <c r="A36" s="152" t="str">
        <f t="shared" si="1"/>
        <v>April</v>
      </c>
      <c r="B36" s="156"/>
      <c r="C36" s="153">
        <v>-3413</v>
      </c>
      <c r="D36" s="153">
        <v>-44827</v>
      </c>
      <c r="E36" s="153">
        <f t="shared" si="2"/>
        <v>-48240</v>
      </c>
    </row>
    <row r="37" spans="1:5" ht="12.75">
      <c r="A37" s="152" t="str">
        <f t="shared" si="1"/>
        <v>May</v>
      </c>
      <c r="B37" s="156"/>
      <c r="C37" s="153">
        <v>-8968</v>
      </c>
      <c r="D37" s="153">
        <v>-4090</v>
      </c>
      <c r="E37" s="153">
        <f t="shared" si="2"/>
        <v>-13058</v>
      </c>
    </row>
    <row r="38" spans="1:5" ht="12.75">
      <c r="A38" s="152" t="str">
        <f t="shared" si="1"/>
        <v>June</v>
      </c>
      <c r="B38" s="156"/>
      <c r="C38" s="153">
        <v>-9390</v>
      </c>
      <c r="D38" s="153">
        <v>1908</v>
      </c>
      <c r="E38" s="153">
        <f t="shared" si="2"/>
        <v>-7482</v>
      </c>
    </row>
    <row r="39" spans="1:5" ht="12.75">
      <c r="A39" s="152" t="str">
        <f t="shared" si="1"/>
        <v>July</v>
      </c>
      <c r="B39" s="156"/>
      <c r="C39" s="153">
        <v>-8121</v>
      </c>
      <c r="D39" s="153">
        <v>2464</v>
      </c>
      <c r="E39" s="153">
        <f t="shared" si="2"/>
        <v>-5657</v>
      </c>
    </row>
    <row r="40" spans="1:5" ht="12.75">
      <c r="A40" s="152" t="str">
        <f t="shared" si="1"/>
        <v>August</v>
      </c>
      <c r="B40" s="156"/>
      <c r="C40" s="153">
        <v>-4195</v>
      </c>
      <c r="D40" s="153">
        <v>-197418</v>
      </c>
      <c r="E40" s="153">
        <f t="shared" si="2"/>
        <v>-201613</v>
      </c>
    </row>
    <row r="41" spans="1:5" ht="12.75">
      <c r="A41" s="152" t="s">
        <v>663</v>
      </c>
      <c r="B41" s="156"/>
      <c r="C41" s="153">
        <v>-3562</v>
      </c>
      <c r="D41" s="153">
        <v>-120723</v>
      </c>
      <c r="E41" s="153">
        <f t="shared" si="2"/>
        <v>-124285</v>
      </c>
    </row>
    <row r="43" spans="1:5" ht="13.5" thickBot="1">
      <c r="A43" s="152" t="s">
        <v>164</v>
      </c>
      <c r="C43" s="157">
        <f>SUM(C$33:C42)</f>
        <v>-47560</v>
      </c>
      <c r="D43" s="157">
        <f>SUM(D$33:D42)</f>
        <v>-1159899</v>
      </c>
      <c r="E43" s="157">
        <f>SUM(E$33:E42)</f>
        <v>-1207459</v>
      </c>
    </row>
    <row r="44" spans="3:4" ht="13.5" thickTop="1">
      <c r="C44" s="153">
        <f>-C43-47560</f>
        <v>0</v>
      </c>
      <c r="D44" s="153">
        <f>-D43-1159899</f>
        <v>0</v>
      </c>
    </row>
    <row r="45" spans="1:6" ht="13.5" thickBot="1">
      <c r="A45" s="152" t="s">
        <v>162</v>
      </c>
      <c r="E45" s="158">
        <f>+E41</f>
        <v>-124285</v>
      </c>
      <c r="F45" s="159" t="str">
        <f>IF(Data!H8="September 30, 2008"," ","     Adjust The Formula To Get The Correct Current Month Amount")</f>
        <v> </v>
      </c>
    </row>
    <row r="46" ht="13.5" thickTop="1">
      <c r="E46" s="152"/>
    </row>
    <row r="47" spans="1:6" ht="13.5" thickBot="1">
      <c r="A47" s="152" t="s">
        <v>163</v>
      </c>
      <c r="E47" s="158">
        <f>SUM(E31:E41)</f>
        <v>-1508534</v>
      </c>
      <c r="F47" s="159" t="str">
        <f>IF(Data!H8="September 30, 2008"," ","     Adjust The Formula To Get The Correct 12 Month Ended Amount")</f>
        <v> </v>
      </c>
    </row>
    <row r="48" ht="13.5" thickTop="1">
      <c r="E48" s="152"/>
    </row>
  </sheetData>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codeName="Sheet26">
    <pageSetUpPr fitToPage="1"/>
  </sheetPr>
  <dimension ref="A1:I86"/>
  <sheetViews>
    <sheetView workbookViewId="0" topLeftCell="A1">
      <pane xSplit="2" ySplit="10" topLeftCell="C53" activePane="bottomRight" state="frozen"/>
      <selection pane="topLeft" activeCell="A3" sqref="A3"/>
      <selection pane="topRight" activeCell="A3" sqref="A3"/>
      <selection pane="bottomLeft" activeCell="A3" sqref="A3"/>
      <selection pane="bottomRight" activeCell="A3" sqref="A3"/>
    </sheetView>
  </sheetViews>
  <sheetFormatPr defaultColWidth="9.00390625" defaultRowHeight="12.75"/>
  <cols>
    <col min="1" max="1" width="11.875" style="0" customWidth="1"/>
    <col min="2" max="2" width="7.875" style="0" customWidth="1"/>
    <col min="3" max="8" width="14.875" style="0" customWidth="1"/>
    <col min="9" max="9" width="13.875" style="0" customWidth="1"/>
  </cols>
  <sheetData>
    <row r="1" ht="12.75">
      <c r="A1" t="s">
        <v>886</v>
      </c>
    </row>
    <row r="2" ht="12.75">
      <c r="A2" t="s">
        <v>320</v>
      </c>
    </row>
    <row r="4" ht="12.75">
      <c r="A4" t="s">
        <v>328</v>
      </c>
    </row>
    <row r="5" ht="12.75">
      <c r="A5" t="s">
        <v>329</v>
      </c>
    </row>
    <row r="6" ht="12.75">
      <c r="A6" t="s">
        <v>811</v>
      </c>
    </row>
    <row r="7" ht="12.75">
      <c r="A7" s="56"/>
    </row>
    <row r="8" spans="5:8" ht="12.75">
      <c r="E8" s="41" t="s">
        <v>713</v>
      </c>
      <c r="F8" s="41" t="s">
        <v>394</v>
      </c>
      <c r="H8" s="41" t="s">
        <v>716</v>
      </c>
    </row>
    <row r="9" spans="3:9" ht="12.75">
      <c r="C9" s="41" t="s">
        <v>711</v>
      </c>
      <c r="D9" s="41" t="s">
        <v>712</v>
      </c>
      <c r="E9" s="41" t="s">
        <v>714</v>
      </c>
      <c r="F9" s="41" t="s">
        <v>715</v>
      </c>
      <c r="G9" s="41" t="s">
        <v>710</v>
      </c>
      <c r="H9" s="41" t="s">
        <v>717</v>
      </c>
      <c r="I9" s="41" t="s">
        <v>891</v>
      </c>
    </row>
    <row r="10" spans="3:9" ht="12.75">
      <c r="C10" t="s">
        <v>805</v>
      </c>
      <c r="D10" t="s">
        <v>804</v>
      </c>
      <c r="E10" s="41" t="s">
        <v>324</v>
      </c>
      <c r="F10" s="41" t="s">
        <v>325</v>
      </c>
      <c r="G10" t="s">
        <v>806</v>
      </c>
      <c r="H10" s="41" t="s">
        <v>326</v>
      </c>
      <c r="I10" s="41" t="s">
        <v>897</v>
      </c>
    </row>
    <row r="11" spans="5:6" ht="12.75">
      <c r="E11" s="41"/>
      <c r="F11" s="41"/>
    </row>
    <row r="12" ht="12.75" hidden="1">
      <c r="A12" t="s">
        <v>666</v>
      </c>
    </row>
    <row r="13" spans="1:7" ht="12.75" hidden="1">
      <c r="A13" t="s">
        <v>644</v>
      </c>
      <c r="B13" s="46">
        <v>2003</v>
      </c>
      <c r="C13" s="46"/>
      <c r="D13" s="46"/>
      <c r="E13" s="46"/>
      <c r="F13" s="46"/>
      <c r="G13" s="46"/>
    </row>
    <row r="14" ht="12.75" hidden="1">
      <c r="A14" t="s">
        <v>645</v>
      </c>
    </row>
    <row r="15" ht="12.75" hidden="1">
      <c r="A15" t="s">
        <v>646</v>
      </c>
    </row>
    <row r="16" ht="12.75" hidden="1">
      <c r="A16" t="s">
        <v>658</v>
      </c>
    </row>
    <row r="17" ht="12.75" hidden="1">
      <c r="A17" t="s">
        <v>659</v>
      </c>
    </row>
    <row r="18" ht="12.75" hidden="1">
      <c r="A18" t="s">
        <v>660</v>
      </c>
    </row>
    <row r="19" ht="12.75" hidden="1">
      <c r="A19" t="s">
        <v>661</v>
      </c>
    </row>
    <row r="20" ht="12.75" hidden="1">
      <c r="A20" t="s">
        <v>662</v>
      </c>
    </row>
    <row r="21" ht="12.75" hidden="1">
      <c r="A21" t="s">
        <v>663</v>
      </c>
    </row>
    <row r="22" ht="12.75" hidden="1">
      <c r="A22" t="s">
        <v>664</v>
      </c>
    </row>
    <row r="23" ht="12.75" hidden="1">
      <c r="A23" t="s">
        <v>665</v>
      </c>
    </row>
    <row r="24" ht="12.75" hidden="1">
      <c r="A24" t="s">
        <v>666</v>
      </c>
    </row>
    <row r="25" spans="1:7" ht="12.75" hidden="1">
      <c r="A25" t="s">
        <v>644</v>
      </c>
      <c r="B25" s="41">
        <v>2004</v>
      </c>
      <c r="C25" s="41"/>
      <c r="D25" s="41"/>
      <c r="E25" s="41"/>
      <c r="F25" s="41"/>
      <c r="G25" s="41"/>
    </row>
    <row r="26" spans="1:7" ht="12.75" hidden="1">
      <c r="A26" t="str">
        <f aca="true" t="shared" si="0" ref="A26:A80">+A14</f>
        <v>February</v>
      </c>
      <c r="B26" s="41"/>
      <c r="C26" s="41"/>
      <c r="D26" s="41"/>
      <c r="E26" s="41"/>
      <c r="F26" s="41"/>
      <c r="G26" s="41"/>
    </row>
    <row r="27" spans="1:7" ht="12.75" hidden="1">
      <c r="A27" t="str">
        <f t="shared" si="0"/>
        <v>March</v>
      </c>
      <c r="B27" s="41"/>
      <c r="C27" s="41"/>
      <c r="D27" s="41"/>
      <c r="E27" s="41"/>
      <c r="F27" s="41"/>
      <c r="G27" s="41"/>
    </row>
    <row r="28" spans="1:7" ht="12.75" hidden="1">
      <c r="A28" t="str">
        <f t="shared" si="0"/>
        <v>April</v>
      </c>
      <c r="B28" s="41"/>
      <c r="C28" s="41"/>
      <c r="D28" s="41"/>
      <c r="E28" s="41"/>
      <c r="F28" s="41"/>
      <c r="G28" s="41"/>
    </row>
    <row r="29" spans="1:7" ht="12.75" hidden="1">
      <c r="A29" t="str">
        <f t="shared" si="0"/>
        <v>May</v>
      </c>
      <c r="B29" s="41"/>
      <c r="C29" s="41"/>
      <c r="D29" s="41"/>
      <c r="E29" s="41"/>
      <c r="F29" s="41"/>
      <c r="G29" s="41"/>
    </row>
    <row r="30" spans="1:7" ht="12.75" hidden="1">
      <c r="A30" t="str">
        <f t="shared" si="0"/>
        <v>June</v>
      </c>
      <c r="B30" s="41"/>
      <c r="C30" s="41"/>
      <c r="D30" s="41"/>
      <c r="E30" s="41"/>
      <c r="F30" s="41"/>
      <c r="G30" s="41"/>
    </row>
    <row r="31" spans="1:7" ht="12.75" hidden="1">
      <c r="A31" t="str">
        <f t="shared" si="0"/>
        <v>July</v>
      </c>
      <c r="B31" s="41"/>
      <c r="C31" s="41"/>
      <c r="D31" s="41"/>
      <c r="E31" s="41"/>
      <c r="F31" s="41"/>
      <c r="G31" s="41"/>
    </row>
    <row r="32" spans="1:7" ht="12.75" hidden="1">
      <c r="A32" t="str">
        <f t="shared" si="0"/>
        <v>August</v>
      </c>
      <c r="B32" s="41"/>
      <c r="C32" s="41"/>
      <c r="D32" s="41"/>
      <c r="E32" s="41"/>
      <c r="F32" s="41"/>
      <c r="G32" s="41"/>
    </row>
    <row r="33" spans="1:7" ht="12.75" hidden="1">
      <c r="A33" t="str">
        <f t="shared" si="0"/>
        <v>September</v>
      </c>
      <c r="B33" s="41"/>
      <c r="C33" s="41"/>
      <c r="D33" s="41"/>
      <c r="E33" s="41"/>
      <c r="F33" s="41"/>
      <c r="G33" s="41"/>
    </row>
    <row r="34" spans="1:7" ht="12.75" hidden="1">
      <c r="A34" t="str">
        <f t="shared" si="0"/>
        <v>October</v>
      </c>
      <c r="B34" s="41"/>
      <c r="C34" s="41"/>
      <c r="D34" s="41"/>
      <c r="E34" s="41"/>
      <c r="F34" s="41"/>
      <c r="G34" s="41"/>
    </row>
    <row r="35" spans="1:7" ht="12.75" hidden="1">
      <c r="A35" t="str">
        <f t="shared" si="0"/>
        <v>November</v>
      </c>
      <c r="B35" s="41"/>
      <c r="C35" s="41"/>
      <c r="D35" s="41"/>
      <c r="E35" s="41"/>
      <c r="F35" s="41"/>
      <c r="G35" s="41"/>
    </row>
    <row r="36" spans="1:7" ht="12.75" hidden="1">
      <c r="A36" t="str">
        <f t="shared" si="0"/>
        <v>December</v>
      </c>
      <c r="B36" s="41"/>
      <c r="C36" s="41"/>
      <c r="D36" s="41"/>
      <c r="E36" s="41"/>
      <c r="F36" s="41"/>
      <c r="G36" s="41"/>
    </row>
    <row r="37" spans="1:7" ht="12.75" hidden="1">
      <c r="A37" t="str">
        <f t="shared" si="0"/>
        <v>January</v>
      </c>
      <c r="B37" s="41">
        <v>2005</v>
      </c>
      <c r="C37" s="41"/>
      <c r="D37" s="41"/>
      <c r="E37" s="41"/>
      <c r="F37" s="41"/>
      <c r="G37" s="41"/>
    </row>
    <row r="38" spans="1:7" ht="12.75" hidden="1">
      <c r="A38" t="str">
        <f t="shared" si="0"/>
        <v>February</v>
      </c>
      <c r="B38" s="41"/>
      <c r="C38" s="41"/>
      <c r="D38" s="41"/>
      <c r="E38" s="41"/>
      <c r="F38" s="41"/>
      <c r="G38" s="41"/>
    </row>
    <row r="39" spans="1:7" ht="12.75" hidden="1">
      <c r="A39" t="str">
        <f t="shared" si="0"/>
        <v>March</v>
      </c>
      <c r="B39" s="41"/>
      <c r="C39" s="41"/>
      <c r="D39" s="41"/>
      <c r="E39" s="41"/>
      <c r="F39" s="41"/>
      <c r="G39" s="41"/>
    </row>
    <row r="40" spans="1:7" ht="12.75" hidden="1">
      <c r="A40" t="str">
        <f t="shared" si="0"/>
        <v>April</v>
      </c>
      <c r="B40" s="41"/>
      <c r="C40" s="41"/>
      <c r="D40" s="41"/>
      <c r="E40" s="41"/>
      <c r="F40" s="41"/>
      <c r="G40" s="41"/>
    </row>
    <row r="41" spans="1:7" ht="12.75" hidden="1">
      <c r="A41" t="str">
        <f t="shared" si="0"/>
        <v>May</v>
      </c>
      <c r="B41" s="41"/>
      <c r="C41" s="41"/>
      <c r="D41" s="41"/>
      <c r="E41" s="41"/>
      <c r="F41" s="41"/>
      <c r="G41" s="41"/>
    </row>
    <row r="42" spans="1:7" ht="12.75" hidden="1">
      <c r="A42" t="str">
        <f t="shared" si="0"/>
        <v>June</v>
      </c>
      <c r="B42" s="41"/>
      <c r="C42" s="41"/>
      <c r="D42" s="41"/>
      <c r="E42" s="41"/>
      <c r="F42" s="41"/>
      <c r="G42" s="41"/>
    </row>
    <row r="43" spans="1:7" ht="12.75" hidden="1">
      <c r="A43" t="str">
        <f t="shared" si="0"/>
        <v>July</v>
      </c>
      <c r="B43" s="41"/>
      <c r="C43" s="41"/>
      <c r="D43" s="41"/>
      <c r="E43" s="41"/>
      <c r="F43" s="41"/>
      <c r="G43" s="41"/>
    </row>
    <row r="44" spans="1:7" ht="12.75" hidden="1">
      <c r="A44" t="str">
        <f t="shared" si="0"/>
        <v>August</v>
      </c>
      <c r="B44" s="41"/>
      <c r="C44" s="41"/>
      <c r="D44" s="41"/>
      <c r="E44" s="41"/>
      <c r="F44" s="41"/>
      <c r="G44" s="41"/>
    </row>
    <row r="45" spans="1:7" ht="12.75" hidden="1">
      <c r="A45" t="str">
        <f t="shared" si="0"/>
        <v>September</v>
      </c>
      <c r="B45" s="41"/>
      <c r="C45" s="41"/>
      <c r="D45" s="41"/>
      <c r="E45" s="41"/>
      <c r="F45" s="41"/>
      <c r="G45" s="41"/>
    </row>
    <row r="46" spans="1:7" ht="12.75" hidden="1">
      <c r="A46" t="str">
        <f t="shared" si="0"/>
        <v>October</v>
      </c>
      <c r="B46" s="41"/>
      <c r="C46" s="41"/>
      <c r="D46" s="41"/>
      <c r="E46" s="41"/>
      <c r="F46" s="41"/>
      <c r="G46" s="41"/>
    </row>
    <row r="47" spans="1:7" ht="12.75" hidden="1">
      <c r="A47" t="str">
        <f t="shared" si="0"/>
        <v>November</v>
      </c>
      <c r="B47" s="41"/>
      <c r="C47" s="41"/>
      <c r="D47" s="41"/>
      <c r="E47" s="41"/>
      <c r="F47" s="41"/>
      <c r="G47" s="41"/>
    </row>
    <row r="48" spans="1:7" ht="12.75" hidden="1">
      <c r="A48" t="str">
        <f t="shared" si="0"/>
        <v>December</v>
      </c>
      <c r="B48" s="41"/>
      <c r="C48" s="41"/>
      <c r="D48" s="41"/>
      <c r="E48" s="41"/>
      <c r="F48" s="41"/>
      <c r="G48" s="47">
        <v>-55712.12</v>
      </c>
    </row>
    <row r="49" spans="1:7" ht="12.75" hidden="1">
      <c r="A49" t="str">
        <f t="shared" si="0"/>
        <v>January</v>
      </c>
      <c r="B49" s="44" t="s">
        <v>259</v>
      </c>
      <c r="C49" s="44"/>
      <c r="D49" s="44"/>
      <c r="E49" s="44"/>
      <c r="F49" s="44"/>
      <c r="G49" s="58">
        <v>-57259.63</v>
      </c>
    </row>
    <row r="50" spans="1:7" ht="12.75" hidden="1">
      <c r="A50" t="str">
        <f t="shared" si="0"/>
        <v>February</v>
      </c>
      <c r="B50" s="44"/>
      <c r="C50" s="44"/>
      <c r="D50" s="44"/>
      <c r="E50" s="44"/>
      <c r="F50" s="44"/>
      <c r="G50" s="58">
        <v>-58807.14</v>
      </c>
    </row>
    <row r="51" spans="1:7" ht="12.75" hidden="1">
      <c r="A51" t="str">
        <f t="shared" si="0"/>
        <v>March</v>
      </c>
      <c r="B51" s="44"/>
      <c r="C51" s="44"/>
      <c r="D51" s="44"/>
      <c r="E51" s="44"/>
      <c r="F51" s="44"/>
      <c r="G51" s="58">
        <v>-60354.65</v>
      </c>
    </row>
    <row r="52" spans="1:7" ht="12.75" hidden="1">
      <c r="A52" t="str">
        <f t="shared" si="0"/>
        <v>April</v>
      </c>
      <c r="B52" s="44"/>
      <c r="C52" s="44"/>
      <c r="D52" s="44"/>
      <c r="E52" s="44"/>
      <c r="F52" s="44"/>
      <c r="G52" s="58">
        <v>-61902.16</v>
      </c>
    </row>
    <row r="53" spans="1:9" ht="12.75">
      <c r="A53" t="str">
        <f t="shared" si="0"/>
        <v>May</v>
      </c>
      <c r="B53" s="44"/>
      <c r="C53" s="44"/>
      <c r="D53" s="44"/>
      <c r="E53" s="44"/>
      <c r="F53" s="44"/>
      <c r="G53" s="58">
        <v>-63449.67</v>
      </c>
      <c r="I53" s="70">
        <f>SUM(C53:H53)</f>
        <v>-63449.67</v>
      </c>
    </row>
    <row r="54" spans="1:9" ht="12.75">
      <c r="A54" t="str">
        <f t="shared" si="0"/>
        <v>June</v>
      </c>
      <c r="B54" s="44"/>
      <c r="C54" s="44"/>
      <c r="D54" s="44"/>
      <c r="E54" s="44"/>
      <c r="F54" s="44"/>
      <c r="G54" s="58">
        <v>-64997.18</v>
      </c>
      <c r="I54" s="70">
        <f aca="true" t="shared" si="1" ref="I54:I69">SUM(C54:H54)</f>
        <v>-64997.18</v>
      </c>
    </row>
    <row r="55" spans="1:9" ht="12.75">
      <c r="A55" t="str">
        <f t="shared" si="0"/>
        <v>July</v>
      </c>
      <c r="B55" s="44"/>
      <c r="C55" s="44"/>
      <c r="D55" s="44"/>
      <c r="E55" s="44"/>
      <c r="F55" s="44"/>
      <c r="G55" s="58">
        <v>-66544.69</v>
      </c>
      <c r="I55" s="70">
        <f t="shared" si="1"/>
        <v>-66544.69</v>
      </c>
    </row>
    <row r="56" spans="1:9" ht="12.75">
      <c r="A56" t="str">
        <f t="shared" si="0"/>
        <v>August</v>
      </c>
      <c r="B56" s="44"/>
      <c r="C56" s="44"/>
      <c r="D56" s="44"/>
      <c r="E56" s="44"/>
      <c r="F56" s="44"/>
      <c r="G56" s="58">
        <v>-68092.2</v>
      </c>
      <c r="I56" s="70">
        <f t="shared" si="1"/>
        <v>-68092.2</v>
      </c>
    </row>
    <row r="57" spans="1:9" ht="12.75">
      <c r="A57" t="str">
        <f t="shared" si="0"/>
        <v>September</v>
      </c>
      <c r="B57" s="44"/>
      <c r="C57" s="44"/>
      <c r="D57" s="44"/>
      <c r="E57" s="44"/>
      <c r="F57" s="44"/>
      <c r="G57" s="58">
        <v>-69639.71</v>
      </c>
      <c r="I57" s="70">
        <f t="shared" si="1"/>
        <v>-69639.71</v>
      </c>
    </row>
    <row r="58" spans="1:9" ht="12.75">
      <c r="A58" t="str">
        <f t="shared" si="0"/>
        <v>October</v>
      </c>
      <c r="B58" s="44"/>
      <c r="C58" s="44"/>
      <c r="D58" s="44"/>
      <c r="E58" s="44"/>
      <c r="F58" s="44"/>
      <c r="G58" s="58">
        <v>-71187.22</v>
      </c>
      <c r="I58" s="70">
        <f t="shared" si="1"/>
        <v>-71187.22</v>
      </c>
    </row>
    <row r="59" spans="1:9" ht="12.75">
      <c r="A59" t="str">
        <f t="shared" si="0"/>
        <v>November</v>
      </c>
      <c r="B59" s="44"/>
      <c r="C59" s="44"/>
      <c r="D59" s="44"/>
      <c r="E59" s="44"/>
      <c r="F59" s="44"/>
      <c r="G59" s="58">
        <v>-72734.73</v>
      </c>
      <c r="I59" s="70">
        <f t="shared" si="1"/>
        <v>-72734.73</v>
      </c>
    </row>
    <row r="60" spans="1:9" ht="12.75">
      <c r="A60" t="str">
        <f t="shared" si="0"/>
        <v>December</v>
      </c>
      <c r="B60" s="44"/>
      <c r="C60" s="44"/>
      <c r="D60" s="44"/>
      <c r="E60" s="44"/>
      <c r="F60" s="44"/>
      <c r="G60" s="58">
        <v>-74282.24</v>
      </c>
      <c r="I60" s="70">
        <f t="shared" si="1"/>
        <v>-74282.24</v>
      </c>
    </row>
    <row r="61" spans="1:9" ht="12.75">
      <c r="A61" t="str">
        <f t="shared" si="0"/>
        <v>January</v>
      </c>
      <c r="B61" s="44" t="s">
        <v>102</v>
      </c>
      <c r="C61" s="44"/>
      <c r="D61" s="44"/>
      <c r="E61" s="44"/>
      <c r="F61" s="44"/>
      <c r="G61" s="58">
        <v>-75829.75</v>
      </c>
      <c r="I61" s="70">
        <f t="shared" si="1"/>
        <v>-75829.75</v>
      </c>
    </row>
    <row r="62" spans="1:9" ht="12.75">
      <c r="A62" t="str">
        <f t="shared" si="0"/>
        <v>February</v>
      </c>
      <c r="B62" s="44"/>
      <c r="C62" s="44"/>
      <c r="D62" s="44"/>
      <c r="E62" s="44"/>
      <c r="F62" s="44"/>
      <c r="G62" s="58">
        <v>-77377.26</v>
      </c>
      <c r="I62" s="70">
        <f t="shared" si="1"/>
        <v>-77377.26</v>
      </c>
    </row>
    <row r="63" spans="1:9" ht="12.75">
      <c r="A63" t="str">
        <f t="shared" si="0"/>
        <v>March</v>
      </c>
      <c r="B63" s="44"/>
      <c r="C63" s="44"/>
      <c r="D63" s="44"/>
      <c r="E63" s="44"/>
      <c r="F63" s="44"/>
      <c r="G63" s="58">
        <v>-78924.77</v>
      </c>
      <c r="I63" s="70">
        <f t="shared" si="1"/>
        <v>-78924.77</v>
      </c>
    </row>
    <row r="64" spans="1:9" ht="12.75">
      <c r="A64" t="str">
        <f t="shared" si="0"/>
        <v>April</v>
      </c>
      <c r="B64" s="44"/>
      <c r="C64" s="44"/>
      <c r="D64" s="44"/>
      <c r="E64" s="44"/>
      <c r="F64" s="44"/>
      <c r="G64" s="58">
        <v>-80472.28</v>
      </c>
      <c r="I64" s="70">
        <f t="shared" si="1"/>
        <v>-80472.28</v>
      </c>
    </row>
    <row r="65" spans="1:9" ht="12.75">
      <c r="A65" t="str">
        <f t="shared" si="0"/>
        <v>May</v>
      </c>
      <c r="B65" s="44"/>
      <c r="C65" s="44"/>
      <c r="D65" s="44"/>
      <c r="E65" s="44"/>
      <c r="F65" s="44"/>
      <c r="G65" s="58">
        <v>-82019.79</v>
      </c>
      <c r="I65" s="70">
        <f t="shared" si="1"/>
        <v>-82019.79</v>
      </c>
    </row>
    <row r="66" spans="1:9" ht="12.75">
      <c r="A66" t="str">
        <f t="shared" si="0"/>
        <v>June</v>
      </c>
      <c r="B66" s="44"/>
      <c r="C66" s="44"/>
      <c r="D66" s="44"/>
      <c r="E66" s="44"/>
      <c r="F66" s="44"/>
      <c r="G66" s="58">
        <v>-83567.3</v>
      </c>
      <c r="I66" s="70">
        <f t="shared" si="1"/>
        <v>-83567.3</v>
      </c>
    </row>
    <row r="67" spans="1:9" ht="12.75">
      <c r="A67" t="str">
        <f t="shared" si="0"/>
        <v>July</v>
      </c>
      <c r="B67" s="44"/>
      <c r="C67" s="58">
        <v>-35207.81</v>
      </c>
      <c r="D67" s="58">
        <v>-35207.81</v>
      </c>
      <c r="E67" s="58">
        <v>-28928.82</v>
      </c>
      <c r="F67" s="58">
        <v>-80956.58</v>
      </c>
      <c r="G67" s="58">
        <v>-85114.81</v>
      </c>
      <c r="H67" s="58">
        <v>-323313.34</v>
      </c>
      <c r="I67" s="70">
        <f t="shared" si="1"/>
        <v>-588729.17</v>
      </c>
    </row>
    <row r="68" spans="1:9" ht="12.75">
      <c r="A68" t="str">
        <f t="shared" si="0"/>
        <v>August</v>
      </c>
      <c r="B68" s="44"/>
      <c r="C68" s="58">
        <v>-35343.75</v>
      </c>
      <c r="D68" s="58">
        <v>-35343.75</v>
      </c>
      <c r="E68" s="58">
        <v>-29454.8</v>
      </c>
      <c r="F68" s="58">
        <v>-81177.17</v>
      </c>
      <c r="G68" s="58">
        <v>-86662.32</v>
      </c>
      <c r="H68" s="58">
        <v>-324263.01</v>
      </c>
      <c r="I68" s="70">
        <f t="shared" si="1"/>
        <v>-592244.8</v>
      </c>
    </row>
    <row r="69" spans="1:9" ht="12.75">
      <c r="A69" t="str">
        <f t="shared" si="0"/>
        <v>September</v>
      </c>
      <c r="B69" s="44"/>
      <c r="C69" s="58">
        <v>-35479.69</v>
      </c>
      <c r="D69" s="58">
        <v>-35479.69</v>
      </c>
      <c r="E69" s="58">
        <v>-29980.78</v>
      </c>
      <c r="F69" s="58">
        <v>-81397.76</v>
      </c>
      <c r="G69" s="58">
        <v>-88209.83</v>
      </c>
      <c r="H69" s="58">
        <v>-325212.78</v>
      </c>
      <c r="I69" s="70">
        <f t="shared" si="1"/>
        <v>-595760.53</v>
      </c>
    </row>
    <row r="70" spans="1:9" ht="12.75">
      <c r="A70" t="str">
        <f t="shared" si="0"/>
        <v>October</v>
      </c>
      <c r="B70" s="44"/>
      <c r="C70" s="58">
        <v>-35615.63</v>
      </c>
      <c r="D70" s="58">
        <v>-35615.63</v>
      </c>
      <c r="E70" s="58">
        <v>-30506.76</v>
      </c>
      <c r="F70" s="58">
        <v>-81618.35</v>
      </c>
      <c r="G70" s="58">
        <v>-89757.34</v>
      </c>
      <c r="H70" s="58">
        <v>-326162.55</v>
      </c>
      <c r="I70" s="70">
        <f aca="true" t="shared" si="2" ref="I70:I81">SUM(C70:H70)</f>
        <v>-599276.26</v>
      </c>
    </row>
    <row r="71" spans="1:9" ht="12.75">
      <c r="A71" t="str">
        <f t="shared" si="0"/>
        <v>November</v>
      </c>
      <c r="B71" s="44"/>
      <c r="C71" s="58">
        <v>-35751.57</v>
      </c>
      <c r="D71" s="58">
        <v>-35751.57</v>
      </c>
      <c r="E71" s="58">
        <v>-31032.74</v>
      </c>
      <c r="F71" s="58">
        <v>-81838.94</v>
      </c>
      <c r="G71" s="58">
        <v>-91304.85</v>
      </c>
      <c r="H71" s="58">
        <v>-327112.32</v>
      </c>
      <c r="I71" s="70">
        <f t="shared" si="2"/>
        <v>-602791.99</v>
      </c>
    </row>
    <row r="72" spans="1:9" ht="12.75">
      <c r="A72" t="str">
        <f t="shared" si="0"/>
        <v>December</v>
      </c>
      <c r="B72" s="44"/>
      <c r="C72" s="58">
        <v>-35887.51</v>
      </c>
      <c r="D72" s="58">
        <v>-35887.51</v>
      </c>
      <c r="E72" s="58">
        <v>-31558.72</v>
      </c>
      <c r="F72" s="58">
        <v>-82059.53</v>
      </c>
      <c r="G72" s="58">
        <v>-92852.36</v>
      </c>
      <c r="H72" s="58">
        <v>-328062.07</v>
      </c>
      <c r="I72" s="70">
        <f t="shared" si="2"/>
        <v>-606307.7</v>
      </c>
    </row>
    <row r="73" spans="1:9" ht="12.75">
      <c r="A73" t="str">
        <f t="shared" si="0"/>
        <v>January</v>
      </c>
      <c r="B73" s="44">
        <v>2008</v>
      </c>
      <c r="C73" s="58">
        <v>-36023.45</v>
      </c>
      <c r="D73" s="58">
        <v>-36023.45</v>
      </c>
      <c r="E73" s="58">
        <v>-32084.7</v>
      </c>
      <c r="F73" s="58">
        <v>-82280.12</v>
      </c>
      <c r="G73" s="58">
        <v>-94399.87</v>
      </c>
      <c r="H73" s="58">
        <v>-328880.56</v>
      </c>
      <c r="I73" s="70">
        <f t="shared" si="2"/>
        <v>-609692.15</v>
      </c>
    </row>
    <row r="74" spans="1:9" ht="12.75">
      <c r="A74" t="str">
        <f t="shared" si="0"/>
        <v>February</v>
      </c>
      <c r="B74" s="44"/>
      <c r="C74" s="58">
        <v>-36159.39</v>
      </c>
      <c r="D74" s="58">
        <v>-36159.39</v>
      </c>
      <c r="E74" s="58">
        <v>-32610.68</v>
      </c>
      <c r="F74" s="58">
        <v>-82500.71</v>
      </c>
      <c r="G74" s="58">
        <v>-95947.38</v>
      </c>
      <c r="H74" s="58">
        <v>-329699.05</v>
      </c>
      <c r="I74" s="70">
        <f t="shared" si="2"/>
        <v>-613076.6</v>
      </c>
    </row>
    <row r="75" spans="1:9" ht="12.75">
      <c r="A75" t="str">
        <f t="shared" si="0"/>
        <v>March</v>
      </c>
      <c r="B75" s="44"/>
      <c r="C75" s="58">
        <v>-36295.33</v>
      </c>
      <c r="D75" s="58">
        <v>-36295.33</v>
      </c>
      <c r="E75" s="58">
        <v>-33136.66</v>
      </c>
      <c r="F75" s="58">
        <v>-82721.3</v>
      </c>
      <c r="G75" s="58">
        <v>-97797.08</v>
      </c>
      <c r="H75" s="58">
        <v>-330517.54</v>
      </c>
      <c r="I75" s="70">
        <f t="shared" si="2"/>
        <v>-616763.24</v>
      </c>
    </row>
    <row r="76" spans="1:9" ht="12.75">
      <c r="A76" t="str">
        <f t="shared" si="0"/>
        <v>April</v>
      </c>
      <c r="B76" s="44"/>
      <c r="C76" s="58">
        <v>-36431.27</v>
      </c>
      <c r="D76" s="58">
        <v>-36431.27</v>
      </c>
      <c r="E76" s="58">
        <v>-33662.64</v>
      </c>
      <c r="F76" s="58">
        <v>-82941.89</v>
      </c>
      <c r="G76" s="58">
        <v>-99646.78</v>
      </c>
      <c r="H76" s="58">
        <v>-331336.03</v>
      </c>
      <c r="I76" s="70">
        <f t="shared" si="2"/>
        <v>-620449.88</v>
      </c>
    </row>
    <row r="77" spans="1:9" ht="12.75">
      <c r="A77" t="str">
        <f t="shared" si="0"/>
        <v>May</v>
      </c>
      <c r="B77" s="44"/>
      <c r="C77" s="58">
        <v>-36567.21</v>
      </c>
      <c r="D77" s="58">
        <v>-36567.21</v>
      </c>
      <c r="E77" s="58">
        <v>-34188.62</v>
      </c>
      <c r="F77" s="58">
        <v>-83162.48</v>
      </c>
      <c r="G77" s="58">
        <v>-101496.48</v>
      </c>
      <c r="H77" s="58">
        <v>-322154.52</v>
      </c>
      <c r="I77" s="70">
        <f t="shared" si="2"/>
        <v>-614136.52</v>
      </c>
    </row>
    <row r="78" spans="1:9" ht="12.75">
      <c r="A78" t="str">
        <f t="shared" si="0"/>
        <v>June</v>
      </c>
      <c r="B78" s="44"/>
      <c r="C78" s="58">
        <v>-36703.15</v>
      </c>
      <c r="D78" s="58">
        <v>-36703.15</v>
      </c>
      <c r="E78" s="58">
        <v>-34714.6</v>
      </c>
      <c r="F78" s="58">
        <v>-83383.07</v>
      </c>
      <c r="G78" s="58">
        <f>-103346.18+4222.4</f>
        <v>-99123.78</v>
      </c>
      <c r="H78" s="58">
        <v>-332973.01</v>
      </c>
      <c r="I78" s="70">
        <f t="shared" si="2"/>
        <v>-623600.76</v>
      </c>
    </row>
    <row r="79" spans="1:9" ht="12.75">
      <c r="A79" t="str">
        <f t="shared" si="0"/>
        <v>July</v>
      </c>
      <c r="B79" s="44"/>
      <c r="C79" s="58">
        <v>-36703.15</v>
      </c>
      <c r="D79" s="58">
        <v>-36839.09</v>
      </c>
      <c r="E79" s="58">
        <v>-35240.58</v>
      </c>
      <c r="F79" s="58">
        <v>-83603.66</v>
      </c>
      <c r="G79" s="58">
        <f>-105195.88+5428.8</f>
        <v>-99767.08</v>
      </c>
      <c r="H79" s="58">
        <v>-333791.5</v>
      </c>
      <c r="I79" s="70">
        <f t="shared" si="2"/>
        <v>-625945.06</v>
      </c>
    </row>
    <row r="80" spans="1:9" ht="12.75">
      <c r="A80" t="str">
        <f t="shared" si="0"/>
        <v>August</v>
      </c>
      <c r="B80" s="44"/>
      <c r="C80" s="58">
        <v>-36975.03</v>
      </c>
      <c r="D80" s="58">
        <v>-36975.03</v>
      </c>
      <c r="E80" s="58">
        <v>-35766.56</v>
      </c>
      <c r="F80" s="58">
        <v>-83824.25</v>
      </c>
      <c r="G80" s="58">
        <f>6635.2-107045.58</f>
        <v>-100410.38</v>
      </c>
      <c r="H80" s="58">
        <v>-334609.99</v>
      </c>
      <c r="I80" s="70">
        <f t="shared" si="2"/>
        <v>-628561.24</v>
      </c>
    </row>
    <row r="81" spans="1:9" ht="12.75">
      <c r="A81" t="s">
        <v>663</v>
      </c>
      <c r="B81" s="44"/>
      <c r="C81" s="58">
        <v>-37110.97</v>
      </c>
      <c r="D81" s="58">
        <v>-37110.97</v>
      </c>
      <c r="E81" s="58">
        <v>-36292.54</v>
      </c>
      <c r="F81" s="58">
        <v>-84044.84</v>
      </c>
      <c r="G81" s="58">
        <f>7841.6-108895.28</f>
        <v>-101053.68</v>
      </c>
      <c r="H81" s="58">
        <v>-335428.48</v>
      </c>
      <c r="I81" s="70">
        <f t="shared" si="2"/>
        <v>-631041.48</v>
      </c>
    </row>
    <row r="82" ht="12.75">
      <c r="G82" s="46"/>
    </row>
    <row r="83" spans="1:9" ht="13.5" thickBot="1">
      <c r="A83" t="s">
        <v>587</v>
      </c>
      <c r="C83" s="69">
        <f>C81</f>
        <v>-37110.97</v>
      </c>
      <c r="D83" s="69">
        <f aca="true" t="shared" si="3" ref="D83:I83">D81</f>
        <v>-37110.97</v>
      </c>
      <c r="E83" s="69">
        <f t="shared" si="3"/>
        <v>-36292.54</v>
      </c>
      <c r="F83" s="69">
        <f t="shared" si="3"/>
        <v>-84044.84</v>
      </c>
      <c r="G83" s="69">
        <f t="shared" si="3"/>
        <v>-101053.68</v>
      </c>
      <c r="H83" s="69">
        <f t="shared" si="3"/>
        <v>-335428.48</v>
      </c>
      <c r="I83" s="69">
        <f t="shared" si="3"/>
        <v>-631041.48</v>
      </c>
    </row>
    <row r="84" spans="1:8" ht="13.5" thickTop="1">
      <c r="A84" s="71" t="str">
        <f>IF(Data!H8="September 30, 2008"," ","     Adjust Above Formula To Get The Correct Ending Balance Amount")</f>
        <v> </v>
      </c>
      <c r="H84" s="47"/>
    </row>
    <row r="85" spans="1:9" ht="13.5" thickBot="1">
      <c r="A85" t="s">
        <v>588</v>
      </c>
      <c r="C85" s="69">
        <f>(((+C69+C81)/2+SUM(C70:C80))/12)</f>
        <v>-36284</v>
      </c>
      <c r="D85" s="69">
        <f aca="true" t="shared" si="4" ref="D85:I85">(((+D69+D81)/2+SUM(D70:D80))/12)</f>
        <v>-36295.33</v>
      </c>
      <c r="E85" s="69">
        <f t="shared" si="4"/>
        <v>-33136.66</v>
      </c>
      <c r="F85" s="69">
        <f t="shared" si="4"/>
        <v>-82721.3</v>
      </c>
      <c r="G85" s="69">
        <f t="shared" si="4"/>
        <v>-96427.93</v>
      </c>
      <c r="H85" s="69">
        <f t="shared" si="4"/>
        <v>-329634.98</v>
      </c>
      <c r="I85" s="69">
        <f t="shared" si="4"/>
        <v>-614500.2</v>
      </c>
    </row>
    <row r="86" spans="1:8" ht="13.5" thickTop="1">
      <c r="A86" s="71" t="str">
        <f>IF(Data!H8="September 30, 2008"," ","     Adjust Above Formula To Get The Correct AMA Balance Amount")</f>
        <v> </v>
      </c>
      <c r="G86" s="46"/>
      <c r="H86" s="46"/>
    </row>
  </sheetData>
  <printOptions gridLines="1" headings="1"/>
  <pageMargins left="0.75" right="0.75" top="1" bottom="1" header="0.5" footer="0.5"/>
  <pageSetup fitToHeight="1" fitToWidth="1" horizontalDpi="600" verticalDpi="600" orientation="landscape" scale="95" r:id="rId1"/>
</worksheet>
</file>

<file path=xl/worksheets/sheet27.xml><?xml version="1.0" encoding="utf-8"?>
<worksheet xmlns="http://schemas.openxmlformats.org/spreadsheetml/2006/main" xmlns:r="http://schemas.openxmlformats.org/officeDocument/2006/relationships">
  <sheetPr codeName="Sheet2"/>
  <dimension ref="A1:R183"/>
  <sheetViews>
    <sheetView workbookViewId="0" topLeftCell="A1">
      <pane xSplit="4" ySplit="7" topLeftCell="E8" activePane="bottomRight" state="frozen"/>
      <selection pane="topLeft" activeCell="A3" sqref="A3"/>
      <selection pane="topRight" activeCell="A3" sqref="A3"/>
      <selection pane="bottomLeft" activeCell="A3" sqref="A3"/>
      <selection pane="bottomRight" activeCell="D86" sqref="D86"/>
    </sheetView>
  </sheetViews>
  <sheetFormatPr defaultColWidth="9.00390625" defaultRowHeight="12.75"/>
  <cols>
    <col min="1" max="1" width="8.875" style="123" customWidth="1"/>
    <col min="2" max="2" width="11.50390625" style="123" customWidth="1"/>
    <col min="3" max="3" width="15.00390625" style="123" customWidth="1"/>
    <col min="4" max="4" width="14.875" style="123" customWidth="1"/>
    <col min="5" max="5" width="13.625" style="123" customWidth="1"/>
    <col min="6" max="6" width="16.875" style="123" customWidth="1"/>
    <col min="7" max="7" width="14.00390625" style="123" customWidth="1"/>
    <col min="8" max="10" width="13.875" style="123" customWidth="1"/>
    <col min="11" max="16384" width="9.375" style="123" customWidth="1"/>
  </cols>
  <sheetData>
    <row r="1" spans="1:18" ht="12.75">
      <c r="A1" s="120"/>
      <c r="B1" s="80"/>
      <c r="C1" s="80"/>
      <c r="D1" s="141"/>
      <c r="E1" s="80"/>
      <c r="F1" s="143"/>
      <c r="G1" s="160"/>
      <c r="H1" s="73"/>
      <c r="I1" s="73"/>
      <c r="J1" s="73"/>
      <c r="K1" s="73"/>
      <c r="L1" s="73"/>
      <c r="M1" s="73"/>
      <c r="N1" s="73"/>
      <c r="O1" s="73"/>
      <c r="P1" s="73"/>
      <c r="Q1" s="73"/>
      <c r="R1" s="73"/>
    </row>
    <row r="2" spans="1:18" ht="12.75">
      <c r="A2" s="124" t="s">
        <v>842</v>
      </c>
      <c r="B2" s="125"/>
      <c r="C2" s="126"/>
      <c r="D2" s="127"/>
      <c r="E2" s="128" t="s">
        <v>725</v>
      </c>
      <c r="F2" s="73"/>
      <c r="G2" s="161" t="str">
        <f>IF('E-CHK'!H8="December 31, 2008","check w/ Ron about updating cost of capital %"," ")</f>
        <v> </v>
      </c>
      <c r="H2" s="73"/>
      <c r="I2" s="73"/>
      <c r="J2" s="73"/>
      <c r="K2" s="73"/>
      <c r="L2" s="73"/>
      <c r="M2" s="73"/>
      <c r="N2" s="73"/>
      <c r="O2" s="73"/>
      <c r="P2" s="73"/>
      <c r="Q2" s="73"/>
      <c r="R2" s="73"/>
    </row>
    <row r="3" spans="1:18" ht="12.75">
      <c r="A3" s="129" t="str">
        <f>tp_heading</f>
        <v>For Twelve Months Ended September 30, 2008</v>
      </c>
      <c r="B3" s="119"/>
      <c r="C3" s="119"/>
      <c r="D3" s="130"/>
      <c r="E3" s="131" t="str">
        <f>"E-CHK-"&amp;months&amp;rbcalc</f>
        <v>E-CHK-12A</v>
      </c>
      <c r="F3" s="73"/>
      <c r="G3" s="161"/>
      <c r="H3" s="73"/>
      <c r="I3" s="73"/>
      <c r="J3" s="73"/>
      <c r="K3" s="73"/>
      <c r="L3" s="73"/>
      <c r="M3" s="73"/>
      <c r="N3" s="73"/>
      <c r="O3" s="73"/>
      <c r="P3" s="73"/>
      <c r="Q3" s="73"/>
      <c r="R3" s="73"/>
    </row>
    <row r="4" spans="1:18" ht="12.75">
      <c r="A4" s="132" t="str">
        <f>rbcalc_heading</f>
        <v>Average of Monthly Averages Basis</v>
      </c>
      <c r="B4" s="133"/>
      <c r="C4" s="134"/>
      <c r="D4" s="135"/>
      <c r="E4" s="136"/>
      <c r="F4" s="73"/>
      <c r="G4" s="121"/>
      <c r="H4" s="73"/>
      <c r="I4" s="73"/>
      <c r="J4" s="73"/>
      <c r="K4" s="73"/>
      <c r="L4" s="73"/>
      <c r="M4" s="73"/>
      <c r="N4" s="73"/>
      <c r="O4" s="73"/>
      <c r="P4" s="73"/>
      <c r="Q4" s="73"/>
      <c r="R4" s="73"/>
    </row>
    <row r="5" spans="1:18" ht="12.75">
      <c r="A5" s="162" t="s">
        <v>843</v>
      </c>
      <c r="B5" s="163"/>
      <c r="C5" s="145" t="s">
        <v>844</v>
      </c>
      <c r="D5" s="134"/>
      <c r="E5" s="134"/>
      <c r="F5" s="145" t="s">
        <v>845</v>
      </c>
      <c r="G5" s="145"/>
      <c r="H5" s="145" t="s">
        <v>846</v>
      </c>
      <c r="I5" s="145"/>
      <c r="J5" s="145"/>
      <c r="K5" s="145"/>
      <c r="L5" s="73"/>
      <c r="M5" s="73"/>
      <c r="N5" s="73"/>
      <c r="O5" s="73"/>
      <c r="P5" s="73"/>
      <c r="Q5" s="73"/>
      <c r="R5" s="73"/>
    </row>
    <row r="6" spans="1:18" ht="12.75">
      <c r="A6" s="164"/>
      <c r="B6" s="165"/>
      <c r="C6" s="164"/>
      <c r="D6" s="166"/>
      <c r="E6" s="166"/>
      <c r="F6" s="164"/>
      <c r="G6" s="121" t="str">
        <f>IF(Data!H8="January 31, 2008","UPDATE FOUR FACTORS"," ")</f>
        <v> </v>
      </c>
      <c r="H6" s="164"/>
      <c r="I6" s="164"/>
      <c r="J6" s="164"/>
      <c r="K6" s="164"/>
      <c r="L6" s="73"/>
      <c r="M6" s="73"/>
      <c r="N6" s="73"/>
      <c r="O6" s="73"/>
      <c r="P6" s="73"/>
      <c r="Q6" s="73"/>
      <c r="R6" s="73"/>
    </row>
    <row r="7" spans="1:18" ht="12.75">
      <c r="A7" s="120" t="s">
        <v>847</v>
      </c>
      <c r="B7" s="80"/>
      <c r="C7" s="80"/>
      <c r="D7" s="141"/>
      <c r="E7" s="80"/>
      <c r="F7" s="143"/>
      <c r="G7" s="122" t="str">
        <f>IF(+'E-APL'!H10=0," ","NEED TO ADJUST FAS 109 ELECTRIC PLANT AMOUNT IN E-APL TO BE")</f>
        <v> </v>
      </c>
      <c r="H7" s="73"/>
      <c r="I7" s="73"/>
      <c r="J7" s="167"/>
      <c r="K7" s="73"/>
      <c r="L7" s="73"/>
      <c r="M7" s="73"/>
      <c r="N7" s="73"/>
      <c r="O7" s="73"/>
      <c r="P7" s="73"/>
      <c r="Q7" s="73"/>
      <c r="R7" s="73"/>
    </row>
    <row r="8" spans="1:18" ht="13.5" thickBot="1">
      <c r="A8" s="120" t="s">
        <v>737</v>
      </c>
      <c r="B8" s="80"/>
      <c r="C8" s="120" t="s">
        <v>848</v>
      </c>
      <c r="D8" s="141"/>
      <c r="E8" s="73"/>
      <c r="F8" s="168">
        <f>'Electric Operations - IS'!H26</f>
        <v>871907148</v>
      </c>
      <c r="G8" s="122" t="str">
        <f>IF(G7=" "," ","SURE THAT IT IS ZERO UNTIL THERESA CHANGES THE CODING FOR")</f>
        <v> </v>
      </c>
      <c r="H8" s="73"/>
      <c r="I8" s="73"/>
      <c r="J8" s="167"/>
      <c r="K8" s="73"/>
      <c r="L8" s="73"/>
      <c r="M8" s="73"/>
      <c r="N8" s="73"/>
      <c r="O8" s="73"/>
      <c r="P8" s="73"/>
      <c r="Q8" s="73"/>
      <c r="R8" s="73"/>
    </row>
    <row r="9" spans="1:18" ht="13.5" thickTop="1">
      <c r="A9" s="120"/>
      <c r="B9" s="80"/>
      <c r="C9" s="120"/>
      <c r="D9" s="141"/>
      <c r="E9" s="73"/>
      <c r="F9" s="73"/>
      <c r="G9" s="122"/>
      <c r="H9" s="73"/>
      <c r="I9" s="73"/>
      <c r="J9" s="167"/>
      <c r="K9" s="73"/>
      <c r="L9" s="73"/>
      <c r="M9" s="73"/>
      <c r="N9" s="73"/>
      <c r="O9" s="73"/>
      <c r="P9" s="73"/>
      <c r="Q9" s="73"/>
      <c r="R9" s="73"/>
    </row>
    <row r="10" spans="1:18" ht="13.5" thickBot="1">
      <c r="A10" s="120" t="s">
        <v>737</v>
      </c>
      <c r="B10" s="80"/>
      <c r="C10" s="120" t="s">
        <v>849</v>
      </c>
      <c r="D10" s="141"/>
      <c r="E10" s="73"/>
      <c r="F10" s="168">
        <f>'Electric Operations - IS'!H84+'Electric Operations - IS'!H103+'Electric Operations - IS'!H150+'Electric Operations - IS'!H161+'Electric Operations - IS'!H167+'Electric Operations - IS'!H174+'Electric Operations - IS'!H189</f>
        <v>611551766</v>
      </c>
      <c r="H10" s="73"/>
      <c r="I10" s="73"/>
      <c r="J10" s="73"/>
      <c r="K10" s="73"/>
      <c r="L10" s="73"/>
      <c r="M10" s="73"/>
      <c r="N10" s="73"/>
      <c r="O10" s="73"/>
      <c r="P10" s="73"/>
      <c r="Q10" s="73"/>
      <c r="R10" s="73"/>
    </row>
    <row r="11" spans="1:18" ht="13.5" thickTop="1">
      <c r="A11" s="120"/>
      <c r="B11" s="80"/>
      <c r="C11" s="120"/>
      <c r="D11" s="141"/>
      <c r="E11" s="73"/>
      <c r="F11" s="73"/>
      <c r="G11" s="73"/>
      <c r="H11" s="73"/>
      <c r="I11" s="73"/>
      <c r="J11" s="73"/>
      <c r="K11" s="73"/>
      <c r="L11" s="73"/>
      <c r="M11" s="73"/>
      <c r="N11" s="73"/>
      <c r="O11" s="73"/>
      <c r="P11" s="73"/>
      <c r="Q11" s="73"/>
      <c r="R11" s="73"/>
    </row>
    <row r="12" spans="1:18" ht="12.75" hidden="1">
      <c r="A12" s="120"/>
      <c r="B12" s="73" t="str">
        <f>'Electric Operations - IS'!C45</f>
        <v>TOTAL STEAM POWER GENERATION EXP</v>
      </c>
      <c r="C12" s="120"/>
      <c r="D12" s="141"/>
      <c r="E12" s="73"/>
      <c r="F12" s="73">
        <f>'Electric Operations - IS'!H45</f>
        <v>38705971</v>
      </c>
      <c r="G12" s="73"/>
      <c r="H12" s="73"/>
      <c r="I12" s="73"/>
      <c r="J12" s="73"/>
      <c r="K12" s="73"/>
      <c r="L12" s="73"/>
      <c r="M12" s="73"/>
      <c r="N12" s="73"/>
      <c r="O12" s="73"/>
      <c r="P12" s="73"/>
      <c r="Q12" s="73"/>
      <c r="R12" s="73"/>
    </row>
    <row r="13" spans="1:18" ht="12.75" hidden="1">
      <c r="A13" s="120"/>
      <c r="B13" s="73" t="str">
        <f>'Electric Operations - IS'!C62</f>
        <v>TOTAL HYDRO POWER GENERATION EXP</v>
      </c>
      <c r="C13" s="120"/>
      <c r="D13" s="141"/>
      <c r="E13" s="73"/>
      <c r="F13" s="73">
        <f>'Electric Operations - IS'!H62</f>
        <v>15961917</v>
      </c>
      <c r="G13" s="73"/>
      <c r="H13" s="73"/>
      <c r="I13" s="73"/>
      <c r="J13" s="73"/>
      <c r="K13" s="73"/>
      <c r="L13" s="73"/>
      <c r="M13" s="73"/>
      <c r="N13" s="73"/>
      <c r="O13" s="73"/>
      <c r="P13" s="73"/>
      <c r="Q13" s="73"/>
      <c r="R13" s="73"/>
    </row>
    <row r="14" spans="1:18" ht="12.75" hidden="1">
      <c r="A14" s="120"/>
      <c r="B14" s="73" t="str">
        <f>'Electric Operations - IS'!C77</f>
        <v>TOTAL OTHER POWER GENERATION EXP</v>
      </c>
      <c r="C14" s="120"/>
      <c r="D14" s="141"/>
      <c r="E14" s="73"/>
      <c r="F14" s="73">
        <f>'Electric Operations - IS'!H77</f>
        <v>117349662</v>
      </c>
      <c r="G14" s="73"/>
      <c r="H14" s="73"/>
      <c r="I14" s="73"/>
      <c r="J14" s="73"/>
      <c r="K14" s="73"/>
      <c r="L14" s="73"/>
      <c r="M14" s="73"/>
      <c r="N14" s="73"/>
      <c r="O14" s="73"/>
      <c r="P14" s="73"/>
      <c r="Q14" s="73"/>
      <c r="R14" s="73"/>
    </row>
    <row r="15" spans="1:18" ht="12.75" hidden="1">
      <c r="A15" s="120"/>
      <c r="B15" s="73" t="str">
        <f>'Electric Operations - IS'!C83</f>
        <v>TOTAL OTHER POWER SUPPLY EXPENSE</v>
      </c>
      <c r="C15" s="120"/>
      <c r="D15" s="141"/>
      <c r="E15" s="73"/>
      <c r="F15" s="73">
        <f>'Electric Operations - IS'!H83</f>
        <v>307352033</v>
      </c>
      <c r="G15" s="73"/>
      <c r="H15" s="73"/>
      <c r="I15" s="73"/>
      <c r="J15" s="73"/>
      <c r="K15" s="73"/>
      <c r="L15" s="73"/>
      <c r="M15" s="73"/>
      <c r="N15" s="73"/>
      <c r="O15" s="73"/>
      <c r="P15" s="73"/>
      <c r="Q15" s="73"/>
      <c r="R15" s="73"/>
    </row>
    <row r="16" spans="1:18" ht="12.75" hidden="1">
      <c r="A16" s="120"/>
      <c r="B16" s="73" t="str">
        <f>+'Electric Operations - IS'!C103</f>
        <v>TOTAL TRANSMISSION OPERATING EXP</v>
      </c>
      <c r="C16" s="120"/>
      <c r="D16" s="141"/>
      <c r="E16" s="73"/>
      <c r="F16" s="73">
        <f>+'Electric Operations - IS'!H103</f>
        <v>23436500</v>
      </c>
      <c r="G16" s="73"/>
      <c r="H16" s="73"/>
      <c r="I16" s="73"/>
      <c r="J16" s="73"/>
      <c r="K16" s="73"/>
      <c r="L16" s="73"/>
      <c r="M16" s="73"/>
      <c r="N16" s="73"/>
      <c r="O16" s="73"/>
      <c r="P16" s="73"/>
      <c r="Q16" s="73"/>
      <c r="R16" s="73"/>
    </row>
    <row r="17" spans="1:18" ht="12.75" hidden="1">
      <c r="A17" s="120"/>
      <c r="B17" s="73" t="str">
        <f>+'Electric Operations - IS'!C150</f>
        <v>TOTAL DISTRIBUTION OPERATING EXP</v>
      </c>
      <c r="C17" s="120"/>
      <c r="D17" s="141"/>
      <c r="E17" s="73"/>
      <c r="F17" s="73">
        <f>+'Electric Operations - IS'!H150</f>
        <v>25859379</v>
      </c>
      <c r="G17" s="73"/>
      <c r="H17" s="73"/>
      <c r="I17" s="73"/>
      <c r="J17" s="73"/>
      <c r="K17" s="73"/>
      <c r="L17" s="73"/>
      <c r="M17" s="73"/>
      <c r="N17" s="73"/>
      <c r="O17" s="73"/>
      <c r="P17" s="73"/>
      <c r="Q17" s="73"/>
      <c r="R17" s="73"/>
    </row>
    <row r="18" spans="1:18" ht="12.75" hidden="1">
      <c r="A18" s="120"/>
      <c r="B18" s="73" t="str">
        <f>+'Electric Operations - IS'!C161</f>
        <v>TOTAL CUSTOMER ACCOUNTS EXPENSES</v>
      </c>
      <c r="C18" s="120"/>
      <c r="D18" s="141"/>
      <c r="E18" s="73"/>
      <c r="F18" s="73">
        <f>+'Electric Operations - IS'!H161</f>
        <v>12201949</v>
      </c>
      <c r="G18" s="73"/>
      <c r="H18" s="73"/>
      <c r="I18" s="73"/>
      <c r="J18" s="73"/>
      <c r="K18" s="73"/>
      <c r="L18" s="73"/>
      <c r="M18" s="73"/>
      <c r="N18" s="73"/>
      <c r="O18" s="73"/>
      <c r="P18" s="73"/>
      <c r="Q18" s="73"/>
      <c r="R18" s="73"/>
    </row>
    <row r="19" spans="1:18" ht="12.75" hidden="1">
      <c r="A19" s="120"/>
      <c r="B19" s="73" t="str">
        <f>+'Electric Operations - IS'!C167</f>
        <v>TOTAL CUSTOMER SERVICE &amp; INFO EXP</v>
      </c>
      <c r="C19" s="120"/>
      <c r="D19" s="141"/>
      <c r="E19" s="73"/>
      <c r="F19" s="73">
        <f>+'Electric Operations - IS'!H167</f>
        <v>15319793</v>
      </c>
      <c r="G19" s="73"/>
      <c r="H19" s="73"/>
      <c r="I19" s="73"/>
      <c r="J19" s="73"/>
      <c r="K19" s="73"/>
      <c r="L19" s="73"/>
      <c r="M19" s="73"/>
      <c r="N19" s="73"/>
      <c r="O19" s="73"/>
      <c r="P19" s="73"/>
      <c r="Q19" s="73"/>
      <c r="R19" s="73"/>
    </row>
    <row r="20" spans="1:18" ht="12.75" hidden="1">
      <c r="A20" s="120"/>
      <c r="B20" s="73" t="str">
        <f>'Electric Operations - IS'!C174</f>
        <v>TOTAL SALES EXPENSES</v>
      </c>
      <c r="C20" s="120"/>
      <c r="D20" s="141"/>
      <c r="E20" s="73"/>
      <c r="F20" s="73">
        <f>'Electric Operations - IS'!H174</f>
        <v>957185</v>
      </c>
      <c r="G20" s="73"/>
      <c r="H20" s="73"/>
      <c r="I20" s="73"/>
      <c r="J20" s="73"/>
      <c r="K20" s="73"/>
      <c r="L20" s="73"/>
      <c r="M20" s="73"/>
      <c r="N20" s="73"/>
      <c r="O20" s="73"/>
      <c r="P20" s="73"/>
      <c r="Q20" s="73"/>
      <c r="R20" s="73"/>
    </row>
    <row r="21" spans="1:18" ht="12.75" hidden="1">
      <c r="A21" s="120"/>
      <c r="B21" s="73" t="str">
        <f>'Electric Operations - IS'!C189</f>
        <v>TOTAL ADMIN &amp; GEN OPERATING EXP</v>
      </c>
      <c r="C21" s="120"/>
      <c r="D21" s="141"/>
      <c r="E21" s="73"/>
      <c r="F21" s="73">
        <f>'Electric Operations - IS'!H189</f>
        <v>54407377</v>
      </c>
      <c r="G21" s="73"/>
      <c r="H21" s="73"/>
      <c r="I21" s="73"/>
      <c r="J21" s="73"/>
      <c r="K21" s="73"/>
      <c r="L21" s="73"/>
      <c r="M21" s="73"/>
      <c r="N21" s="73"/>
      <c r="O21" s="73"/>
      <c r="P21" s="73"/>
      <c r="Q21" s="73"/>
      <c r="R21" s="73"/>
    </row>
    <row r="22" spans="1:18" ht="13.5" hidden="1" thickBot="1">
      <c r="A22" s="120"/>
      <c r="B22" s="80"/>
      <c r="C22" s="120"/>
      <c r="D22" s="141"/>
      <c r="E22" s="73"/>
      <c r="F22" s="169">
        <f>SUM(F12:F21)</f>
        <v>611551766</v>
      </c>
      <c r="G22" s="73"/>
      <c r="H22" s="73"/>
      <c r="I22" s="73"/>
      <c r="J22" s="73"/>
      <c r="K22" s="73"/>
      <c r="L22" s="73"/>
      <c r="M22" s="73"/>
      <c r="N22" s="73"/>
      <c r="O22" s="73"/>
      <c r="P22" s="73"/>
      <c r="Q22" s="73"/>
      <c r="R22" s="73"/>
    </row>
    <row r="23" spans="1:18" ht="13.5" hidden="1" thickTop="1">
      <c r="A23" s="120"/>
      <c r="B23" s="80"/>
      <c r="C23" s="120"/>
      <c r="D23" s="141"/>
      <c r="E23" s="73"/>
      <c r="F23" s="73"/>
      <c r="G23" s="73"/>
      <c r="H23" s="73"/>
      <c r="I23" s="73"/>
      <c r="J23" s="73"/>
      <c r="K23" s="73"/>
      <c r="L23" s="73"/>
      <c r="M23" s="73"/>
      <c r="N23" s="73"/>
      <c r="O23" s="73"/>
      <c r="P23" s="73"/>
      <c r="Q23" s="73"/>
      <c r="R23" s="73"/>
    </row>
    <row r="24" spans="1:18" ht="12.75">
      <c r="A24" s="120" t="s">
        <v>778</v>
      </c>
      <c r="B24" s="80"/>
      <c r="C24" s="120" t="s">
        <v>850</v>
      </c>
      <c r="D24" s="141"/>
      <c r="E24" s="73"/>
      <c r="F24" s="73">
        <f>+'Electric Operations - IS'!H105+'Electric Operations - IS'!H106+'Electric Operations - IS'!H151+'Electric Operations - IS'!H191</f>
        <v>66991675</v>
      </c>
      <c r="G24" s="73"/>
      <c r="H24" s="73"/>
      <c r="I24" s="73"/>
      <c r="J24" s="73"/>
      <c r="K24" s="73"/>
      <c r="L24" s="73"/>
      <c r="M24" s="73"/>
      <c r="N24" s="73"/>
      <c r="O24" s="73"/>
      <c r="P24" s="73"/>
      <c r="Q24" s="73"/>
      <c r="R24" s="73"/>
    </row>
    <row r="25" spans="1:18" ht="12.75" hidden="1">
      <c r="A25" s="120"/>
      <c r="B25" s="80"/>
      <c r="C25" s="120"/>
      <c r="D25" s="141"/>
      <c r="E25" s="73"/>
      <c r="F25" s="73"/>
      <c r="G25" s="73"/>
      <c r="H25" s="73"/>
      <c r="I25" s="73"/>
      <c r="J25" s="73"/>
      <c r="K25" s="73"/>
      <c r="L25" s="73"/>
      <c r="M25" s="73"/>
      <c r="N25" s="73"/>
      <c r="O25" s="73"/>
      <c r="P25" s="73"/>
      <c r="Q25" s="73"/>
      <c r="R25" s="73"/>
    </row>
    <row r="26" spans="1:18" ht="12.75" hidden="1">
      <c r="A26" s="120"/>
      <c r="B26" s="73" t="str">
        <f>+'Electric Operations - IS'!C105</f>
        <v>Deprec Exp-Prod Plant (403x10, 403x20, 403x30)</v>
      </c>
      <c r="E26" s="73"/>
      <c r="F26" s="73">
        <f>+'Electric Operations - IS'!H105</f>
        <v>26922419</v>
      </c>
      <c r="G26" s="138" t="str">
        <f>+Data!G46</f>
        <v>20403X10</v>
      </c>
      <c r="I26" s="73">
        <f>+Data!H46</f>
        <v>10611357</v>
      </c>
      <c r="J26" s="73"/>
      <c r="K26" s="73"/>
      <c r="L26" s="73"/>
      <c r="M26" s="73"/>
      <c r="N26" s="73"/>
      <c r="O26" s="73"/>
      <c r="P26" s="73"/>
      <c r="Q26" s="73"/>
      <c r="R26" s="73"/>
    </row>
    <row r="27" spans="1:18" ht="12.75" hidden="1">
      <c r="A27" s="120"/>
      <c r="B27" s="73"/>
      <c r="E27" s="73"/>
      <c r="F27" s="73"/>
      <c r="G27" s="138" t="str">
        <f>+Data!G47</f>
        <v>20403X20</v>
      </c>
      <c r="I27" s="73">
        <f>+Data!H47</f>
        <v>7082010</v>
      </c>
      <c r="J27" s="73"/>
      <c r="K27" s="73"/>
      <c r="L27" s="73"/>
      <c r="M27" s="73"/>
      <c r="N27" s="73"/>
      <c r="O27" s="73"/>
      <c r="P27" s="73"/>
      <c r="Q27" s="73"/>
      <c r="R27" s="73"/>
    </row>
    <row r="28" spans="1:18" ht="12.75" hidden="1">
      <c r="A28" s="120"/>
      <c r="B28" s="73"/>
      <c r="E28" s="73"/>
      <c r="F28" s="73"/>
      <c r="G28" s="138" t="str">
        <f>+Data!G48</f>
        <v>20403X30</v>
      </c>
      <c r="I28" s="73">
        <f>+Data!H48</f>
        <v>9229052</v>
      </c>
      <c r="J28" s="170">
        <f>SUM(I26:I28)</f>
        <v>26922419</v>
      </c>
      <c r="K28" s="73"/>
      <c r="L28" s="73"/>
      <c r="M28" s="73"/>
      <c r="N28" s="73"/>
      <c r="O28" s="73"/>
      <c r="P28" s="73"/>
      <c r="Q28" s="73"/>
      <c r="R28" s="73"/>
    </row>
    <row r="29" spans="1:18" ht="12.75" hidden="1">
      <c r="A29" s="120"/>
      <c r="B29" s="73" t="str">
        <f>+'Electric Operations - IS'!C106</f>
        <v>Depreciation Expense--Transmission Plant</v>
      </c>
      <c r="E29" s="73"/>
      <c r="F29" s="73">
        <f>+'Electric Operations - IS'!H106</f>
        <v>9593340</v>
      </c>
      <c r="G29" s="138" t="str">
        <f>+Data!G49</f>
        <v>20403X40</v>
      </c>
      <c r="I29" s="73">
        <f>+Data!H49</f>
        <v>9593340</v>
      </c>
      <c r="J29" s="170"/>
      <c r="K29" s="73"/>
      <c r="L29" s="73"/>
      <c r="M29" s="73"/>
      <c r="N29" s="73"/>
      <c r="O29" s="73"/>
      <c r="P29" s="73"/>
      <c r="Q29" s="73"/>
      <c r="R29" s="73"/>
    </row>
    <row r="30" spans="1:18" ht="12.75" hidden="1">
      <c r="A30" s="120"/>
      <c r="B30" s="73" t="str">
        <f>+'Electric Operations - IS'!C107</f>
        <v>Amortization of Limited-Term Plant</v>
      </c>
      <c r="E30" s="73"/>
      <c r="F30" s="73">
        <f>+'Electric Operations - IS'!H151</f>
        <v>22949716</v>
      </c>
      <c r="G30" s="138" t="str">
        <f>+Data!G50</f>
        <v>20403X50</v>
      </c>
      <c r="I30" s="73">
        <f>+Data!H50</f>
        <v>22949716</v>
      </c>
      <c r="J30" s="170"/>
      <c r="K30" s="73"/>
      <c r="L30" s="73"/>
      <c r="M30" s="73"/>
      <c r="N30" s="73"/>
      <c r="O30" s="73"/>
      <c r="P30" s="73"/>
      <c r="Q30" s="73"/>
      <c r="R30" s="73"/>
    </row>
    <row r="31" spans="1:18" ht="12.75" hidden="1">
      <c r="A31" s="120"/>
      <c r="B31" s="73" t="str">
        <f>+'Electric Operations - IS'!C108</f>
        <v>Amortization of Hydro Licensing Costs</v>
      </c>
      <c r="E31" s="73"/>
      <c r="F31" s="73">
        <f>+'Electric Operations - IS'!H191</f>
        <v>7526200</v>
      </c>
      <c r="G31" s="138" t="str">
        <f>+Data!G51</f>
        <v>20403X60</v>
      </c>
      <c r="H31" s="73">
        <f>+Data!H51</f>
        <v>2759926</v>
      </c>
      <c r="I31" s="170">
        <f>+H31</f>
        <v>2759926</v>
      </c>
      <c r="J31" s="73"/>
      <c r="K31" s="73"/>
      <c r="L31" s="73"/>
      <c r="M31" s="73"/>
      <c r="N31" s="73"/>
      <c r="O31" s="73"/>
      <c r="P31" s="73"/>
      <c r="Q31" s="73"/>
      <c r="R31" s="73"/>
    </row>
    <row r="32" spans="1:18" ht="12.75" hidden="1">
      <c r="A32" s="120"/>
      <c r="B32" s="73" t="str">
        <f>+'Electric Operations - IS'!C109</f>
        <v>Amortization of Investment in Exchange Power</v>
      </c>
      <c r="E32" s="73"/>
      <c r="G32" s="138" t="str">
        <f>+Data!G52</f>
        <v>27403X60</v>
      </c>
      <c r="H32" s="73">
        <f>+Data!H52</f>
        <v>5475146</v>
      </c>
      <c r="I32" s="73">
        <f>+'C-DEP'!G9</f>
        <v>3939915</v>
      </c>
      <c r="J32" s="73"/>
      <c r="K32" s="73"/>
      <c r="L32" s="73"/>
      <c r="M32" s="73"/>
      <c r="N32" s="73"/>
      <c r="O32" s="73"/>
      <c r="P32" s="73"/>
      <c r="Q32" s="73"/>
      <c r="R32" s="73"/>
    </row>
    <row r="33" spans="1:18" ht="12.75" hidden="1">
      <c r="A33" s="120"/>
      <c r="B33" s="80"/>
      <c r="C33" s="120"/>
      <c r="D33" s="141"/>
      <c r="E33" s="73"/>
      <c r="F33" s="73"/>
      <c r="G33" s="138" t="str">
        <f>+Data!G53</f>
        <v>28403X60</v>
      </c>
      <c r="H33" s="73">
        <f>+Data!H53</f>
        <v>114082</v>
      </c>
      <c r="I33" s="73">
        <f>+'C-DEP'!G10</f>
        <v>0</v>
      </c>
      <c r="J33" s="73"/>
      <c r="K33" s="73"/>
      <c r="L33" s="73"/>
      <c r="M33" s="73"/>
      <c r="N33" s="73"/>
      <c r="O33" s="73"/>
      <c r="P33" s="73"/>
      <c r="Q33" s="73"/>
      <c r="R33" s="73"/>
    </row>
    <row r="34" spans="1:18" ht="12.75" hidden="1">
      <c r="A34" s="120"/>
      <c r="B34" s="80"/>
      <c r="C34" s="120"/>
      <c r="D34" s="141"/>
      <c r="E34" s="73"/>
      <c r="F34" s="73"/>
      <c r="G34" s="138" t="str">
        <f>+Data!G54</f>
        <v>29403X60</v>
      </c>
      <c r="H34" s="73">
        <f>+Data!H54</f>
        <v>929694</v>
      </c>
      <c r="I34" s="73">
        <f>+'C-DEP'!G11+'C-DEP'!G12+'C-DEP'!G13</f>
        <v>735594</v>
      </c>
      <c r="J34" s="73"/>
      <c r="K34" s="73"/>
      <c r="L34" s="73"/>
      <c r="M34" s="73"/>
      <c r="N34" s="73"/>
      <c r="O34" s="73"/>
      <c r="P34" s="73"/>
      <c r="Q34" s="73"/>
      <c r="R34" s="73"/>
    </row>
    <row r="35" spans="1:18" ht="12.75" hidden="1">
      <c r="A35" s="120"/>
      <c r="B35" s="80"/>
      <c r="C35" s="120"/>
      <c r="D35" s="141"/>
      <c r="E35" s="73"/>
      <c r="F35" s="73"/>
      <c r="G35" s="138" t="str">
        <f>+Data!G55</f>
        <v>20403X70</v>
      </c>
      <c r="H35" s="73">
        <f>+Data!H55</f>
        <v>79156</v>
      </c>
      <c r="I35" s="73">
        <f>+H35</f>
        <v>79156</v>
      </c>
      <c r="J35" s="73"/>
      <c r="K35" s="73"/>
      <c r="L35" s="73"/>
      <c r="M35" s="73"/>
      <c r="N35" s="73"/>
      <c r="O35" s="73"/>
      <c r="P35" s="73"/>
      <c r="Q35" s="73"/>
      <c r="R35" s="73"/>
    </row>
    <row r="36" spans="1:18" ht="12.75" hidden="1">
      <c r="A36" s="120"/>
      <c r="B36" s="80"/>
      <c r="C36" s="120"/>
      <c r="D36" s="141"/>
      <c r="E36" s="73"/>
      <c r="F36" s="73"/>
      <c r="G36" s="138" t="str">
        <f>+Data!G56</f>
        <v>27403X70</v>
      </c>
      <c r="H36" s="73">
        <f>+Data!H56</f>
        <v>2037</v>
      </c>
      <c r="I36" s="73">
        <f>+'C-DEP'!G17</f>
        <v>1466</v>
      </c>
      <c r="J36" s="73"/>
      <c r="K36" s="73"/>
      <c r="L36" s="73"/>
      <c r="M36" s="73"/>
      <c r="N36" s="73"/>
      <c r="O36" s="73"/>
      <c r="P36" s="73"/>
      <c r="Q36" s="73"/>
      <c r="R36" s="73"/>
    </row>
    <row r="37" spans="1:18" ht="12.75" hidden="1">
      <c r="A37" s="120"/>
      <c r="B37" s="80"/>
      <c r="C37" s="120"/>
      <c r="D37" s="141"/>
      <c r="E37" s="73"/>
      <c r="F37" s="73"/>
      <c r="G37" s="138" t="str">
        <f>+Data!G57</f>
        <v>28403X70</v>
      </c>
      <c r="H37" s="73">
        <f>+Data!H57</f>
        <v>0</v>
      </c>
      <c r="I37" s="73">
        <f>+'C-DEP'!G18</f>
        <v>0</v>
      </c>
      <c r="J37" s="73"/>
      <c r="K37" s="73"/>
      <c r="L37" s="73"/>
      <c r="M37" s="73"/>
      <c r="N37" s="73"/>
      <c r="O37" s="73"/>
      <c r="P37" s="73"/>
      <c r="Q37" s="73"/>
      <c r="R37" s="73"/>
    </row>
    <row r="38" spans="1:18" ht="12.75" hidden="1">
      <c r="A38" s="120"/>
      <c r="B38" s="80"/>
      <c r="C38" s="120"/>
      <c r="D38" s="141"/>
      <c r="E38" s="73"/>
      <c r="F38" s="73"/>
      <c r="G38" s="138" t="str">
        <f>+Data!G58</f>
        <v>29403X70</v>
      </c>
      <c r="H38" s="73">
        <f>+Data!H58</f>
        <v>12818</v>
      </c>
      <c r="I38" s="73">
        <f>+'C-DEP'!G19</f>
        <v>10142</v>
      </c>
      <c r="J38" s="170">
        <f>SUM(I31:I38)</f>
        <v>7526199</v>
      </c>
      <c r="K38" s="73"/>
      <c r="L38" s="73"/>
      <c r="M38" s="73"/>
      <c r="N38" s="73"/>
      <c r="O38" s="73"/>
      <c r="P38" s="73"/>
      <c r="Q38" s="73"/>
      <c r="R38" s="73"/>
    </row>
    <row r="39" spans="1:18" ht="13.5" hidden="1" thickBot="1">
      <c r="A39" s="120"/>
      <c r="B39" s="80"/>
      <c r="C39" s="120"/>
      <c r="D39" s="141"/>
      <c r="E39" s="73"/>
      <c r="F39" s="169">
        <f>SUM(F26:F31)</f>
        <v>66991675</v>
      </c>
      <c r="I39" s="171">
        <f>SUM(I26:I38)</f>
        <v>66991674</v>
      </c>
      <c r="J39" s="73"/>
      <c r="K39" s="73"/>
      <c r="L39" s="73"/>
      <c r="M39" s="73"/>
      <c r="N39" s="73"/>
      <c r="O39" s="73"/>
      <c r="P39" s="73"/>
      <c r="Q39" s="73"/>
      <c r="R39" s="73"/>
    </row>
    <row r="40" spans="1:18" ht="12.75" hidden="1">
      <c r="A40" s="120"/>
      <c r="B40" s="80"/>
      <c r="C40" s="120"/>
      <c r="D40" s="141"/>
      <c r="E40" s="73"/>
      <c r="F40" s="73"/>
      <c r="G40" s="73"/>
      <c r="H40" s="73"/>
      <c r="I40" s="73"/>
      <c r="J40" s="73"/>
      <c r="K40" s="73"/>
      <c r="L40" s="73"/>
      <c r="M40" s="73"/>
      <c r="N40" s="73"/>
      <c r="O40" s="73"/>
      <c r="P40" s="73"/>
      <c r="Q40" s="73"/>
      <c r="R40" s="73"/>
    </row>
    <row r="41" spans="1:18" ht="12.75">
      <c r="A41" s="120" t="s">
        <v>737</v>
      </c>
      <c r="B41" s="80"/>
      <c r="C41" s="119" t="s">
        <v>851</v>
      </c>
      <c r="D41" s="119"/>
      <c r="E41" s="73"/>
      <c r="F41" s="73">
        <f>+'Electric Operations - IS'!H107+'Electric Operations - IS'!H108+'Electric Operations - IS'!H111+'Electric Operations - IS'!H112+'Electric Operations - IS'!H113+'Electric Operations - IS'!H192+'Electric Operations - IS'!H193</f>
        <v>3784426</v>
      </c>
      <c r="G41" s="73"/>
      <c r="H41" s="73"/>
      <c r="I41" s="73"/>
      <c r="J41" s="73"/>
      <c r="K41" s="73"/>
      <c r="L41" s="73"/>
      <c r="M41" s="73"/>
      <c r="N41" s="73"/>
      <c r="O41" s="73"/>
      <c r="P41" s="73"/>
      <c r="Q41" s="73"/>
      <c r="R41" s="73"/>
    </row>
    <row r="42" spans="1:18" ht="12.75" hidden="1">
      <c r="A42" s="120"/>
      <c r="B42" s="80"/>
      <c r="C42" s="119"/>
      <c r="D42" s="119"/>
      <c r="E42" s="73"/>
      <c r="F42" s="73"/>
      <c r="G42" s="73"/>
      <c r="H42" s="73"/>
      <c r="I42" s="73"/>
      <c r="J42" s="73"/>
      <c r="K42" s="73"/>
      <c r="L42" s="73"/>
      <c r="M42" s="73"/>
      <c r="N42" s="73"/>
      <c r="O42" s="73"/>
      <c r="P42" s="73"/>
      <c r="Q42" s="73"/>
      <c r="R42" s="73"/>
    </row>
    <row r="43" spans="1:18" ht="12.75" hidden="1">
      <c r="A43" s="120"/>
      <c r="B43" s="73" t="str">
        <f>+'Electric Operations - IS'!C107</f>
        <v>Amortization of Limited-Term Plant</v>
      </c>
      <c r="D43" s="119"/>
      <c r="E43" s="73"/>
      <c r="F43" s="73">
        <f>+'Electric Operations - IS'!H107</f>
        <v>90934</v>
      </c>
      <c r="G43" s="138" t="str">
        <f>+Data!G61</f>
        <v>20404X30</v>
      </c>
      <c r="I43" s="73">
        <f>+Data!H61</f>
        <v>90934</v>
      </c>
      <c r="J43" s="73"/>
      <c r="K43" s="73"/>
      <c r="L43" s="73"/>
      <c r="M43" s="73"/>
      <c r="N43" s="73"/>
      <c r="O43" s="73"/>
      <c r="P43" s="73"/>
      <c r="Q43" s="73"/>
      <c r="R43" s="73"/>
    </row>
    <row r="44" spans="1:18" ht="12.75" hidden="1">
      <c r="A44" s="120"/>
      <c r="B44" s="73" t="str">
        <f>+'Electric Operations - IS'!C108</f>
        <v>Amortization of Hydro Licensing Costs</v>
      </c>
      <c r="D44" s="119"/>
      <c r="E44" s="73"/>
      <c r="F44" s="73">
        <f>+'Electric Operations - IS'!H108</f>
        <v>337758</v>
      </c>
      <c r="G44" s="138" t="str">
        <f>+Data!G62</f>
        <v>20404X20</v>
      </c>
      <c r="I44" s="73">
        <f>+Data!H62</f>
        <v>337758</v>
      </c>
      <c r="J44" s="73"/>
      <c r="K44" s="73"/>
      <c r="L44" s="73"/>
      <c r="M44" s="73"/>
      <c r="N44" s="73"/>
      <c r="O44" s="73"/>
      <c r="P44" s="73"/>
      <c r="Q44" s="73"/>
      <c r="R44" s="73"/>
    </row>
    <row r="45" spans="1:18" ht="12.75" hidden="1">
      <c r="A45" s="120"/>
      <c r="B45" s="73" t="str">
        <f>+'Electric Operations - IS'!C111</f>
        <v>Amortization of Citizens Utilities Organization Costs</v>
      </c>
      <c r="D45" s="119"/>
      <c r="E45" s="73"/>
      <c r="F45" s="73">
        <f>+'Electric Operations - IS'!H111</f>
        <v>0</v>
      </c>
      <c r="G45" s="138" t="str">
        <f>+Data!G63</f>
        <v>20404X10</v>
      </c>
      <c r="I45" s="73">
        <f>+Data!H63</f>
        <v>0</v>
      </c>
      <c r="J45" s="73"/>
      <c r="K45" s="73"/>
      <c r="L45" s="73"/>
      <c r="M45" s="73"/>
      <c r="N45" s="73"/>
      <c r="O45" s="73"/>
      <c r="P45" s="73"/>
      <c r="Q45" s="73"/>
      <c r="R45" s="73"/>
    </row>
    <row r="46" spans="1:18" ht="12.75" hidden="1">
      <c r="A46" s="120"/>
      <c r="B46" s="73" t="str">
        <f>+'Electric Operations - IS'!C112</f>
        <v>Amortization of Leased Transportation Vehicles</v>
      </c>
      <c r="D46" s="119"/>
      <c r="E46" s="73"/>
      <c r="F46" s="73">
        <f>+'Electric Operations - IS'!H112</f>
        <v>0</v>
      </c>
      <c r="G46" s="138" t="str">
        <f>+Data!G79</f>
        <v>20404X60</v>
      </c>
      <c r="I46" s="73">
        <f>+Data!H79</f>
        <v>0</v>
      </c>
      <c r="J46" s="73"/>
      <c r="K46" s="73"/>
      <c r="L46" s="73"/>
      <c r="M46" s="73"/>
      <c r="N46" s="73"/>
      <c r="O46" s="73"/>
      <c r="P46" s="73"/>
      <c r="Q46" s="73"/>
      <c r="R46" s="73"/>
    </row>
    <row r="47" spans="1:18" ht="12.75" hidden="1">
      <c r="A47" s="120"/>
      <c r="B47" s="73"/>
      <c r="D47" s="119"/>
      <c r="E47" s="73"/>
      <c r="F47" s="73"/>
      <c r="G47" s="138" t="str">
        <f>+Data!G83</f>
        <v>20404X70</v>
      </c>
      <c r="I47" s="73">
        <f>+Data!H83</f>
        <v>0</v>
      </c>
      <c r="J47" s="73">
        <f>+I46+I47</f>
        <v>0</v>
      </c>
      <c r="K47" s="73"/>
      <c r="L47" s="73"/>
      <c r="M47" s="73"/>
      <c r="N47" s="73"/>
      <c r="O47" s="73"/>
      <c r="P47" s="73"/>
      <c r="Q47" s="73"/>
      <c r="R47" s="73"/>
    </row>
    <row r="48" spans="1:18" ht="12.75" hidden="1">
      <c r="A48" s="120"/>
      <c r="B48" s="73" t="str">
        <f>+'Electric Operations - IS'!C113</f>
        <v>Amort of Leased Transportation Vehicles (C-AMT)</v>
      </c>
      <c r="D48" s="119"/>
      <c r="E48" s="73"/>
      <c r="F48" s="73">
        <f>+'Electric Operations - IS'!H113</f>
        <v>0</v>
      </c>
      <c r="G48" s="138" t="str">
        <f>+Data!G80</f>
        <v>27404X60</v>
      </c>
      <c r="H48" s="73">
        <f>+Data!H80</f>
        <v>0</v>
      </c>
      <c r="I48" s="73">
        <f>+'C-AMT'!G29</f>
        <v>0</v>
      </c>
      <c r="J48" s="73"/>
      <c r="K48" s="73"/>
      <c r="L48" s="73"/>
      <c r="M48" s="73"/>
      <c r="N48" s="73"/>
      <c r="O48" s="73"/>
      <c r="P48" s="73"/>
      <c r="Q48" s="73"/>
      <c r="R48" s="73"/>
    </row>
    <row r="49" spans="1:18" ht="12.75" hidden="1">
      <c r="A49" s="120"/>
      <c r="B49" s="73"/>
      <c r="D49" s="119"/>
      <c r="E49" s="73"/>
      <c r="F49" s="73"/>
      <c r="G49" s="138" t="str">
        <f>+Data!G81</f>
        <v>28404X60</v>
      </c>
      <c r="H49" s="73">
        <f>+Data!H81</f>
        <v>0</v>
      </c>
      <c r="I49" s="73">
        <f>+'C-AMT'!G30</f>
        <v>0</v>
      </c>
      <c r="J49" s="73"/>
      <c r="K49" s="73"/>
      <c r="L49" s="73"/>
      <c r="M49" s="73"/>
      <c r="N49" s="73"/>
      <c r="O49" s="73"/>
      <c r="P49" s="73"/>
      <c r="Q49" s="73"/>
      <c r="R49" s="73"/>
    </row>
    <row r="50" spans="1:18" ht="12.75" hidden="1">
      <c r="A50" s="120"/>
      <c r="B50" s="73"/>
      <c r="D50" s="119"/>
      <c r="E50" s="73"/>
      <c r="F50" s="73"/>
      <c r="G50" s="138" t="str">
        <f>+Data!G82</f>
        <v>29404X60</v>
      </c>
      <c r="H50" s="73">
        <f>+Data!H82</f>
        <v>0</v>
      </c>
      <c r="I50" s="73">
        <f>+'C-AMT'!G31</f>
        <v>0</v>
      </c>
      <c r="J50" s="73">
        <f>SUM(I48:I50)</f>
        <v>0</v>
      </c>
      <c r="K50" s="73"/>
      <c r="L50" s="73"/>
      <c r="M50" s="73"/>
      <c r="N50" s="73"/>
      <c r="O50" s="73"/>
      <c r="P50" s="73"/>
      <c r="Q50" s="73"/>
      <c r="R50" s="73"/>
    </row>
    <row r="51" spans="1:18" ht="12.75" hidden="1">
      <c r="A51" s="120"/>
      <c r="B51" s="73" t="str">
        <f>+'Electric Operations - IS'!C192</f>
        <v>Amortization--Intangible Plant--Software</v>
      </c>
      <c r="D51" s="119"/>
      <c r="E51" s="73"/>
      <c r="F51" s="73">
        <f>+'Electric Operations - IS'!H192</f>
        <v>3348320</v>
      </c>
      <c r="G51" s="138" t="str">
        <f>+Data!G64</f>
        <v>20404X31</v>
      </c>
      <c r="I51" s="73">
        <f>+Data!H64</f>
        <v>63188</v>
      </c>
      <c r="J51" s="73"/>
      <c r="K51" s="73"/>
      <c r="L51" s="73"/>
      <c r="M51" s="73"/>
      <c r="N51" s="73"/>
      <c r="O51" s="73"/>
      <c r="P51" s="73"/>
      <c r="Q51" s="73"/>
      <c r="R51" s="73"/>
    </row>
    <row r="52" spans="1:18" ht="12.75" hidden="1">
      <c r="A52" s="120"/>
      <c r="B52" s="73"/>
      <c r="D52" s="119"/>
      <c r="E52" s="73"/>
      <c r="F52" s="73"/>
      <c r="G52" s="138" t="str">
        <f>+Data!G68</f>
        <v>20404X32</v>
      </c>
      <c r="I52" s="73">
        <f>+Data!H68</f>
        <v>218976</v>
      </c>
      <c r="J52" s="73"/>
      <c r="K52" s="73"/>
      <c r="L52" s="73"/>
      <c r="M52" s="73"/>
      <c r="N52" s="73"/>
      <c r="O52" s="73"/>
      <c r="P52" s="73"/>
      <c r="Q52" s="73"/>
      <c r="R52" s="73"/>
    </row>
    <row r="53" spans="1:18" ht="12.75" hidden="1">
      <c r="A53" s="120"/>
      <c r="B53" s="73"/>
      <c r="D53" s="119"/>
      <c r="E53" s="73"/>
      <c r="F53" s="73"/>
      <c r="G53" s="138" t="str">
        <f>+Data!G72</f>
        <v>27404X33</v>
      </c>
      <c r="H53" s="73">
        <f>+Data!H72</f>
        <v>0</v>
      </c>
      <c r="I53" s="170">
        <f>+'C-AMT'!G19</f>
        <v>0</v>
      </c>
      <c r="J53" s="73"/>
      <c r="K53" s="73"/>
      <c r="L53" s="73"/>
      <c r="M53" s="73"/>
      <c r="N53" s="73"/>
      <c r="O53" s="73"/>
      <c r="P53" s="73"/>
      <c r="Q53" s="73"/>
      <c r="R53" s="73"/>
    </row>
    <row r="54" spans="1:18" ht="12.75" hidden="1">
      <c r="A54" s="120"/>
      <c r="B54" s="73"/>
      <c r="D54" s="119"/>
      <c r="E54" s="73"/>
      <c r="F54" s="73"/>
      <c r="G54" s="138" t="str">
        <f>+Data!G73</f>
        <v>28404X33</v>
      </c>
      <c r="H54" s="73">
        <f>+Data!H73</f>
        <v>0</v>
      </c>
      <c r="I54" s="170">
        <f>+'C-AMT'!G20</f>
        <v>0</v>
      </c>
      <c r="J54" s="73"/>
      <c r="K54" s="73"/>
      <c r="L54" s="73"/>
      <c r="M54" s="73"/>
      <c r="N54" s="73"/>
      <c r="O54" s="73"/>
      <c r="P54" s="73"/>
      <c r="Q54" s="73"/>
      <c r="R54" s="73"/>
    </row>
    <row r="55" spans="1:18" ht="12.75" hidden="1">
      <c r="A55" s="120"/>
      <c r="B55" s="73"/>
      <c r="D55" s="119"/>
      <c r="E55" s="73"/>
      <c r="F55" s="73"/>
      <c r="G55" s="138" t="str">
        <f>+Data!G74</f>
        <v>29404X33</v>
      </c>
      <c r="H55" s="73">
        <f>+Data!H74</f>
        <v>0</v>
      </c>
      <c r="I55" s="170">
        <f>+'C-AMT'!G21</f>
        <v>0</v>
      </c>
      <c r="J55" s="73"/>
      <c r="K55" s="73"/>
      <c r="L55" s="73"/>
      <c r="M55" s="73"/>
      <c r="N55" s="73"/>
      <c r="O55" s="73"/>
      <c r="P55" s="73"/>
      <c r="Q55" s="73"/>
      <c r="R55" s="73"/>
    </row>
    <row r="56" spans="1:18" ht="12.75" hidden="1">
      <c r="A56" s="120"/>
      <c r="B56" s="73"/>
      <c r="D56" s="119"/>
      <c r="E56" s="73"/>
      <c r="F56" s="73"/>
      <c r="G56" s="138" t="str">
        <f>+Data!G69</f>
        <v>27404X32</v>
      </c>
      <c r="H56" s="73">
        <f>+Data!H69</f>
        <v>1772867</v>
      </c>
      <c r="I56" s="170">
        <f>+'C-AMT'!G14</f>
        <v>1275755</v>
      </c>
      <c r="J56" s="73"/>
      <c r="K56" s="73"/>
      <c r="L56" s="73"/>
      <c r="M56" s="73"/>
      <c r="N56" s="73"/>
      <c r="O56" s="73"/>
      <c r="P56" s="73"/>
      <c r="Q56" s="73"/>
      <c r="R56" s="73"/>
    </row>
    <row r="57" spans="1:18" ht="12.75" hidden="1">
      <c r="A57" s="120"/>
      <c r="B57" s="73"/>
      <c r="D57" s="119"/>
      <c r="E57" s="73"/>
      <c r="F57" s="73"/>
      <c r="G57" s="138" t="str">
        <f>+Data!G70</f>
        <v>28404X32</v>
      </c>
      <c r="H57" s="73">
        <f>+Data!H70</f>
        <v>165004</v>
      </c>
      <c r="I57" s="170">
        <f>+'C-AMT'!G15</f>
        <v>0</v>
      </c>
      <c r="J57" s="73"/>
      <c r="K57" s="73"/>
      <c r="L57" s="73"/>
      <c r="M57" s="73"/>
      <c r="N57" s="73"/>
      <c r="O57" s="73"/>
      <c r="P57" s="73"/>
      <c r="Q57" s="73"/>
      <c r="R57" s="73"/>
    </row>
    <row r="58" spans="1:18" ht="12.75" hidden="1">
      <c r="A58" s="120"/>
      <c r="B58" s="73"/>
      <c r="D58" s="119"/>
      <c r="E58" s="73"/>
      <c r="F58" s="73"/>
      <c r="G58" s="138" t="str">
        <f>+Data!G71</f>
        <v>29404X32</v>
      </c>
      <c r="H58" s="73">
        <f>+Data!H71</f>
        <v>0</v>
      </c>
      <c r="I58" s="170">
        <f>+'C-AMT'!G16</f>
        <v>0</v>
      </c>
      <c r="J58" s="73"/>
      <c r="K58" s="73"/>
      <c r="L58" s="73"/>
      <c r="M58" s="73"/>
      <c r="N58" s="73"/>
      <c r="O58" s="73"/>
      <c r="P58" s="73"/>
      <c r="Q58" s="73"/>
      <c r="R58" s="73"/>
    </row>
    <row r="59" spans="1:18" ht="12.75" hidden="1">
      <c r="A59" s="120"/>
      <c r="B59" s="73"/>
      <c r="D59" s="119"/>
      <c r="E59" s="73"/>
      <c r="F59" s="73"/>
      <c r="G59" s="138" t="str">
        <f>+Data!G65</f>
        <v>27404X31</v>
      </c>
      <c r="H59" s="73">
        <f>+Data!H65</f>
        <v>2480493</v>
      </c>
      <c r="I59" s="170">
        <f>+'C-AMT'!G9</f>
        <v>1784963</v>
      </c>
      <c r="J59" s="73"/>
      <c r="K59" s="73"/>
      <c r="L59" s="73"/>
      <c r="M59" s="73"/>
      <c r="N59" s="73"/>
      <c r="O59" s="73"/>
      <c r="P59" s="73"/>
      <c r="Q59" s="73"/>
      <c r="R59" s="73"/>
    </row>
    <row r="60" spans="1:18" ht="12.75" hidden="1">
      <c r="A60" s="120"/>
      <c r="B60" s="73"/>
      <c r="D60" s="119"/>
      <c r="E60" s="73"/>
      <c r="F60" s="73"/>
      <c r="G60" s="138" t="str">
        <f>+Data!G66</f>
        <v>28404X31</v>
      </c>
      <c r="H60" s="73">
        <f>+Data!H66</f>
        <v>0</v>
      </c>
      <c r="I60" s="170">
        <f>+'C-AMT'!G10</f>
        <v>0</v>
      </c>
      <c r="J60" s="73"/>
      <c r="K60" s="73"/>
      <c r="L60" s="73"/>
      <c r="M60" s="73"/>
      <c r="N60" s="73"/>
      <c r="O60" s="73"/>
      <c r="P60" s="73"/>
      <c r="Q60" s="73"/>
      <c r="R60" s="73"/>
    </row>
    <row r="61" spans="1:18" ht="12.75" hidden="1">
      <c r="A61" s="120"/>
      <c r="B61" s="73"/>
      <c r="D61" s="119"/>
      <c r="E61" s="73"/>
      <c r="F61" s="73"/>
      <c r="G61" s="138" t="str">
        <f>+Data!G67</f>
        <v>29404X31</v>
      </c>
      <c r="H61" s="73">
        <f>+Data!H67</f>
        <v>6873</v>
      </c>
      <c r="I61" s="170">
        <f>+'C-AMT'!G11</f>
        <v>5438</v>
      </c>
      <c r="J61" s="170">
        <f>SUM(I51:I61)</f>
        <v>3348320</v>
      </c>
      <c r="K61" s="73"/>
      <c r="L61" s="73"/>
      <c r="M61" s="73"/>
      <c r="N61" s="73"/>
      <c r="O61" s="73"/>
      <c r="P61" s="73"/>
      <c r="Q61" s="73"/>
      <c r="R61" s="73"/>
    </row>
    <row r="62" spans="1:18" ht="12.75" hidden="1">
      <c r="A62" s="120"/>
      <c r="B62" s="73" t="str">
        <f>+'Electric Operations - IS'!C193</f>
        <v>Amortization of Leasehold Imp (404X50) </v>
      </c>
      <c r="D62" s="119"/>
      <c r="E62" s="73"/>
      <c r="F62" s="73">
        <f>+'Electric Operations - IS'!H193</f>
        <v>7414</v>
      </c>
      <c r="G62" s="138" t="str">
        <f>+Data!G75</f>
        <v>20404X50</v>
      </c>
      <c r="I62" s="73">
        <f>+Data!H75</f>
        <v>0</v>
      </c>
      <c r="J62" s="73"/>
      <c r="K62" s="73"/>
      <c r="L62" s="73"/>
      <c r="M62" s="73"/>
      <c r="N62" s="73"/>
      <c r="O62" s="73"/>
      <c r="P62" s="73"/>
      <c r="Q62" s="73"/>
      <c r="R62" s="73"/>
    </row>
    <row r="63" spans="1:18" ht="12.75" hidden="1">
      <c r="A63" s="120"/>
      <c r="B63" s="73"/>
      <c r="D63" s="119"/>
      <c r="E63" s="73"/>
      <c r="F63" s="73"/>
      <c r="G63" s="138" t="str">
        <f>+Data!G76</f>
        <v>27404X50</v>
      </c>
      <c r="H63" s="73">
        <f>+Data!H76</f>
        <v>10303</v>
      </c>
      <c r="I63" s="170">
        <f>+'C-AMT'!G24</f>
        <v>7414</v>
      </c>
      <c r="J63" s="73"/>
      <c r="K63" s="73"/>
      <c r="L63" s="73"/>
      <c r="M63" s="73"/>
      <c r="N63" s="73"/>
      <c r="O63" s="73"/>
      <c r="P63" s="73"/>
      <c r="Q63" s="73"/>
      <c r="R63" s="73"/>
    </row>
    <row r="64" spans="1:18" ht="12.75" hidden="1">
      <c r="A64" s="120"/>
      <c r="B64" s="73"/>
      <c r="D64" s="119"/>
      <c r="E64" s="73"/>
      <c r="F64" s="73"/>
      <c r="G64" s="138" t="str">
        <f>+Data!G77</f>
        <v>28404X50</v>
      </c>
      <c r="H64" s="73">
        <f>+Data!H77</f>
        <v>0</v>
      </c>
      <c r="I64" s="170">
        <f>+'C-AMT'!G25</f>
        <v>0</v>
      </c>
      <c r="J64" s="73"/>
      <c r="K64" s="73"/>
      <c r="L64" s="73"/>
      <c r="M64" s="73"/>
      <c r="N64" s="73"/>
      <c r="O64" s="73"/>
      <c r="P64" s="73"/>
      <c r="Q64" s="73"/>
      <c r="R64" s="73"/>
    </row>
    <row r="65" spans="1:18" ht="12.75" hidden="1">
      <c r="A65" s="120"/>
      <c r="B65" s="73"/>
      <c r="D65" s="119"/>
      <c r="E65" s="73"/>
      <c r="F65" s="73"/>
      <c r="G65" s="138" t="str">
        <f>+Data!G78</f>
        <v>29404X50</v>
      </c>
      <c r="H65" s="73">
        <f>+Data!H78</f>
        <v>0</v>
      </c>
      <c r="I65" s="170">
        <f>+'C-AMT'!G26</f>
        <v>0</v>
      </c>
      <c r="J65" s="170">
        <f>SUM(I62:I65)</f>
        <v>7414</v>
      </c>
      <c r="K65" s="73"/>
      <c r="L65" s="73"/>
      <c r="M65" s="73"/>
      <c r="N65" s="73"/>
      <c r="O65" s="73"/>
      <c r="P65" s="73"/>
      <c r="Q65" s="73"/>
      <c r="R65" s="73"/>
    </row>
    <row r="66" spans="1:18" ht="13.5" hidden="1" thickBot="1">
      <c r="A66" s="120"/>
      <c r="B66" s="73"/>
      <c r="D66" s="119"/>
      <c r="E66" s="73"/>
      <c r="F66" s="169">
        <f>SUM(F43:F65)</f>
        <v>3784426</v>
      </c>
      <c r="I66" s="169">
        <f>SUM(I43:I65)</f>
        <v>3784426</v>
      </c>
      <c r="J66" s="73"/>
      <c r="K66" s="73"/>
      <c r="L66" s="73"/>
      <c r="M66" s="73"/>
      <c r="N66" s="73"/>
      <c r="O66" s="73"/>
      <c r="P66" s="73"/>
      <c r="Q66" s="73"/>
      <c r="R66" s="73"/>
    </row>
    <row r="67" spans="1:18" ht="12.75" hidden="1">
      <c r="A67" s="120"/>
      <c r="B67" s="80"/>
      <c r="C67" s="119"/>
      <c r="D67" s="119"/>
      <c r="E67" s="73"/>
      <c r="F67" s="73"/>
      <c r="G67" s="73"/>
      <c r="H67" s="73"/>
      <c r="I67" s="73"/>
      <c r="J67" s="73"/>
      <c r="K67" s="73"/>
      <c r="L67" s="73"/>
      <c r="M67" s="73"/>
      <c r="N67" s="73"/>
      <c r="O67" s="73"/>
      <c r="P67" s="73"/>
      <c r="Q67" s="73"/>
      <c r="R67" s="73"/>
    </row>
    <row r="68" spans="1:18" ht="12.75" hidden="1">
      <c r="A68" s="120"/>
      <c r="B68" s="80"/>
      <c r="C68" s="119" t="s">
        <v>172</v>
      </c>
      <c r="D68" s="119"/>
      <c r="E68" s="73"/>
      <c r="F68" s="139">
        <f>+F41+F24</f>
        <v>70776101</v>
      </c>
      <c r="G68" s="73"/>
      <c r="H68" s="73"/>
      <c r="I68" s="73"/>
      <c r="J68" s="73"/>
      <c r="K68" s="73"/>
      <c r="L68" s="73"/>
      <c r="M68" s="73"/>
      <c r="N68" s="73"/>
      <c r="O68" s="73"/>
      <c r="P68" s="73"/>
      <c r="Q68" s="73"/>
      <c r="R68" s="73"/>
    </row>
    <row r="69" spans="1:18" ht="12.75" hidden="1">
      <c r="A69" s="120"/>
      <c r="B69" s="80"/>
      <c r="C69" s="119"/>
      <c r="D69" s="119"/>
      <c r="E69" s="73"/>
      <c r="F69" s="172"/>
      <c r="G69" s="73"/>
      <c r="H69" s="73"/>
      <c r="I69" s="73"/>
      <c r="J69" s="73"/>
      <c r="K69" s="73"/>
      <c r="L69" s="73"/>
      <c r="M69" s="73"/>
      <c r="N69" s="73"/>
      <c r="O69" s="73"/>
      <c r="P69" s="73"/>
      <c r="Q69" s="73"/>
      <c r="R69" s="73"/>
    </row>
    <row r="70" spans="1:18" ht="13.5" thickBot="1">
      <c r="A70" s="120"/>
      <c r="B70" s="80"/>
      <c r="C70" s="119" t="s">
        <v>172</v>
      </c>
      <c r="D70" s="119"/>
      <c r="E70" s="73"/>
      <c r="F70" s="169">
        <f>+F68+F69</f>
        <v>70776101</v>
      </c>
      <c r="G70" s="73"/>
      <c r="H70" s="73"/>
      <c r="I70" s="73"/>
      <c r="J70" s="73"/>
      <c r="K70" s="73"/>
      <c r="L70" s="73"/>
      <c r="M70" s="73"/>
      <c r="N70" s="73"/>
      <c r="O70" s="73"/>
      <c r="P70" s="73"/>
      <c r="Q70" s="73"/>
      <c r="R70" s="73"/>
    </row>
    <row r="71" spans="1:18" ht="13.5" thickTop="1">
      <c r="A71" s="119"/>
      <c r="B71" s="119"/>
      <c r="C71" s="119"/>
      <c r="D71" s="119"/>
      <c r="E71" s="73"/>
      <c r="F71" s="73"/>
      <c r="G71" s="73"/>
      <c r="H71" s="73"/>
      <c r="I71" s="73"/>
      <c r="J71" s="73"/>
      <c r="K71" s="73"/>
      <c r="L71" s="73"/>
      <c r="M71" s="73"/>
      <c r="N71" s="73"/>
      <c r="O71" s="73"/>
      <c r="P71" s="73"/>
      <c r="Q71" s="73"/>
      <c r="R71" s="73"/>
    </row>
    <row r="72" spans="1:18" ht="12.75">
      <c r="A72" s="120" t="s">
        <v>749</v>
      </c>
      <c r="B72" s="80"/>
      <c r="C72" s="120" t="s">
        <v>852</v>
      </c>
      <c r="D72" s="141"/>
      <c r="E72" s="73"/>
      <c r="F72" s="73">
        <f>'E-OTX'!H24-'E-OTX'!H13-'E-OTX'!H21</f>
        <v>50180814</v>
      </c>
      <c r="G72" s="73"/>
      <c r="H72" s="149" t="s">
        <v>225</v>
      </c>
      <c r="I72" s="73"/>
      <c r="J72" s="73"/>
      <c r="K72" s="73"/>
      <c r="L72" s="73"/>
      <c r="M72" s="73"/>
      <c r="N72" s="73"/>
      <c r="O72" s="73"/>
      <c r="P72" s="73"/>
      <c r="Q72" s="73"/>
      <c r="R72" s="73"/>
    </row>
    <row r="73" spans="1:18" ht="12.75">
      <c r="A73" s="120"/>
      <c r="B73" s="80"/>
      <c r="C73" s="120"/>
      <c r="D73" s="141"/>
      <c r="E73" s="73"/>
      <c r="F73" s="73"/>
      <c r="G73" s="73"/>
      <c r="H73" s="73"/>
      <c r="I73" s="73"/>
      <c r="J73" s="73"/>
      <c r="K73" s="73"/>
      <c r="L73" s="73"/>
      <c r="M73" s="73"/>
      <c r="N73" s="73"/>
      <c r="O73" s="73"/>
      <c r="P73" s="73"/>
      <c r="Q73" s="73"/>
      <c r="R73" s="73"/>
    </row>
    <row r="74" spans="1:18" ht="12.75">
      <c r="A74" s="120" t="s">
        <v>743</v>
      </c>
      <c r="B74" s="80"/>
      <c r="C74" s="120" t="s">
        <v>593</v>
      </c>
      <c r="D74" s="141"/>
      <c r="E74" s="119"/>
      <c r="F74" s="73">
        <f>+Data!H112</f>
        <v>19622294</v>
      </c>
      <c r="G74" s="73"/>
      <c r="H74" s="149" t="s">
        <v>223</v>
      </c>
      <c r="I74" s="73"/>
      <c r="J74" s="73"/>
      <c r="K74" s="73"/>
      <c r="L74" s="73"/>
      <c r="M74" s="73"/>
      <c r="N74" s="73"/>
      <c r="O74" s="73"/>
      <c r="P74" s="73"/>
      <c r="Q74" s="73"/>
      <c r="R74" s="73"/>
    </row>
    <row r="75" spans="1:18" ht="12.75">
      <c r="A75" s="120" t="s">
        <v>747</v>
      </c>
      <c r="B75" s="80"/>
      <c r="C75" s="120" t="s">
        <v>594</v>
      </c>
      <c r="D75" s="141"/>
      <c r="E75" s="119"/>
      <c r="F75" s="73">
        <f>+'E-DTE'!F18</f>
        <v>10648577</v>
      </c>
      <c r="G75" s="73"/>
      <c r="H75" s="149" t="s">
        <v>224</v>
      </c>
      <c r="I75" s="73"/>
      <c r="J75" s="73"/>
      <c r="K75" s="73"/>
      <c r="L75" s="73"/>
      <c r="M75" s="73"/>
      <c r="N75" s="73"/>
      <c r="O75" s="73"/>
      <c r="P75" s="73"/>
      <c r="Q75" s="73"/>
      <c r="R75" s="73"/>
    </row>
    <row r="76" spans="1:18" ht="12.75">
      <c r="A76" s="120"/>
      <c r="B76" s="80"/>
      <c r="C76" s="120"/>
      <c r="D76" s="141"/>
      <c r="E76" s="73"/>
      <c r="F76" s="167" t="str">
        <f>IF('Electric Operations - IS'!H197='E-FIT'!F15," ","CHECK OPS AND FIT REPORTS")</f>
        <v> </v>
      </c>
      <c r="G76" s="167" t="str">
        <f>IF('Electric Operations - IS'!K197='E-FIT'!G15," ","CHECK OPS AND FIT REPORTS")</f>
        <v> </v>
      </c>
      <c r="H76" s="167" t="str">
        <f>IF('Electric Operations - IS'!N197='E-FIT'!H15," ","CHECK OPS AND FIT REPORTS")</f>
        <v> </v>
      </c>
      <c r="I76" s="73"/>
      <c r="J76" s="73"/>
      <c r="K76" s="73"/>
      <c r="L76" s="73"/>
      <c r="M76" s="73"/>
      <c r="N76" s="73"/>
      <c r="O76" s="73"/>
      <c r="P76" s="73"/>
      <c r="Q76" s="73"/>
      <c r="R76" s="73"/>
    </row>
    <row r="77" spans="1:18" ht="12.75">
      <c r="A77" s="120"/>
      <c r="B77" s="80"/>
      <c r="C77" s="120" t="s">
        <v>204</v>
      </c>
      <c r="D77" s="141"/>
      <c r="E77" s="73"/>
      <c r="F77" s="173">
        <f>+'Electric Operations - IS'!H109+'Electric Operations - IS'!H110+'Electric Operations - IS'!H115+'Electric Operations - IS'!H116+'Electric Operations - IS'!H117+'Electric Operations - IS'!H118+'Electric Operations - IS'!H119+'Electric Operations - IS'!H120+'Electric Operations - IS'!H121+'Electric Operations - IS'!H122+'Electric Operations - IS'!H123</f>
        <v>-1895339</v>
      </c>
      <c r="G77" s="167"/>
      <c r="H77" s="167"/>
      <c r="I77" s="73"/>
      <c r="J77" s="73"/>
      <c r="K77" s="73"/>
      <c r="L77" s="73"/>
      <c r="M77" s="73"/>
      <c r="N77" s="73"/>
      <c r="O77" s="73"/>
      <c r="P77" s="73"/>
      <c r="Q77" s="73"/>
      <c r="R77" s="73"/>
    </row>
    <row r="78" spans="1:18" ht="12.75">
      <c r="A78" s="120"/>
      <c r="B78" s="80"/>
      <c r="C78" s="120"/>
      <c r="D78" s="141"/>
      <c r="E78" s="73"/>
      <c r="F78" s="167"/>
      <c r="G78" s="167"/>
      <c r="H78" s="167"/>
      <c r="I78" s="73"/>
      <c r="J78" s="73"/>
      <c r="K78" s="73"/>
      <c r="L78" s="73"/>
      <c r="M78" s="73"/>
      <c r="N78" s="73"/>
      <c r="O78" s="73"/>
      <c r="P78" s="73"/>
      <c r="Q78" s="73"/>
      <c r="R78" s="73"/>
    </row>
    <row r="79" spans="1:18" ht="12.75">
      <c r="A79" s="120" t="s">
        <v>735</v>
      </c>
      <c r="B79" s="80"/>
      <c r="C79" s="120" t="s">
        <v>853</v>
      </c>
      <c r="D79" s="141"/>
      <c r="E79" s="73"/>
      <c r="F79" s="73" t="str">
        <f>+'E-ALL'!J128</f>
        <v> </v>
      </c>
      <c r="G79" s="73"/>
      <c r="H79" s="73" t="s">
        <v>854</v>
      </c>
      <c r="I79" s="73"/>
      <c r="J79" s="73"/>
      <c r="K79" s="73"/>
      <c r="L79" s="73"/>
      <c r="M79" s="73"/>
      <c r="N79" s="73"/>
      <c r="O79" s="73"/>
      <c r="P79" s="73"/>
      <c r="Q79" s="73"/>
      <c r="R79" s="73"/>
    </row>
    <row r="80" spans="1:18" ht="12.75" customHeight="1">
      <c r="A80" s="120"/>
      <c r="B80" s="80"/>
      <c r="C80" s="120"/>
      <c r="D80" s="141"/>
      <c r="E80" s="73"/>
      <c r="F80" s="73" t="str">
        <f>+Data!M135</f>
        <v> </v>
      </c>
      <c r="G80" s="73"/>
      <c r="H80" s="73"/>
      <c r="I80" s="73"/>
      <c r="J80" s="73"/>
      <c r="K80" s="73"/>
      <c r="L80" s="73"/>
      <c r="M80" s="73"/>
      <c r="N80" s="73"/>
      <c r="O80" s="73"/>
      <c r="P80" s="73"/>
      <c r="Q80" s="73"/>
      <c r="R80" s="73"/>
    </row>
    <row r="81" spans="1:18" ht="12.75" customHeight="1">
      <c r="A81" s="120"/>
      <c r="B81" s="80"/>
      <c r="C81" s="120"/>
      <c r="D81" s="141"/>
      <c r="E81" s="73"/>
      <c r="F81" s="79" t="s">
        <v>187</v>
      </c>
      <c r="G81" s="79" t="s">
        <v>855</v>
      </c>
      <c r="H81" s="79" t="s">
        <v>188</v>
      </c>
      <c r="I81" s="73"/>
      <c r="J81" s="73"/>
      <c r="K81" s="73"/>
      <c r="L81" s="73"/>
      <c r="M81" s="73"/>
      <c r="N81" s="73"/>
      <c r="O81" s="73"/>
      <c r="P81" s="73"/>
      <c r="Q81" s="73"/>
      <c r="R81" s="73"/>
    </row>
    <row r="82" spans="1:18" ht="12.75" customHeight="1">
      <c r="A82" s="120" t="s">
        <v>737</v>
      </c>
      <c r="B82" s="80"/>
      <c r="C82" s="120" t="s">
        <v>698</v>
      </c>
      <c r="D82" s="141"/>
      <c r="E82" s="73"/>
      <c r="F82" s="73">
        <f>+'Electric Operations - IS'!H197</f>
        <v>140287959</v>
      </c>
      <c r="G82" s="174">
        <v>4475967</v>
      </c>
      <c r="H82" s="73"/>
      <c r="I82" s="175"/>
      <c r="J82" s="73"/>
      <c r="K82" s="73"/>
      <c r="L82" s="73"/>
      <c r="M82" s="73"/>
      <c r="N82" s="73"/>
      <c r="O82" s="73"/>
      <c r="P82" s="73"/>
      <c r="Q82" s="73"/>
      <c r="R82" s="73"/>
    </row>
    <row r="83" spans="1:18" ht="12.75" customHeight="1">
      <c r="A83" s="120"/>
      <c r="B83" s="80"/>
      <c r="C83" s="176" t="s">
        <v>759</v>
      </c>
      <c r="D83" s="141"/>
      <c r="E83" s="73"/>
      <c r="F83" s="173">
        <f>+'E-OTX'!H13</f>
        <v>523838</v>
      </c>
      <c r="G83" s="73"/>
      <c r="H83" s="73"/>
      <c r="I83" s="175"/>
      <c r="J83" s="73"/>
      <c r="K83" s="73"/>
      <c r="L83" s="73"/>
      <c r="M83" s="73"/>
      <c r="N83" s="73"/>
      <c r="O83" s="73"/>
      <c r="P83" s="73"/>
      <c r="Q83" s="73"/>
      <c r="R83" s="73"/>
    </row>
    <row r="84" spans="1:18" ht="12.75" customHeight="1">
      <c r="A84" s="120"/>
      <c r="B84" s="80"/>
      <c r="C84" s="176" t="s">
        <v>760</v>
      </c>
      <c r="D84" s="141"/>
      <c r="E84" s="73"/>
      <c r="F84" s="173">
        <f>+'E-OTX'!H21</f>
        <v>482009</v>
      </c>
      <c r="G84" s="73"/>
      <c r="H84" s="73"/>
      <c r="I84" s="175"/>
      <c r="J84" s="73"/>
      <c r="K84" s="73"/>
      <c r="L84" s="73"/>
      <c r="M84" s="73"/>
      <c r="N84" s="73"/>
      <c r="O84" s="73"/>
      <c r="P84" s="73"/>
      <c r="Q84" s="73"/>
      <c r="R84" s="73"/>
    </row>
    <row r="85" spans="1:18" ht="12.75" customHeight="1">
      <c r="A85" s="120"/>
      <c r="B85" s="177"/>
      <c r="C85" s="173"/>
      <c r="D85" s="141"/>
      <c r="E85" s="73"/>
      <c r="F85" s="173"/>
      <c r="G85" s="173"/>
      <c r="H85" s="73"/>
      <c r="I85" s="175"/>
      <c r="J85" s="73"/>
      <c r="K85" s="73"/>
      <c r="L85" s="73"/>
      <c r="M85" s="73"/>
      <c r="N85" s="73"/>
      <c r="O85" s="73"/>
      <c r="P85" s="73"/>
      <c r="Q85" s="73"/>
      <c r="R85" s="73"/>
    </row>
    <row r="86" spans="1:18" ht="12.75" customHeight="1" thickBot="1">
      <c r="A86" s="120"/>
      <c r="B86" s="80"/>
      <c r="C86" s="120"/>
      <c r="D86" s="141"/>
      <c r="E86" s="73"/>
      <c r="F86" s="178">
        <f>SUM(F82:F85)</f>
        <v>141293806</v>
      </c>
      <c r="G86" s="178">
        <f>SUM(G82:G85)</f>
        <v>4475967</v>
      </c>
      <c r="H86" s="178">
        <f>+F86-G86</f>
        <v>136817839</v>
      </c>
      <c r="I86" s="175"/>
      <c r="J86" s="73"/>
      <c r="K86" s="73"/>
      <c r="L86" s="73"/>
      <c r="M86" s="73"/>
      <c r="N86" s="73"/>
      <c r="O86" s="73"/>
      <c r="P86" s="73"/>
      <c r="Q86" s="73"/>
      <c r="R86" s="73"/>
    </row>
    <row r="87" spans="1:18" ht="12.75" customHeight="1" thickTop="1">
      <c r="A87" s="120"/>
      <c r="B87" s="80"/>
      <c r="C87" s="120"/>
      <c r="D87" s="141"/>
      <c r="E87" s="73"/>
      <c r="F87" s="73"/>
      <c r="G87" s="73"/>
      <c r="H87" s="73"/>
      <c r="I87" s="175"/>
      <c r="J87" s="73"/>
      <c r="K87" s="73"/>
      <c r="L87" s="73"/>
      <c r="M87" s="73"/>
      <c r="N87" s="73"/>
      <c r="O87" s="73"/>
      <c r="P87" s="73"/>
      <c r="Q87" s="73"/>
      <c r="R87" s="73"/>
    </row>
    <row r="88" spans="1:18" ht="12.75" customHeight="1">
      <c r="A88" s="120" t="s">
        <v>745</v>
      </c>
      <c r="B88" s="80"/>
      <c r="C88" s="120" t="s">
        <v>856</v>
      </c>
      <c r="D88" s="141"/>
      <c r="E88" s="73"/>
      <c r="F88" s="179">
        <f>+'E-SCM'!H84</f>
        <v>63699354</v>
      </c>
      <c r="G88" s="180">
        <f>ROUND(('Electric Operations - IS'!H199+'Electric Operations - IS'!H200)/'Electric Operations - IS'!H197,4)</f>
        <v>0.2098</v>
      </c>
      <c r="H88" s="179" t="s">
        <v>857</v>
      </c>
      <c r="I88" s="73"/>
      <c r="J88" s="175"/>
      <c r="K88" s="73"/>
      <c r="L88" s="73"/>
      <c r="M88" s="73"/>
      <c r="N88" s="73"/>
      <c r="O88" s="73"/>
      <c r="P88" s="73"/>
      <c r="Q88" s="73"/>
      <c r="R88" s="73"/>
    </row>
    <row r="89" spans="1:18" ht="12.75" customHeight="1">
      <c r="A89" s="120"/>
      <c r="B89" s="80"/>
      <c r="G89" s="180"/>
      <c r="H89" s="179"/>
      <c r="I89" s="73"/>
      <c r="J89" s="175"/>
      <c r="K89" s="73"/>
      <c r="L89" s="73"/>
      <c r="M89" s="73"/>
      <c r="N89" s="73"/>
      <c r="O89" s="73"/>
      <c r="P89" s="73"/>
      <c r="Q89" s="73"/>
      <c r="R89" s="73"/>
    </row>
    <row r="90" spans="1:18" ht="12.75" customHeight="1">
      <c r="A90" s="120"/>
      <c r="B90" s="80"/>
      <c r="C90" s="120" t="s">
        <v>858</v>
      </c>
      <c r="D90" s="141"/>
      <c r="E90" s="73"/>
      <c r="F90" s="179">
        <f>-+'E-SCM'!H100</f>
        <v>-88475748</v>
      </c>
      <c r="G90" s="180">
        <f>ROUND(('Electric Operations - IS'!K199+'Electric Operations - IS'!K200)/'Electric Operations - IS'!K197,4)</f>
        <v>0.2244</v>
      </c>
      <c r="H90" s="179" t="s">
        <v>859</v>
      </c>
      <c r="I90" s="73"/>
      <c r="J90" s="175"/>
      <c r="K90" s="73"/>
      <c r="L90" s="73"/>
      <c r="M90" s="73"/>
      <c r="N90" s="73"/>
      <c r="O90" s="73"/>
      <c r="P90" s="73"/>
      <c r="Q90" s="73"/>
      <c r="R90" s="73"/>
    </row>
    <row r="91" spans="1:18" ht="12.75">
      <c r="A91" s="120"/>
      <c r="B91" s="80"/>
      <c r="C91" s="120" t="s">
        <v>937</v>
      </c>
      <c r="D91" s="141"/>
      <c r="E91" s="73"/>
      <c r="F91" s="181">
        <f>-Data!I188</f>
        <v>-1233453</v>
      </c>
      <c r="G91" s="180">
        <f>ROUND(('Electric Operations - IS'!N199+'Electric Operations - IS'!N200)/'Electric Operations - IS'!N197,4)</f>
        <v>0.185</v>
      </c>
      <c r="H91" s="179" t="s">
        <v>860</v>
      </c>
      <c r="I91" s="73"/>
      <c r="J91" s="73"/>
      <c r="K91" s="73"/>
      <c r="L91" s="73"/>
      <c r="M91" s="73"/>
      <c r="N91" s="73"/>
      <c r="O91" s="73"/>
      <c r="P91" s="73"/>
      <c r="Q91" s="73"/>
      <c r="R91" s="73"/>
    </row>
    <row r="92" spans="1:18" ht="12.75">
      <c r="A92" s="120"/>
      <c r="B92" s="80"/>
      <c r="C92" s="120" t="s">
        <v>942</v>
      </c>
      <c r="D92" s="141"/>
      <c r="E92" s="73"/>
      <c r="F92" s="179">
        <f>SUM(F90:F91)</f>
        <v>-89709201</v>
      </c>
      <c r="G92" s="180"/>
      <c r="H92" s="179"/>
      <c r="I92" s="73"/>
      <c r="J92" s="73"/>
      <c r="K92" s="73"/>
      <c r="L92" s="73"/>
      <c r="M92" s="73"/>
      <c r="N92" s="73"/>
      <c r="O92" s="73"/>
      <c r="P92" s="73"/>
      <c r="Q92" s="73"/>
      <c r="R92" s="73"/>
    </row>
    <row r="93" spans="1:18" ht="12.75">
      <c r="A93" s="120"/>
      <c r="B93" s="80"/>
      <c r="C93" s="120"/>
      <c r="D93" s="141"/>
      <c r="E93" s="73"/>
      <c r="F93" s="182"/>
      <c r="G93" s="73"/>
      <c r="H93" s="73"/>
      <c r="I93" s="73"/>
      <c r="J93" s="73"/>
      <c r="K93" s="73"/>
      <c r="L93" s="73"/>
      <c r="M93" s="73"/>
      <c r="N93" s="73"/>
      <c r="O93" s="73"/>
      <c r="P93" s="73"/>
      <c r="Q93" s="73"/>
      <c r="R93" s="73"/>
    </row>
    <row r="94" spans="2:18" ht="12.75">
      <c r="B94" s="80"/>
      <c r="C94" s="120"/>
      <c r="D94" s="141"/>
      <c r="E94" s="73"/>
      <c r="F94" s="182"/>
      <c r="G94" s="79" t="s">
        <v>861</v>
      </c>
      <c r="H94" s="79" t="s">
        <v>862</v>
      </c>
      <c r="I94" s="73"/>
      <c r="J94" s="73"/>
      <c r="K94" s="73"/>
      <c r="L94" s="73"/>
      <c r="M94" s="73"/>
      <c r="N94" s="73"/>
      <c r="O94" s="73"/>
      <c r="P94" s="73"/>
      <c r="Q94" s="73"/>
      <c r="R94" s="73"/>
    </row>
    <row r="95" spans="1:18" ht="13.5" thickBot="1">
      <c r="A95" s="120" t="s">
        <v>863</v>
      </c>
      <c r="B95" s="80"/>
      <c r="C95" s="120"/>
      <c r="D95" s="141"/>
      <c r="E95" s="183">
        <v>38259</v>
      </c>
      <c r="F95" s="168">
        <f>+G95+H95</f>
        <v>351432</v>
      </c>
      <c r="G95" s="168">
        <v>231096</v>
      </c>
      <c r="H95" s="168">
        <v>120336</v>
      </c>
      <c r="I95" s="121" t="str">
        <f>IF('Electric Operations - IS'!I80=0," ","CHECK ACCT 555")</f>
        <v> </v>
      </c>
      <c r="J95" s="73"/>
      <c r="K95" s="73"/>
      <c r="L95" s="73"/>
      <c r="M95" s="73"/>
      <c r="N95" s="73"/>
      <c r="O95" s="73"/>
      <c r="P95" s="73"/>
      <c r="Q95" s="73"/>
      <c r="R95" s="73"/>
    </row>
    <row r="96" spans="1:18" ht="13.5" thickTop="1">
      <c r="A96" s="120"/>
      <c r="B96" s="80"/>
      <c r="C96" s="120"/>
      <c r="D96" s="141"/>
      <c r="E96" s="73"/>
      <c r="F96" s="172"/>
      <c r="G96" s="73"/>
      <c r="H96" s="73"/>
      <c r="I96" s="121"/>
      <c r="J96" s="73"/>
      <c r="K96" s="73"/>
      <c r="L96" s="73"/>
      <c r="M96" s="73"/>
      <c r="N96" s="73"/>
      <c r="O96" s="73"/>
      <c r="P96" s="73"/>
      <c r="Q96" s="73"/>
      <c r="R96" s="73"/>
    </row>
    <row r="97" spans="1:18" ht="12.75">
      <c r="A97" s="120" t="s">
        <v>758</v>
      </c>
      <c r="B97" s="80"/>
      <c r="C97" s="120"/>
      <c r="D97" s="184" t="s">
        <v>761</v>
      </c>
      <c r="E97" s="73" t="s">
        <v>756</v>
      </c>
      <c r="F97" s="172"/>
      <c r="G97" s="185">
        <v>0.493</v>
      </c>
      <c r="H97" s="185">
        <v>0.5008</v>
      </c>
      <c r="I97" s="72" t="s">
        <v>931</v>
      </c>
      <c r="K97" s="73"/>
      <c r="L97" s="73"/>
      <c r="M97" s="73"/>
      <c r="N97" s="73"/>
      <c r="O97" s="73"/>
      <c r="P97" s="73"/>
      <c r="Q97" s="73"/>
      <c r="R97" s="73"/>
    </row>
    <row r="98" spans="1:18" ht="12.75">
      <c r="A98" s="120"/>
      <c r="B98" s="80"/>
      <c r="C98" s="120"/>
      <c r="D98" s="141"/>
      <c r="E98" s="73" t="s">
        <v>331</v>
      </c>
      <c r="F98" s="172"/>
      <c r="G98" s="185">
        <v>0.047</v>
      </c>
      <c r="I98" s="72" t="s">
        <v>932</v>
      </c>
      <c r="K98" s="73"/>
      <c r="L98" s="73"/>
      <c r="M98" s="73"/>
      <c r="N98" s="73"/>
      <c r="O98" s="73"/>
      <c r="P98" s="73"/>
      <c r="Q98" s="73"/>
      <c r="R98" s="73"/>
    </row>
    <row r="99" spans="1:18" ht="12.75">
      <c r="A99" s="120"/>
      <c r="B99" s="80"/>
      <c r="C99" s="120"/>
      <c r="D99" s="141"/>
      <c r="E99" s="73" t="s">
        <v>332</v>
      </c>
      <c r="F99" s="172"/>
      <c r="G99" s="73"/>
      <c r="H99" s="185">
        <v>0.0557</v>
      </c>
      <c r="I99" s="72" t="str">
        <f>I97</f>
        <v>From last ID GRC (AVU-E-04-1)</v>
      </c>
      <c r="K99" s="73"/>
      <c r="L99" s="73"/>
      <c r="M99" s="73"/>
      <c r="N99" s="73"/>
      <c r="O99" s="73"/>
      <c r="P99" s="73"/>
      <c r="Q99" s="73"/>
      <c r="R99" s="73"/>
    </row>
    <row r="100" spans="1:18" ht="12.75">
      <c r="A100" s="120"/>
      <c r="B100" s="80"/>
      <c r="C100" s="120"/>
      <c r="D100" s="141"/>
      <c r="E100" s="73"/>
      <c r="F100" s="172"/>
      <c r="G100" s="73"/>
      <c r="H100" s="73"/>
      <c r="I100" s="186"/>
      <c r="K100" s="73"/>
      <c r="L100" s="73"/>
      <c r="M100" s="73"/>
      <c r="N100" s="73"/>
      <c r="O100" s="73"/>
      <c r="P100" s="73"/>
      <c r="Q100" s="73"/>
      <c r="R100" s="73"/>
    </row>
    <row r="101" spans="1:18" ht="12.75">
      <c r="A101" s="120"/>
      <c r="B101" s="80"/>
      <c r="C101" s="120"/>
      <c r="D101" s="184" t="s">
        <v>762</v>
      </c>
      <c r="E101" s="73" t="s">
        <v>756</v>
      </c>
      <c r="F101" s="172"/>
      <c r="G101" s="187">
        <v>0.06491</v>
      </c>
      <c r="H101" s="187">
        <v>0.0868</v>
      </c>
      <c r="I101" s="72" t="str">
        <f>I99</f>
        <v>From last ID GRC (AVU-E-04-1)</v>
      </c>
      <c r="K101" s="73"/>
      <c r="L101" s="72"/>
      <c r="M101" s="73"/>
      <c r="N101" s="73"/>
      <c r="O101" s="73"/>
      <c r="P101" s="73"/>
      <c r="Q101" s="73"/>
      <c r="R101" s="73"/>
    </row>
    <row r="102" spans="1:18" ht="12.75">
      <c r="A102" s="120"/>
      <c r="B102" s="80"/>
      <c r="C102" s="120"/>
      <c r="D102" s="141"/>
      <c r="E102" s="73" t="s">
        <v>331</v>
      </c>
      <c r="F102" s="172"/>
      <c r="G102" s="187">
        <v>0.06575</v>
      </c>
      <c r="I102" s="179" t="str">
        <f>+I98</f>
        <v>From last WA GRC (UE-070804)</v>
      </c>
      <c r="J102" s="73"/>
      <c r="K102" s="73"/>
      <c r="L102" s="73"/>
      <c r="M102" s="73"/>
      <c r="N102" s="73"/>
      <c r="O102" s="73"/>
      <c r="P102" s="73"/>
      <c r="Q102" s="73"/>
      <c r="R102" s="73"/>
    </row>
    <row r="103" spans="1:18" ht="12.75">
      <c r="A103" s="120"/>
      <c r="B103" s="80"/>
      <c r="C103" s="120"/>
      <c r="D103" s="141"/>
      <c r="E103" s="73" t="s">
        <v>332</v>
      </c>
      <c r="F103" s="172"/>
      <c r="H103" s="187">
        <v>0.0615</v>
      </c>
      <c r="I103" s="188" t="str">
        <f>I101</f>
        <v>From last ID GRC (AVU-E-04-1)</v>
      </c>
      <c r="J103" s="72"/>
      <c r="K103" s="72"/>
      <c r="L103" s="72"/>
      <c r="M103" s="73"/>
      <c r="N103" s="73"/>
      <c r="O103" s="73"/>
      <c r="P103" s="73"/>
      <c r="Q103" s="73"/>
      <c r="R103" s="73"/>
    </row>
    <row r="104" spans="1:18" ht="12.75">
      <c r="A104" s="120"/>
      <c r="B104" s="80"/>
      <c r="C104" s="120"/>
      <c r="D104" s="141"/>
      <c r="E104" s="149"/>
      <c r="F104" s="172"/>
      <c r="I104" s="72"/>
      <c r="J104" s="73"/>
      <c r="K104" s="73"/>
      <c r="L104" s="73"/>
      <c r="M104" s="73"/>
      <c r="N104" s="73"/>
      <c r="O104" s="73"/>
      <c r="P104" s="73"/>
      <c r="Q104" s="73"/>
      <c r="R104" s="73"/>
    </row>
    <row r="105" spans="1:18" ht="12.75">
      <c r="A105" s="120"/>
      <c r="B105" s="80"/>
      <c r="C105" s="120"/>
      <c r="D105" s="141"/>
      <c r="E105" s="73"/>
      <c r="J105" s="73"/>
      <c r="K105" s="73"/>
      <c r="L105" s="73"/>
      <c r="M105" s="73"/>
      <c r="N105" s="73"/>
      <c r="O105" s="73"/>
      <c r="P105" s="73"/>
      <c r="Q105" s="73"/>
      <c r="R105" s="73"/>
    </row>
    <row r="106" spans="1:18" ht="12.75">
      <c r="A106" s="120" t="s">
        <v>772</v>
      </c>
      <c r="B106" s="122"/>
      <c r="C106" s="189" t="s">
        <v>640</v>
      </c>
      <c r="D106" s="190"/>
      <c r="E106" s="139"/>
      <c r="F106" s="191" t="s">
        <v>641</v>
      </c>
      <c r="G106" s="140">
        <v>-14205414</v>
      </c>
      <c r="H106" s="73"/>
      <c r="I106" s="73"/>
      <c r="J106" s="73"/>
      <c r="K106" s="73"/>
      <c r="L106" s="73"/>
      <c r="M106" s="73"/>
      <c r="N106" s="73"/>
      <c r="O106" s="73"/>
      <c r="P106" s="73"/>
      <c r="Q106" s="73"/>
      <c r="R106" s="73"/>
    </row>
    <row r="107" spans="1:18" ht="12.75">
      <c r="A107" s="120"/>
      <c r="B107" s="122"/>
      <c r="C107" s="192" t="s">
        <v>274</v>
      </c>
      <c r="D107" s="146"/>
      <c r="E107" s="172"/>
      <c r="F107" s="172"/>
      <c r="G107" s="193">
        <f>ROUND(14205414/8,0)*6</f>
        <v>10654062</v>
      </c>
      <c r="H107" s="121" t="str">
        <f>IF(Data!H8="January 31, 2008","Time to update interest amount"," ")</f>
        <v> </v>
      </c>
      <c r="I107" s="73"/>
      <c r="J107" s="73"/>
      <c r="K107" s="73"/>
      <c r="L107" s="73"/>
      <c r="M107" s="73"/>
      <c r="N107" s="73"/>
      <c r="O107" s="73"/>
      <c r="P107" s="73"/>
      <c r="Q107" s="73"/>
      <c r="R107" s="73"/>
    </row>
    <row r="108" spans="1:18" ht="12.75">
      <c r="A108" s="120"/>
      <c r="B108" s="122"/>
      <c r="C108" s="192" t="s">
        <v>275</v>
      </c>
      <c r="D108" s="146"/>
      <c r="E108" s="172"/>
      <c r="F108" s="172"/>
      <c r="G108" s="193">
        <f>ROUND(14205414/8,0)</f>
        <v>1775677</v>
      </c>
      <c r="H108" s="121" t="str">
        <f>IF(A3="For Twelve Months Ended January 31, 2009","then balance should be zero"," ")</f>
        <v> </v>
      </c>
      <c r="I108" s="73"/>
      <c r="J108" s="73"/>
      <c r="K108" s="73"/>
      <c r="L108" s="73"/>
      <c r="M108" s="73"/>
      <c r="N108" s="73"/>
      <c r="O108" s="73"/>
      <c r="P108" s="73"/>
      <c r="Q108" s="73"/>
      <c r="R108" s="73"/>
    </row>
    <row r="109" spans="1:18" ht="13.5" thickBot="1">
      <c r="A109" s="120"/>
      <c r="B109" s="122"/>
      <c r="C109" s="192" t="s">
        <v>642</v>
      </c>
      <c r="D109" s="146"/>
      <c r="E109" s="172"/>
      <c r="F109" s="172"/>
      <c r="G109" s="194">
        <f>SUM(G106:G108)</f>
        <v>-1775675</v>
      </c>
      <c r="H109" s="121"/>
      <c r="I109" s="73"/>
      <c r="J109" s="73"/>
      <c r="K109" s="73"/>
      <c r="L109" s="73"/>
      <c r="M109" s="73"/>
      <c r="N109" s="73"/>
      <c r="O109" s="73"/>
      <c r="P109" s="73"/>
      <c r="Q109" s="73"/>
      <c r="R109" s="73"/>
    </row>
    <row r="110" spans="1:18" ht="13.5" thickTop="1">
      <c r="A110" s="120"/>
      <c r="B110" s="122"/>
      <c r="C110" s="195"/>
      <c r="D110" s="144"/>
      <c r="E110" s="196"/>
      <c r="F110" s="196"/>
      <c r="G110" s="197"/>
      <c r="H110" s="73"/>
      <c r="I110" s="73"/>
      <c r="J110" s="73"/>
      <c r="K110" s="73"/>
      <c r="L110" s="73"/>
      <c r="M110" s="73"/>
      <c r="N110" s="73"/>
      <c r="O110" s="73"/>
      <c r="P110" s="73"/>
      <c r="Q110" s="73"/>
      <c r="R110" s="73"/>
    </row>
    <row r="111" spans="1:18" ht="12.75">
      <c r="A111" s="120"/>
      <c r="B111" s="122"/>
      <c r="C111" s="120"/>
      <c r="D111" s="141"/>
      <c r="E111" s="73"/>
      <c r="F111" s="73"/>
      <c r="G111" s="73"/>
      <c r="H111" s="73"/>
      <c r="I111" s="73"/>
      <c r="J111" s="73"/>
      <c r="K111" s="73"/>
      <c r="L111" s="73"/>
      <c r="M111" s="73"/>
      <c r="N111" s="73"/>
      <c r="O111" s="73"/>
      <c r="P111" s="73"/>
      <c r="Q111" s="73"/>
      <c r="R111" s="73"/>
    </row>
    <row r="112" spans="1:18" ht="12.75">
      <c r="A112" s="120" t="s">
        <v>864</v>
      </c>
      <c r="B112" s="80"/>
      <c r="C112" s="120"/>
      <c r="D112" s="141"/>
      <c r="E112" s="73"/>
      <c r="F112" s="73"/>
      <c r="G112" s="122"/>
      <c r="I112" s="73"/>
      <c r="J112" s="73"/>
      <c r="K112" s="73"/>
      <c r="L112" s="149"/>
      <c r="M112" s="73"/>
      <c r="N112" s="73"/>
      <c r="O112" s="73"/>
      <c r="P112" s="73"/>
      <c r="Q112" s="73"/>
      <c r="R112" s="73"/>
    </row>
    <row r="113" spans="1:18" ht="12.75" hidden="1">
      <c r="A113" s="120"/>
      <c r="B113" s="80"/>
      <c r="C113" s="120" t="s">
        <v>865</v>
      </c>
      <c r="D113" s="141"/>
      <c r="E113" s="73"/>
      <c r="F113" s="73">
        <f>+'Electric Plant'!H8+'Electric Plant'!H9+'Electric Plant'!H10+'Electric Plant'!H25+'Electric Plant'!H35+'Electric Plant'!H46+'Electric Plant'!H59+'Electric Plant'!H74+'C-GPL'!I7+'C-GPL'!I19+'C-GPL'!I31+'C-GPL'!I43+'C-GPL'!I55+'C-GPL'!I67+'C-GPL'!I79+'C-GPL'!I91+'C-GPL'!I103+'C-GPL'!I115+'C-IPL'!I17+'C-IPL'!I26+'C-IPL'!I35</f>
        <v>2442675843</v>
      </c>
      <c r="G113" s="73"/>
      <c r="H113" s="73" t="s">
        <v>679</v>
      </c>
      <c r="I113" s="73"/>
      <c r="J113" s="73"/>
      <c r="K113" s="73"/>
      <c r="L113" s="73"/>
      <c r="M113" s="73"/>
      <c r="N113" s="73"/>
      <c r="O113" s="73"/>
      <c r="P113" s="73"/>
      <c r="Q113" s="73"/>
      <c r="R113" s="73"/>
    </row>
    <row r="114" spans="1:18" ht="12.75" hidden="1">
      <c r="A114" s="120"/>
      <c r="B114" s="80"/>
      <c r="C114" s="120"/>
      <c r="D114" s="141"/>
      <c r="E114" s="73"/>
      <c r="F114" s="73"/>
      <c r="G114" s="73"/>
      <c r="H114" s="73"/>
      <c r="I114" s="73"/>
      <c r="J114" s="73"/>
      <c r="K114" s="73"/>
      <c r="L114" s="73"/>
      <c r="M114" s="73"/>
      <c r="N114" s="73"/>
      <c r="O114" s="73"/>
      <c r="P114" s="73"/>
      <c r="Q114" s="73"/>
      <c r="R114" s="73"/>
    </row>
    <row r="115" spans="1:18" ht="12.75" hidden="1">
      <c r="A115" s="120"/>
      <c r="B115" s="80"/>
      <c r="C115" s="120" t="s">
        <v>618</v>
      </c>
      <c r="D115" s="141" t="s">
        <v>619</v>
      </c>
      <c r="E115" s="73"/>
      <c r="F115" s="73">
        <f>+'Electric Plant'!H8</f>
        <v>0</v>
      </c>
      <c r="G115" s="138"/>
      <c r="H115" s="138">
        <f>+'Electric Plant'!B8</f>
        <v>301000</v>
      </c>
      <c r="I115" s="198" t="str">
        <f>+'Electric Plant'!C8</f>
        <v>Organization</v>
      </c>
      <c r="J115" s="73"/>
      <c r="K115" s="73"/>
      <c r="L115" s="73"/>
      <c r="M115" s="73"/>
      <c r="N115" s="73"/>
      <c r="O115" s="73"/>
      <c r="P115" s="73"/>
      <c r="Q115" s="73"/>
      <c r="R115" s="73"/>
    </row>
    <row r="116" spans="1:18" ht="12.75" hidden="1">
      <c r="A116" s="120"/>
      <c r="B116" s="80"/>
      <c r="C116" s="120"/>
      <c r="D116" s="141" t="s">
        <v>620</v>
      </c>
      <c r="E116" s="73"/>
      <c r="F116" s="73">
        <f>+'Electric Plant'!H9</f>
        <v>15259132</v>
      </c>
      <c r="G116" s="73"/>
      <c r="H116" s="138">
        <f>+'Electric Plant'!B9</f>
        <v>302000</v>
      </c>
      <c r="I116" s="198" t="str">
        <f>+'Electric Plant'!C9</f>
        <v>Franchises &amp; Consents</v>
      </c>
      <c r="J116" s="73"/>
      <c r="K116" s="73"/>
      <c r="L116" s="73"/>
      <c r="M116" s="73"/>
      <c r="N116" s="73"/>
      <c r="O116" s="73"/>
      <c r="P116" s="73"/>
      <c r="Q116" s="73"/>
      <c r="R116" s="73"/>
    </row>
    <row r="117" spans="1:18" ht="12.75" hidden="1">
      <c r="A117" s="120"/>
      <c r="B117" s="80"/>
      <c r="C117" s="120"/>
      <c r="D117" s="141" t="s">
        <v>621</v>
      </c>
      <c r="E117" s="73"/>
      <c r="F117" s="73">
        <f>+'Electric Plant'!H10</f>
        <v>2179729</v>
      </c>
      <c r="G117" s="73"/>
      <c r="H117" s="199">
        <f>+'Electric Plant'!B10</f>
        <v>303000</v>
      </c>
      <c r="I117" s="198" t="str">
        <f>+'Electric Plant'!C10</f>
        <v>Misc Intangible Plant</v>
      </c>
      <c r="J117" s="73"/>
      <c r="K117" s="73"/>
      <c r="L117" s="73"/>
      <c r="M117" s="73"/>
      <c r="N117" s="73"/>
      <c r="O117" s="73"/>
      <c r="P117" s="73"/>
      <c r="Q117" s="73"/>
      <c r="R117" s="73"/>
    </row>
    <row r="118" spans="1:18" ht="12.75" hidden="1">
      <c r="A118" s="120"/>
      <c r="B118" s="80"/>
      <c r="C118" s="120"/>
      <c r="D118" s="141" t="s">
        <v>622</v>
      </c>
      <c r="E118" s="73"/>
      <c r="F118" s="73">
        <f>+'Electric Plant'!H25</f>
        <v>379133972</v>
      </c>
      <c r="G118" s="73"/>
      <c r="H118" s="138"/>
      <c r="I118" s="198" t="str">
        <f>+'Electric Plant'!C25</f>
        <v>TOTAL STEAM PRODUCTION PLANT</v>
      </c>
      <c r="J118" s="73"/>
      <c r="K118" s="73"/>
      <c r="L118" s="73"/>
      <c r="M118" s="73"/>
      <c r="N118" s="73"/>
      <c r="O118" s="73"/>
      <c r="P118" s="73"/>
      <c r="Q118" s="73"/>
      <c r="R118" s="73"/>
    </row>
    <row r="119" spans="1:18" ht="12.75" hidden="1">
      <c r="A119" s="120"/>
      <c r="B119" s="80"/>
      <c r="C119" s="120"/>
      <c r="D119" s="141" t="s">
        <v>623</v>
      </c>
      <c r="E119" s="73"/>
      <c r="F119" s="73">
        <f>+'Electric Plant'!H35</f>
        <v>363847552</v>
      </c>
      <c r="G119" s="73"/>
      <c r="H119" s="138"/>
      <c r="I119" s="198" t="str">
        <f>+'Electric Plant'!C35</f>
        <v>TOTAL HYDRAULIC PRODUCTION PLANT</v>
      </c>
      <c r="J119" s="73"/>
      <c r="K119" s="73"/>
      <c r="L119" s="73"/>
      <c r="M119" s="73"/>
      <c r="N119" s="73"/>
      <c r="O119" s="73"/>
      <c r="P119" s="73"/>
      <c r="Q119" s="73"/>
      <c r="R119" s="73"/>
    </row>
    <row r="120" spans="1:18" ht="12.75" hidden="1">
      <c r="A120" s="120"/>
      <c r="B120" s="80"/>
      <c r="C120" s="120"/>
      <c r="D120" s="141" t="s">
        <v>624</v>
      </c>
      <c r="E120" s="73"/>
      <c r="F120" s="73">
        <f>+'Electric Plant'!H46</f>
        <v>272776182</v>
      </c>
      <c r="G120" s="73"/>
      <c r="H120" s="138"/>
      <c r="I120" s="198" t="str">
        <f>+'Electric Plant'!C46</f>
        <v>TOTAL OTHER PRODUCTION PLANT</v>
      </c>
      <c r="J120" s="73"/>
      <c r="K120" s="73"/>
      <c r="L120" s="73"/>
      <c r="M120" s="73"/>
      <c r="N120" s="73"/>
      <c r="O120" s="73"/>
      <c r="P120" s="73"/>
      <c r="Q120" s="73"/>
      <c r="R120" s="73"/>
    </row>
    <row r="121" spans="1:18" ht="12.75" hidden="1">
      <c r="A121" s="120"/>
      <c r="B121" s="80"/>
      <c r="C121" s="120"/>
      <c r="D121" s="141" t="s">
        <v>625</v>
      </c>
      <c r="E121" s="73"/>
      <c r="F121" s="73">
        <f>+'Electric Plant'!H59</f>
        <v>442421355</v>
      </c>
      <c r="G121" s="73"/>
      <c r="H121" s="138"/>
      <c r="I121" s="198" t="str">
        <f>+'Electric Plant'!C59</f>
        <v>TOTAL TRANSMISSION PLANT</v>
      </c>
      <c r="J121" s="73"/>
      <c r="K121" s="73"/>
      <c r="L121" s="73"/>
      <c r="M121" s="73"/>
      <c r="N121" s="73"/>
      <c r="O121" s="73"/>
      <c r="P121" s="73"/>
      <c r="Q121" s="73"/>
      <c r="R121" s="73"/>
    </row>
    <row r="122" spans="1:18" ht="12.75" hidden="1">
      <c r="A122" s="120"/>
      <c r="B122" s="80"/>
      <c r="C122" s="120"/>
      <c r="D122" s="141" t="s">
        <v>626</v>
      </c>
      <c r="E122" s="73"/>
      <c r="F122" s="73">
        <f>+'Electric Plant'!H74</f>
        <v>893140751</v>
      </c>
      <c r="G122" s="73"/>
      <c r="H122" s="138"/>
      <c r="I122" s="198" t="str">
        <f>+'Electric Plant'!C74</f>
        <v>TOTAL DISTRIBUTION PLANT</v>
      </c>
      <c r="J122" s="73"/>
      <c r="K122" s="73"/>
      <c r="L122" s="73"/>
      <c r="M122" s="73"/>
      <c r="N122" s="73"/>
      <c r="O122" s="73"/>
      <c r="P122" s="73"/>
      <c r="Q122" s="73"/>
      <c r="R122" s="73"/>
    </row>
    <row r="123" spans="1:18" ht="12.75" hidden="1">
      <c r="A123" s="120"/>
      <c r="B123" s="80"/>
      <c r="C123" s="120" t="s">
        <v>774</v>
      </c>
      <c r="D123" s="141" t="s">
        <v>627</v>
      </c>
      <c r="E123" s="73"/>
      <c r="F123" s="73">
        <f>+'C-GPL'!I7</f>
        <v>124681</v>
      </c>
      <c r="G123" s="73"/>
      <c r="H123" s="73"/>
      <c r="I123" s="73" t="str">
        <f>+'C-GPL'!C6</f>
        <v>Land &amp; Land Rights</v>
      </c>
      <c r="J123" s="73"/>
      <c r="K123" s="73"/>
      <c r="L123" s="73"/>
      <c r="M123" s="73"/>
      <c r="N123" s="73"/>
      <c r="O123" s="73"/>
      <c r="P123" s="73"/>
      <c r="Q123" s="73"/>
      <c r="R123" s="73"/>
    </row>
    <row r="124" spans="1:18" ht="12.75" hidden="1">
      <c r="A124" s="120"/>
      <c r="B124" s="80"/>
      <c r="C124" s="120"/>
      <c r="D124" s="141" t="s">
        <v>628</v>
      </c>
      <c r="E124" s="73"/>
      <c r="F124" s="73">
        <f>+'C-GPL'!I19</f>
        <v>2142296</v>
      </c>
      <c r="G124" s="73"/>
      <c r="H124" s="73"/>
      <c r="I124" s="73" t="str">
        <f>+'C-GPL'!C18</f>
        <v>Structures &amp; Improvements</v>
      </c>
      <c r="J124" s="73"/>
      <c r="K124" s="73"/>
      <c r="L124" s="73"/>
      <c r="M124" s="73"/>
      <c r="N124" s="73"/>
      <c r="O124" s="73"/>
      <c r="P124" s="73"/>
      <c r="Q124" s="73"/>
      <c r="R124" s="73"/>
    </row>
    <row r="125" spans="1:18" ht="12.75" hidden="1">
      <c r="A125" s="120"/>
      <c r="B125" s="80"/>
      <c r="C125" s="120"/>
      <c r="D125" s="141" t="s">
        <v>629</v>
      </c>
      <c r="E125" s="73"/>
      <c r="F125" s="73">
        <f>+'C-GPL'!I31</f>
        <v>568347</v>
      </c>
      <c r="G125" s="73"/>
      <c r="H125" s="73"/>
      <c r="I125" s="73" t="str">
        <f>+'C-GPL'!C30</f>
        <v>Office Furniture &amp; Equipment</v>
      </c>
      <c r="J125" s="73"/>
      <c r="K125" s="73"/>
      <c r="L125" s="73"/>
      <c r="M125" s="73"/>
      <c r="N125" s="73"/>
      <c r="O125" s="73"/>
      <c r="P125" s="73"/>
      <c r="Q125" s="73"/>
      <c r="R125" s="73"/>
    </row>
    <row r="126" spans="1:18" ht="12.75" hidden="1">
      <c r="A126" s="120"/>
      <c r="B126" s="80"/>
      <c r="C126" s="120"/>
      <c r="D126" s="141" t="s">
        <v>630</v>
      </c>
      <c r="E126" s="73"/>
      <c r="F126" s="73">
        <f>+'C-GPL'!I43</f>
        <v>8584930</v>
      </c>
      <c r="G126" s="73"/>
      <c r="H126" s="73"/>
      <c r="I126" s="73" t="str">
        <f>+'C-GPL'!C42</f>
        <v>Transportation Equipment</v>
      </c>
      <c r="J126" s="73"/>
      <c r="K126" s="73"/>
      <c r="L126" s="73"/>
      <c r="M126" s="73"/>
      <c r="N126" s="73"/>
      <c r="O126" s="73"/>
      <c r="P126" s="73"/>
      <c r="Q126" s="73"/>
      <c r="R126" s="73"/>
    </row>
    <row r="127" spans="1:18" ht="12.75" hidden="1">
      <c r="A127" s="120"/>
      <c r="B127" s="80"/>
      <c r="C127" s="120"/>
      <c r="D127" s="141" t="s">
        <v>631</v>
      </c>
      <c r="E127" s="73"/>
      <c r="F127" s="73">
        <f>+'C-GPL'!I55</f>
        <v>320697</v>
      </c>
      <c r="G127" s="73"/>
      <c r="H127" s="73"/>
      <c r="I127" s="73" t="str">
        <f>+'C-GPL'!C54</f>
        <v>Stores Equipment</v>
      </c>
      <c r="J127" s="73"/>
      <c r="K127" s="73"/>
      <c r="L127" s="73"/>
      <c r="M127" s="73"/>
      <c r="N127" s="73"/>
      <c r="O127" s="73"/>
      <c r="P127" s="73"/>
      <c r="Q127" s="73"/>
      <c r="R127" s="73"/>
    </row>
    <row r="128" spans="1:18" ht="12.75" hidden="1">
      <c r="A128" s="120"/>
      <c r="B128" s="80"/>
      <c r="C128" s="120"/>
      <c r="D128" s="141" t="s">
        <v>632</v>
      </c>
      <c r="E128" s="73"/>
      <c r="F128" s="73">
        <f>+'C-GPL'!I67</f>
        <v>3309862</v>
      </c>
      <c r="G128" s="73"/>
      <c r="H128" s="73"/>
      <c r="I128" s="73" t="str">
        <f>+'C-GPL'!C66</f>
        <v>Tools, Shop, &amp; Garage Equipment</v>
      </c>
      <c r="J128" s="73"/>
      <c r="K128" s="73"/>
      <c r="L128" s="73"/>
      <c r="M128" s="73"/>
      <c r="N128" s="73"/>
      <c r="O128" s="73"/>
      <c r="P128" s="73"/>
      <c r="Q128" s="73"/>
      <c r="R128" s="73"/>
    </row>
    <row r="129" spans="1:18" ht="12.75" hidden="1">
      <c r="A129" s="120"/>
      <c r="B129" s="80"/>
      <c r="C129" s="120"/>
      <c r="D129" s="141" t="s">
        <v>633</v>
      </c>
      <c r="E129" s="73"/>
      <c r="F129" s="73">
        <f>+'C-GPL'!I79</f>
        <v>3074890</v>
      </c>
      <c r="G129" s="73"/>
      <c r="H129" s="73"/>
      <c r="I129" s="73" t="str">
        <f>+'C-GPL'!C78</f>
        <v>Laboratory Equipment</v>
      </c>
      <c r="J129" s="73"/>
      <c r="K129" s="73"/>
      <c r="L129" s="73"/>
      <c r="M129" s="73"/>
      <c r="N129" s="73"/>
      <c r="O129" s="73"/>
      <c r="P129" s="73"/>
      <c r="Q129" s="73"/>
      <c r="R129" s="73"/>
    </row>
    <row r="130" spans="1:18" ht="12.75" hidden="1">
      <c r="A130" s="120"/>
      <c r="B130" s="80"/>
      <c r="C130" s="120"/>
      <c r="D130" s="141" t="s">
        <v>634</v>
      </c>
      <c r="E130" s="73"/>
      <c r="F130" s="73">
        <f>+'C-GPL'!I91</f>
        <v>20921987</v>
      </c>
      <c r="G130" s="73"/>
      <c r="H130" s="73"/>
      <c r="I130" s="73" t="str">
        <f>+'C-GPL'!C90</f>
        <v>Power Operated Equipment</v>
      </c>
      <c r="J130" s="73"/>
      <c r="K130" s="73"/>
      <c r="L130" s="73"/>
      <c r="M130" s="73"/>
      <c r="N130" s="73"/>
      <c r="O130" s="73"/>
      <c r="P130" s="73"/>
      <c r="Q130" s="73"/>
      <c r="R130" s="73"/>
    </row>
    <row r="131" spans="1:18" ht="12.75" hidden="1">
      <c r="A131" s="120"/>
      <c r="B131" s="80"/>
      <c r="C131" s="120"/>
      <c r="D131" s="141" t="s">
        <v>635</v>
      </c>
      <c r="E131" s="73"/>
      <c r="F131" s="73">
        <f>+'C-GPL'!I103</f>
        <v>33048082</v>
      </c>
      <c r="G131" s="73"/>
      <c r="H131" s="73"/>
      <c r="I131" s="73" t="str">
        <f>+'C-GPL'!C102</f>
        <v>Communication Equipment</v>
      </c>
      <c r="J131" s="73"/>
      <c r="K131" s="73"/>
      <c r="L131" s="73"/>
      <c r="M131" s="73"/>
      <c r="N131" s="73"/>
      <c r="O131" s="73"/>
      <c r="P131" s="73"/>
      <c r="Q131" s="73"/>
      <c r="R131" s="73"/>
    </row>
    <row r="132" spans="1:18" ht="12.75" hidden="1">
      <c r="A132" s="120"/>
      <c r="B132" s="80"/>
      <c r="C132" s="120"/>
      <c r="D132" s="141" t="s">
        <v>636</v>
      </c>
      <c r="E132" s="73"/>
      <c r="F132" s="73">
        <f>+'C-GPL'!I115</f>
        <v>3905</v>
      </c>
      <c r="G132" s="73"/>
      <c r="H132" s="73"/>
      <c r="I132" s="73" t="str">
        <f>+'C-GPL'!C114</f>
        <v>Miscellaneous Equipment</v>
      </c>
      <c r="J132" s="73"/>
      <c r="K132" s="73"/>
      <c r="L132" s="73"/>
      <c r="M132" s="73"/>
      <c r="N132" s="73"/>
      <c r="O132" s="73"/>
      <c r="P132" s="73"/>
      <c r="Q132" s="73"/>
      <c r="R132" s="73"/>
    </row>
    <row r="133" spans="1:18" ht="12.75" hidden="1">
      <c r="A133" s="120"/>
      <c r="B133" s="80"/>
      <c r="C133" s="120" t="s">
        <v>780</v>
      </c>
      <c r="D133" s="141" t="s">
        <v>637</v>
      </c>
      <c r="E133" s="73"/>
      <c r="F133" s="73">
        <f>+'C-IPL'!I17</f>
        <v>315346</v>
      </c>
      <c r="G133" s="73"/>
      <c r="H133" s="73"/>
      <c r="I133" s="73" t="str">
        <f>+'C-IPL'!C16</f>
        <v>Misc Intangible Plant--Mainframe Software</v>
      </c>
      <c r="J133" s="73"/>
      <c r="K133" s="73"/>
      <c r="L133" s="73"/>
      <c r="M133" s="73"/>
      <c r="N133" s="73"/>
      <c r="O133" s="73"/>
      <c r="P133" s="73"/>
      <c r="Q133" s="73"/>
      <c r="R133" s="73"/>
    </row>
    <row r="134" spans="1:18" ht="12.75" hidden="1">
      <c r="A134" s="120"/>
      <c r="B134" s="80"/>
      <c r="C134" s="120"/>
      <c r="D134" s="141" t="s">
        <v>638</v>
      </c>
      <c r="E134" s="73"/>
      <c r="F134" s="73">
        <f>+'C-IPL'!I26</f>
        <v>1502147</v>
      </c>
      <c r="G134" s="73"/>
      <c r="H134" s="73"/>
      <c r="I134" s="73" t="str">
        <f>+'C-IPL'!C25</f>
        <v>Misc Intangible Plant--PC Software</v>
      </c>
      <c r="J134" s="73"/>
      <c r="K134" s="73"/>
      <c r="L134" s="73"/>
      <c r="M134" s="73"/>
      <c r="N134" s="73"/>
      <c r="O134" s="73"/>
      <c r="P134" s="73"/>
      <c r="Q134" s="73"/>
      <c r="R134" s="73"/>
    </row>
    <row r="135" spans="1:18" ht="12.75" hidden="1">
      <c r="A135" s="120"/>
      <c r="B135" s="80"/>
      <c r="C135" s="120"/>
      <c r="D135" s="141" t="s">
        <v>639</v>
      </c>
      <c r="E135" s="73"/>
      <c r="F135" s="73">
        <f>+'C-IPL'!I35</f>
        <v>0</v>
      </c>
      <c r="G135" s="73"/>
      <c r="H135" s="73"/>
      <c r="I135" s="73" t="str">
        <f>+'C-GPL'!C37</f>
        <v>     Utility 9 - Idaho</v>
      </c>
      <c r="J135" s="73"/>
      <c r="K135" s="73"/>
      <c r="L135" s="73"/>
      <c r="M135" s="73"/>
      <c r="N135" s="73"/>
      <c r="O135" s="73"/>
      <c r="P135" s="73"/>
      <c r="Q135" s="73"/>
      <c r="R135" s="73"/>
    </row>
    <row r="136" spans="1:18" ht="13.5" hidden="1" thickBot="1">
      <c r="A136" s="120"/>
      <c r="B136" s="80"/>
      <c r="C136" s="120"/>
      <c r="D136" s="141"/>
      <c r="E136" s="73"/>
      <c r="F136" s="169">
        <f>SUM(F115:F135)</f>
        <v>2442675843</v>
      </c>
      <c r="G136" s="73">
        <f>+F113-F136</f>
        <v>0</v>
      </c>
      <c r="H136" s="73"/>
      <c r="I136" s="73"/>
      <c r="J136" s="73"/>
      <c r="K136" s="73"/>
      <c r="L136" s="73"/>
      <c r="M136" s="73"/>
      <c r="N136" s="73"/>
      <c r="O136" s="73"/>
      <c r="P136" s="73"/>
      <c r="Q136" s="73"/>
      <c r="R136" s="73"/>
    </row>
    <row r="137" spans="1:18" ht="13.5" hidden="1" thickTop="1">
      <c r="A137" s="120"/>
      <c r="B137" s="80"/>
      <c r="C137" s="120" t="s">
        <v>866</v>
      </c>
      <c r="D137" s="141"/>
      <c r="E137" s="73"/>
      <c r="F137" s="73">
        <f>+'C-GPL'!I10+'C-GPL'!I22+'C-GPL'!I34+'C-GPL'!I46+'C-GPL'!I58+'C-GPL'!I70+'C-GPL'!I82+'C-GPL'!I94+'C-GPL'!I106+'C-GPL'!I118+'C-IPL'!I20+'C-IPL'!I29+'C-IPL'!I38</f>
        <v>62867328</v>
      </c>
      <c r="G137" s="73"/>
      <c r="H137" s="123" t="s">
        <v>493</v>
      </c>
      <c r="I137" s="73"/>
      <c r="J137" s="73"/>
      <c r="K137" s="73"/>
      <c r="L137" s="73"/>
      <c r="M137" s="73"/>
      <c r="N137" s="73"/>
      <c r="O137" s="73"/>
      <c r="P137" s="73"/>
      <c r="Q137" s="73"/>
      <c r="R137" s="73"/>
    </row>
    <row r="138" spans="1:18" ht="12.75" hidden="1">
      <c r="A138" s="120"/>
      <c r="B138" s="80"/>
      <c r="C138" s="120" t="s">
        <v>867</v>
      </c>
      <c r="D138" s="141"/>
      <c r="E138" s="73"/>
      <c r="F138" s="73">
        <f>+'C-GPL'!I11+'C-GPL'!I23+'C-GPL'!I35+'C-GPL'!I47+'C-GPL'!I59+'C-GPL'!I71+'C-GPL'!I83+'C-GPL'!I95+'C-GPL'!I107+'C-GPL'!I119+'C-IPL'!I21+'C-IPL'!I30+'C-IPL'!I39</f>
        <v>0</v>
      </c>
      <c r="H138" s="79" t="s">
        <v>868</v>
      </c>
      <c r="I138" s="73"/>
      <c r="J138" s="73"/>
      <c r="K138" s="73"/>
      <c r="L138" s="73"/>
      <c r="M138" s="73"/>
      <c r="N138" s="73"/>
      <c r="O138" s="73"/>
      <c r="P138" s="73"/>
      <c r="Q138" s="73"/>
      <c r="R138" s="73"/>
    </row>
    <row r="139" spans="1:18" ht="12.75" hidden="1">
      <c r="A139" s="120"/>
      <c r="B139" s="80"/>
      <c r="C139" s="120" t="s">
        <v>869</v>
      </c>
      <c r="D139" s="141"/>
      <c r="E139" s="73"/>
      <c r="F139" s="73">
        <f>'C-GPL'!I12+'C-GPL'!I13+'C-GPL'!I14+'C-GPL'!I24+'C-GPL'!I25+'C-GPL'!I26+'C-GPL'!I36+'C-GPL'!I37+'C-GPL'!I38+'C-GPL'!I48+'C-GPL'!I49+'C-GPL'!I50+'C-GPL'!I60+'C-GPL'!I61+'C-GPL'!I62+'C-GPL'!I72+'C-GPL'!I73+'C-GPL'!I74+'C-GPL'!I84+'C-GPL'!I85+'C-GPL'!I86+'C-GPL'!I96+'C-GPL'!I97+'C-GPL'!I98+'C-GPL'!I108+'C-GPL'!I109+'C-GPL'!I110+'C-GPL'!I120+'C-GPL'!I121+'C-GPL'!I122+'C-IPL'!I13</f>
        <v>18152590</v>
      </c>
      <c r="G139" s="73"/>
      <c r="H139" s="73"/>
      <c r="I139" s="73"/>
      <c r="J139" s="73"/>
      <c r="K139" s="200"/>
      <c r="L139" s="73"/>
      <c r="M139" s="73"/>
      <c r="N139" s="73"/>
      <c r="O139" s="73"/>
      <c r="P139" s="73"/>
      <c r="Q139" s="73"/>
      <c r="R139" s="73"/>
    </row>
    <row r="140" spans="1:18" ht="12.75" hidden="1">
      <c r="A140" s="120"/>
      <c r="B140" s="80"/>
      <c r="C140" s="120" t="s">
        <v>194</v>
      </c>
      <c r="D140" s="141"/>
      <c r="E140" s="73"/>
      <c r="F140" s="73">
        <f>+Data!H507</f>
        <v>722349</v>
      </c>
      <c r="G140" s="73"/>
      <c r="H140" s="73"/>
      <c r="I140" s="73"/>
      <c r="J140" s="73"/>
      <c r="K140" s="200"/>
      <c r="L140" s="73"/>
      <c r="M140" s="73"/>
      <c r="N140" s="73"/>
      <c r="O140" s="73"/>
      <c r="P140" s="73"/>
      <c r="Q140" s="73"/>
      <c r="R140" s="73"/>
    </row>
    <row r="141" spans="1:18" ht="12.75" hidden="1">
      <c r="A141" s="120"/>
      <c r="B141" s="80"/>
      <c r="C141" s="120" t="s">
        <v>195</v>
      </c>
      <c r="D141" s="141"/>
      <c r="E141" s="73"/>
      <c r="F141" s="73">
        <f>+Data!H522</f>
        <v>351682</v>
      </c>
      <c r="G141" s="73"/>
      <c r="H141" s="73"/>
      <c r="I141" s="73"/>
      <c r="J141" s="73"/>
      <c r="K141" s="200"/>
      <c r="L141" s="73"/>
      <c r="M141" s="73"/>
      <c r="N141" s="73"/>
      <c r="O141" s="73"/>
      <c r="P141" s="73"/>
      <c r="Q141" s="73"/>
      <c r="R141" s="73"/>
    </row>
    <row r="142" spans="1:18" ht="12.75" hidden="1">
      <c r="A142" s="120"/>
      <c r="B142" s="80"/>
      <c r="C142" s="120" t="s">
        <v>196</v>
      </c>
      <c r="D142" s="141"/>
      <c r="E142" s="73"/>
      <c r="F142" s="73">
        <f>+Data!H543</f>
        <v>129707</v>
      </c>
      <c r="G142" s="73"/>
      <c r="H142" s="73" t="s">
        <v>198</v>
      </c>
      <c r="I142" s="73" t="s">
        <v>199</v>
      </c>
      <c r="J142" s="73"/>
      <c r="K142" s="200"/>
      <c r="L142" s="73"/>
      <c r="M142" s="73"/>
      <c r="N142" s="73"/>
      <c r="O142" s="73"/>
      <c r="P142" s="73"/>
      <c r="Q142" s="73"/>
      <c r="R142" s="73"/>
    </row>
    <row r="143" spans="1:18" ht="12.75" hidden="1">
      <c r="A143" s="120"/>
      <c r="B143" s="80"/>
      <c r="C143" s="120" t="s">
        <v>197</v>
      </c>
      <c r="D143" s="141"/>
      <c r="E143" s="73"/>
      <c r="F143" s="73">
        <f>+I143</f>
        <v>253069</v>
      </c>
      <c r="G143" s="73">
        <f>+Data!H495</f>
        <v>351680</v>
      </c>
      <c r="H143" s="187">
        <f>+'E-ALL'!G60</f>
        <v>0.7196</v>
      </c>
      <c r="I143" s="73">
        <f>ROUND(G143*H143,0)</f>
        <v>253069</v>
      </c>
      <c r="J143" s="73"/>
      <c r="K143" s="200"/>
      <c r="L143" s="73"/>
      <c r="M143" s="73"/>
      <c r="N143" s="73"/>
      <c r="O143" s="73"/>
      <c r="P143" s="73"/>
      <c r="Q143" s="73"/>
      <c r="R143" s="73"/>
    </row>
    <row r="144" spans="1:18" ht="13.5" thickBot="1">
      <c r="A144" s="120"/>
      <c r="B144" s="80"/>
      <c r="C144" s="120" t="s">
        <v>870</v>
      </c>
      <c r="D144" s="141"/>
      <c r="E144" s="73"/>
      <c r="F144" s="169">
        <f>SUM(F137:F143)+F113</f>
        <v>2525152568</v>
      </c>
      <c r="G144" s="73"/>
      <c r="H144" s="73"/>
      <c r="I144" s="73"/>
      <c r="J144" s="73"/>
      <c r="K144" s="200"/>
      <c r="L144" s="149"/>
      <c r="M144" s="73"/>
      <c r="N144" s="73"/>
      <c r="O144" s="73"/>
      <c r="P144" s="73"/>
      <c r="Q144" s="73"/>
      <c r="R144" s="73"/>
    </row>
    <row r="145" spans="1:18" ht="13.5" thickTop="1">
      <c r="A145" s="120"/>
      <c r="B145" s="80"/>
      <c r="C145" s="120"/>
      <c r="D145" s="141"/>
      <c r="E145" s="73"/>
      <c r="F145" s="73"/>
      <c r="G145" s="73"/>
      <c r="H145" s="200"/>
      <c r="I145" s="149"/>
      <c r="J145" s="73"/>
      <c r="K145" s="200"/>
      <c r="L145" s="149"/>
      <c r="M145" s="73"/>
      <c r="N145" s="73"/>
      <c r="O145" s="73"/>
      <c r="P145" s="73"/>
      <c r="Q145" s="73"/>
      <c r="R145" s="73"/>
    </row>
    <row r="146" spans="1:18" ht="12.75">
      <c r="A146" s="120" t="s">
        <v>586</v>
      </c>
      <c r="B146" s="80"/>
      <c r="C146" s="120"/>
      <c r="D146" s="141"/>
      <c r="E146" s="73"/>
      <c r="F146" s="73"/>
      <c r="G146" s="73"/>
      <c r="H146" s="200"/>
      <c r="I146" s="149"/>
      <c r="J146" s="73"/>
      <c r="K146" s="201"/>
      <c r="L146" s="149"/>
      <c r="M146" s="73"/>
      <c r="N146" s="73"/>
      <c r="O146" s="73"/>
      <c r="P146" s="73"/>
      <c r="Q146" s="73"/>
      <c r="R146" s="73"/>
    </row>
    <row r="147" spans="1:18" ht="12.75" hidden="1">
      <c r="A147" s="120"/>
      <c r="B147" s="80"/>
      <c r="C147" s="120" t="s">
        <v>865</v>
      </c>
      <c r="D147" s="141"/>
      <c r="E147" s="73"/>
      <c r="F147" s="73">
        <f>+'Electric Plant'!H95+'Electric Plant'!H96+'Electric Plant'!H97+'Electric Plant'!H98+'Electric Plant'!H99-'E-APL'!H22+'C-ADP'!G9+'C-ADP'!G23-'E-APL'!H24</f>
        <v>830528705</v>
      </c>
      <c r="G147" s="73"/>
      <c r="H147" s="200"/>
      <c r="I147" s="149"/>
      <c r="J147" s="73"/>
      <c r="L147" s="149"/>
      <c r="M147" s="73"/>
      <c r="N147" s="73"/>
      <c r="O147" s="73"/>
      <c r="P147" s="73"/>
      <c r="Q147" s="73"/>
      <c r="R147" s="73"/>
    </row>
    <row r="148" spans="1:18" ht="12.75" hidden="1">
      <c r="A148" s="120"/>
      <c r="B148" s="80"/>
      <c r="C148" s="120"/>
      <c r="D148" s="141"/>
      <c r="E148" s="73"/>
      <c r="F148" s="73"/>
      <c r="G148" s="73"/>
      <c r="H148" s="200"/>
      <c r="I148" s="149"/>
      <c r="J148" s="73"/>
      <c r="L148" s="149"/>
      <c r="M148" s="73"/>
      <c r="N148" s="73"/>
      <c r="O148" s="73"/>
      <c r="P148" s="73"/>
      <c r="Q148" s="73"/>
      <c r="R148" s="73"/>
    </row>
    <row r="149" spans="1:18" ht="12.75" hidden="1">
      <c r="A149" s="120"/>
      <c r="B149" s="80" t="s">
        <v>647</v>
      </c>
      <c r="C149" s="73" t="str">
        <f>+'Electric Plant'!C95</f>
        <v>Steam Production Plant</v>
      </c>
      <c r="D149" s="141"/>
      <c r="E149" s="73"/>
      <c r="F149" s="73">
        <f>+'Electric Plant'!H95</f>
        <v>238667520</v>
      </c>
      <c r="G149" s="138" t="s">
        <v>651</v>
      </c>
      <c r="H149" s="79">
        <v>333</v>
      </c>
      <c r="I149" s="149"/>
      <c r="J149" s="73"/>
      <c r="L149" s="149"/>
      <c r="M149" s="73"/>
      <c r="N149" s="73"/>
      <c r="O149" s="73"/>
      <c r="P149" s="73"/>
      <c r="Q149" s="73"/>
      <c r="R149" s="73"/>
    </row>
    <row r="150" spans="1:18" ht="12.75" hidden="1">
      <c r="A150" s="120"/>
      <c r="B150" s="80" t="s">
        <v>648</v>
      </c>
      <c r="C150" s="73" t="str">
        <f>+'Electric Plant'!C96</f>
        <v>Hydro Production Plant</v>
      </c>
      <c r="D150" s="141"/>
      <c r="E150" s="73"/>
      <c r="F150" s="73">
        <f>+'Electric Plant'!H96</f>
        <v>85713330</v>
      </c>
      <c r="G150" s="73"/>
      <c r="H150" s="79">
        <v>334</v>
      </c>
      <c r="I150" s="149"/>
      <c r="J150" s="73"/>
      <c r="L150" s="149"/>
      <c r="M150" s="73"/>
      <c r="N150" s="73"/>
      <c r="O150" s="73"/>
      <c r="P150" s="73"/>
      <c r="Q150" s="73"/>
      <c r="R150" s="73"/>
    </row>
    <row r="151" spans="1:18" ht="12.75" hidden="1">
      <c r="A151" s="120"/>
      <c r="B151" s="80" t="s">
        <v>649</v>
      </c>
      <c r="C151" s="73" t="str">
        <f>+'Electric Plant'!C97</f>
        <v>Other Production Plant</v>
      </c>
      <c r="D151" s="141"/>
      <c r="E151" s="73"/>
      <c r="F151" s="73">
        <f>+'Electric Plant'!H97</f>
        <v>49210082</v>
      </c>
      <c r="G151" s="73"/>
      <c r="H151" s="79">
        <v>335</v>
      </c>
      <c r="I151" s="149"/>
      <c r="J151" s="73"/>
      <c r="L151" s="149"/>
      <c r="M151" s="73"/>
      <c r="N151" s="73"/>
      <c r="O151" s="73"/>
      <c r="P151" s="73"/>
      <c r="Q151" s="73"/>
      <c r="R151" s="73"/>
    </row>
    <row r="152" spans="1:18" ht="12.75" hidden="1">
      <c r="A152" s="120"/>
      <c r="B152" s="80" t="s">
        <v>650</v>
      </c>
      <c r="C152" s="73" t="str">
        <f>+'Electric Plant'!C98</f>
        <v>Transmission Plant</v>
      </c>
      <c r="D152" s="141"/>
      <c r="E152" s="73"/>
      <c r="F152" s="73">
        <f>+'Electric Plant'!H98</f>
        <v>145607403</v>
      </c>
      <c r="G152" s="73"/>
      <c r="H152" s="79">
        <v>336</v>
      </c>
      <c r="I152" s="149"/>
      <c r="J152" s="73"/>
      <c r="L152" s="149"/>
      <c r="M152" s="73"/>
      <c r="N152" s="73"/>
      <c r="O152" s="73"/>
      <c r="P152" s="73"/>
      <c r="Q152" s="73"/>
      <c r="R152" s="73"/>
    </row>
    <row r="153" spans="1:18" ht="12.75" hidden="1">
      <c r="A153" s="120"/>
      <c r="B153" s="80" t="s">
        <v>212</v>
      </c>
      <c r="C153" s="73" t="str">
        <f>+'Electric Plant'!C99</f>
        <v>Distribution Plant</v>
      </c>
      <c r="D153" s="141"/>
      <c r="E153" s="73"/>
      <c r="F153" s="73">
        <f>+'Electric Plant'!H99</f>
        <v>273815109</v>
      </c>
      <c r="G153" s="73"/>
      <c r="H153" s="79">
        <v>337</v>
      </c>
      <c r="I153" s="149"/>
      <c r="J153" s="73"/>
      <c r="L153" s="149"/>
      <c r="M153" s="73"/>
      <c r="N153" s="73"/>
      <c r="O153" s="73"/>
      <c r="P153" s="73"/>
      <c r="Q153" s="73"/>
      <c r="R153" s="73"/>
    </row>
    <row r="154" spans="1:18" ht="12.75" hidden="1">
      <c r="A154" s="120"/>
      <c r="B154" s="80">
        <v>108030</v>
      </c>
      <c r="C154" s="73" t="s">
        <v>656</v>
      </c>
      <c r="D154" s="141"/>
      <c r="E154" s="73"/>
      <c r="F154" s="73">
        <f>-'E-APL'!H22</f>
        <v>-5287306</v>
      </c>
      <c r="G154" s="73"/>
      <c r="H154" s="79">
        <v>544</v>
      </c>
      <c r="I154" s="149"/>
      <c r="J154" s="73"/>
      <c r="L154" s="149"/>
      <c r="M154" s="73"/>
      <c r="N154" s="73"/>
      <c r="O154" s="73"/>
      <c r="P154" s="73"/>
      <c r="Q154" s="73"/>
      <c r="R154" s="73"/>
    </row>
    <row r="155" spans="1:18" ht="12.75" hidden="1">
      <c r="A155" s="120"/>
      <c r="B155" s="79" t="str">
        <f>+'C-ADP'!B9</f>
        <v>108X06</v>
      </c>
      <c r="C155" s="170" t="s">
        <v>655</v>
      </c>
      <c r="D155" s="141"/>
      <c r="E155" s="73"/>
      <c r="F155" s="73">
        <f>+'C-ADP'!G9</f>
        <v>37696213</v>
      </c>
      <c r="G155" s="73"/>
      <c r="H155" s="79">
        <v>338</v>
      </c>
      <c r="I155" s="149"/>
      <c r="J155" s="73"/>
      <c r="L155" s="149"/>
      <c r="M155" s="73"/>
      <c r="N155" s="73"/>
      <c r="O155" s="73"/>
      <c r="P155" s="73"/>
      <c r="Q155" s="73"/>
      <c r="R155" s="73"/>
    </row>
    <row r="156" spans="1:18" ht="12.75" hidden="1">
      <c r="A156" s="120"/>
      <c r="B156" s="79" t="str">
        <f>+'C-ADP'!B23</f>
        <v>108X07</v>
      </c>
      <c r="C156" s="170" t="s">
        <v>654</v>
      </c>
      <c r="D156" s="141"/>
      <c r="E156" s="73"/>
      <c r="F156" s="73">
        <f>+'C-ADP'!G23</f>
        <v>5730926</v>
      </c>
      <c r="G156" s="73"/>
      <c r="H156" s="79">
        <v>339</v>
      </c>
      <c r="I156" s="149"/>
      <c r="J156" s="73"/>
      <c r="L156" s="149"/>
      <c r="M156" s="73"/>
      <c r="N156" s="73"/>
      <c r="O156" s="73"/>
      <c r="P156" s="73"/>
      <c r="Q156" s="73"/>
      <c r="R156" s="73"/>
    </row>
    <row r="157" spans="1:18" ht="12.75" hidden="1">
      <c r="A157" s="120"/>
      <c r="B157" s="80">
        <v>108050</v>
      </c>
      <c r="C157" s="73" t="s">
        <v>657</v>
      </c>
      <c r="D157" s="141"/>
      <c r="E157" s="73"/>
      <c r="F157" s="73">
        <f>-'E-APL'!H24</f>
        <v>-624572</v>
      </c>
      <c r="G157" s="73"/>
      <c r="H157" s="79">
        <v>545</v>
      </c>
      <c r="I157" s="149"/>
      <c r="J157" s="73"/>
      <c r="L157" s="149"/>
      <c r="M157" s="73"/>
      <c r="N157" s="73"/>
      <c r="O157" s="73"/>
      <c r="P157" s="73"/>
      <c r="Q157" s="73"/>
      <c r="R157" s="73"/>
    </row>
    <row r="158" spans="1:18" ht="12.75" hidden="1">
      <c r="A158" s="120"/>
      <c r="B158" s="80"/>
      <c r="C158" s="77"/>
      <c r="D158" s="141"/>
      <c r="E158" s="73"/>
      <c r="F158" s="73"/>
      <c r="G158" s="73"/>
      <c r="H158" s="79"/>
      <c r="I158" s="149"/>
      <c r="J158" s="73"/>
      <c r="L158" s="149"/>
      <c r="M158" s="73"/>
      <c r="N158" s="73"/>
      <c r="O158" s="73"/>
      <c r="P158" s="73"/>
      <c r="Q158" s="73"/>
      <c r="R158" s="73"/>
    </row>
    <row r="159" spans="1:18" ht="12.75" hidden="1">
      <c r="A159" s="120"/>
      <c r="B159" s="80"/>
      <c r="C159" s="120"/>
      <c r="D159" s="141"/>
      <c r="E159" s="73"/>
      <c r="F159" s="139">
        <f>SUM(F149:F158)</f>
        <v>830528705</v>
      </c>
      <c r="G159" s="73"/>
      <c r="H159" s="199"/>
      <c r="I159" s="149"/>
      <c r="J159" s="73"/>
      <c r="L159" s="149"/>
      <c r="M159" s="73"/>
      <c r="N159" s="73"/>
      <c r="O159" s="73"/>
      <c r="P159" s="73"/>
      <c r="Q159" s="73"/>
      <c r="R159" s="73"/>
    </row>
    <row r="160" spans="1:18" ht="12.75" hidden="1">
      <c r="A160" s="120"/>
      <c r="B160" s="80"/>
      <c r="C160" s="120"/>
      <c r="D160" s="141"/>
      <c r="E160" s="73"/>
      <c r="F160" s="73"/>
      <c r="G160" s="73"/>
      <c r="H160" s="199"/>
      <c r="I160" s="149"/>
      <c r="J160" s="73"/>
      <c r="L160" s="149"/>
      <c r="M160" s="73"/>
      <c r="N160" s="73"/>
      <c r="O160" s="73"/>
      <c r="P160" s="73"/>
      <c r="Q160" s="73"/>
      <c r="R160" s="73"/>
    </row>
    <row r="161" spans="1:18" ht="12.75" hidden="1">
      <c r="A161" s="120"/>
      <c r="B161" s="80"/>
      <c r="C161" s="184" t="s">
        <v>652</v>
      </c>
      <c r="E161" s="73"/>
      <c r="F161" s="73">
        <f>+'C-ADP'!G13+'C-ADP'!G15+'C-ADP'!G16</f>
        <v>6497335</v>
      </c>
      <c r="G161" s="73"/>
      <c r="H161" s="199"/>
      <c r="I161" s="73"/>
      <c r="J161" s="73"/>
      <c r="K161" s="200"/>
      <c r="L161" s="149"/>
      <c r="M161" s="73"/>
      <c r="N161" s="73"/>
      <c r="O161" s="73"/>
      <c r="P161" s="73"/>
      <c r="Q161" s="73"/>
      <c r="R161" s="73"/>
    </row>
    <row r="162" spans="1:18" ht="12.75" hidden="1">
      <c r="A162" s="120"/>
      <c r="B162" s="80"/>
      <c r="C162" s="184" t="s">
        <v>653</v>
      </c>
      <c r="E162" s="73"/>
      <c r="F162" s="73">
        <f>+'C-ADP'!G27</f>
        <v>16512</v>
      </c>
      <c r="G162" s="73"/>
      <c r="H162" s="199"/>
      <c r="I162" s="73"/>
      <c r="J162" s="73"/>
      <c r="K162" s="200"/>
      <c r="L162" s="149"/>
      <c r="M162" s="73"/>
      <c r="N162" s="73"/>
      <c r="O162" s="73"/>
      <c r="P162" s="73"/>
      <c r="Q162" s="73"/>
      <c r="R162" s="73"/>
    </row>
    <row r="163" spans="1:18" ht="12.75" hidden="1">
      <c r="A163" s="120"/>
      <c r="B163" s="80"/>
      <c r="C163" s="120" t="s">
        <v>233</v>
      </c>
      <c r="D163" s="141"/>
      <c r="E163" s="73"/>
      <c r="F163" s="73">
        <f>+'C-ADP'!G17</f>
        <v>0</v>
      </c>
      <c r="G163" s="79" t="s">
        <v>868</v>
      </c>
      <c r="H163" s="199"/>
      <c r="I163" s="73"/>
      <c r="J163" s="73"/>
      <c r="K163" s="200"/>
      <c r="L163" s="73"/>
      <c r="M163" s="73"/>
      <c r="N163" s="73"/>
      <c r="O163" s="73"/>
      <c r="P163" s="73"/>
      <c r="Q163" s="73"/>
      <c r="R163" s="73"/>
    </row>
    <row r="164" spans="1:18" ht="12.75" hidden="1">
      <c r="A164" s="120"/>
      <c r="B164" s="80"/>
      <c r="C164" s="120" t="s">
        <v>234</v>
      </c>
      <c r="D164" s="141"/>
      <c r="E164" s="73"/>
      <c r="F164" s="73">
        <f>+'C-ADP'!G28</f>
        <v>0</v>
      </c>
      <c r="G164" s="79"/>
      <c r="H164" s="199"/>
      <c r="I164" s="73"/>
      <c r="J164" s="73"/>
      <c r="K164" s="200"/>
      <c r="L164" s="73"/>
      <c r="M164" s="73"/>
      <c r="N164" s="73"/>
      <c r="O164" s="73"/>
      <c r="P164" s="73"/>
      <c r="Q164" s="73"/>
      <c r="R164" s="73"/>
    </row>
    <row r="165" spans="1:18" ht="12.75" hidden="1">
      <c r="A165" s="120"/>
      <c r="B165" s="80"/>
      <c r="C165" s="120" t="s">
        <v>231</v>
      </c>
      <c r="D165" s="141"/>
      <c r="E165" s="73"/>
      <c r="F165" s="73">
        <f>+'C-ADP'!G18</f>
        <v>11211965</v>
      </c>
      <c r="G165" s="73"/>
      <c r="H165" s="199"/>
      <c r="I165" s="73"/>
      <c r="J165" s="73"/>
      <c r="K165" s="200"/>
      <c r="L165" s="73"/>
      <c r="M165" s="73"/>
      <c r="N165" s="73"/>
      <c r="O165" s="73"/>
      <c r="P165" s="73"/>
      <c r="Q165" s="73"/>
      <c r="R165" s="73"/>
    </row>
    <row r="166" spans="1:18" ht="12.75" hidden="1">
      <c r="A166" s="120"/>
      <c r="B166" s="80"/>
      <c r="C166" s="120" t="s">
        <v>232</v>
      </c>
      <c r="D166" s="141"/>
      <c r="E166" s="73"/>
      <c r="F166" s="196">
        <f>+'C-ADP'!G29+'C-ADP'!G30</f>
        <v>495248</v>
      </c>
      <c r="G166" s="73"/>
      <c r="H166" s="199"/>
      <c r="I166" s="73"/>
      <c r="J166" s="73"/>
      <c r="K166" s="200"/>
      <c r="L166" s="73"/>
      <c r="M166" s="73"/>
      <c r="N166" s="73"/>
      <c r="O166" s="73"/>
      <c r="P166" s="73"/>
      <c r="Q166" s="73"/>
      <c r="R166" s="73"/>
    </row>
    <row r="167" spans="1:18" ht="12.75">
      <c r="A167" s="120"/>
      <c r="B167" s="80"/>
      <c r="C167" s="120" t="s">
        <v>871</v>
      </c>
      <c r="D167" s="141"/>
      <c r="E167" s="73"/>
      <c r="F167" s="172">
        <f>SUM(F159:F166)</f>
        <v>848749765</v>
      </c>
      <c r="H167" s="199"/>
      <c r="I167" s="73"/>
      <c r="J167" s="73"/>
      <c r="K167" s="73"/>
      <c r="L167" s="73"/>
      <c r="M167" s="73"/>
      <c r="N167" s="73"/>
      <c r="O167" s="73"/>
      <c r="P167" s="73"/>
      <c r="Q167" s="73"/>
      <c r="R167" s="73"/>
    </row>
    <row r="168" spans="1:18" ht="12.75">
      <c r="A168" s="120"/>
      <c r="B168" s="80"/>
      <c r="C168" s="120"/>
      <c r="D168" s="141"/>
      <c r="E168" s="73"/>
      <c r="F168" s="172"/>
      <c r="H168" s="202"/>
      <c r="I168" s="202"/>
      <c r="J168" s="202"/>
      <c r="K168" s="73"/>
      <c r="L168" s="73"/>
      <c r="M168" s="73"/>
      <c r="N168" s="73"/>
      <c r="O168" s="73"/>
      <c r="P168" s="73"/>
      <c r="Q168" s="73"/>
      <c r="R168" s="73"/>
    </row>
    <row r="169" spans="1:18" ht="12.75">
      <c r="A169" s="120" t="s">
        <v>873</v>
      </c>
      <c r="B169" s="80"/>
      <c r="C169" s="120" t="s">
        <v>874</v>
      </c>
      <c r="D169" s="141"/>
      <c r="E169" s="73"/>
      <c r="F169" s="172">
        <f>'Electric Plant'!H106+'C-AAM'!G17+'C-AAM'!G26-'E-APL'!H29+'Electric Plant'!H107+'Electric Plant'!H108</f>
        <v>12675857</v>
      </c>
      <c r="G169" s="73"/>
      <c r="H169" s="202"/>
      <c r="I169" s="202"/>
      <c r="J169" s="202"/>
      <c r="K169" s="73"/>
      <c r="L169" s="73"/>
      <c r="M169" s="73"/>
      <c r="N169" s="73"/>
      <c r="O169" s="73"/>
      <c r="P169" s="73"/>
      <c r="Q169" s="73"/>
      <c r="R169" s="73"/>
    </row>
    <row r="170" spans="1:18" ht="12.75">
      <c r="A170" s="120"/>
      <c r="B170" s="80"/>
      <c r="C170" s="80"/>
      <c r="D170" s="141"/>
      <c r="E170" s="80"/>
      <c r="F170" s="143"/>
      <c r="G170" s="73"/>
      <c r="H170" s="202"/>
      <c r="I170" s="202"/>
      <c r="J170" s="202"/>
      <c r="K170" s="73"/>
      <c r="L170" s="73"/>
      <c r="M170" s="73"/>
      <c r="N170" s="73"/>
      <c r="O170" s="73"/>
      <c r="P170" s="73"/>
      <c r="Q170" s="73"/>
      <c r="R170" s="73"/>
    </row>
    <row r="171" spans="2:10" ht="12.75" hidden="1">
      <c r="B171" s="123" t="s">
        <v>139</v>
      </c>
      <c r="C171" s="172" t="str">
        <f>'Electric Plant'!C106</f>
        <v>Intangible Plant--Production &amp; Transmission</v>
      </c>
      <c r="F171" s="172">
        <f>'Electric Plant'!H106</f>
        <v>3239512</v>
      </c>
      <c r="H171" s="203"/>
      <c r="I171" s="203"/>
      <c r="J171" s="203"/>
    </row>
    <row r="172" spans="3:10" ht="12.75" hidden="1">
      <c r="C172" s="172" t="s">
        <v>173</v>
      </c>
      <c r="F172" s="172">
        <f>+'C-AAM'!G9</f>
        <v>1118862</v>
      </c>
      <c r="H172" s="203"/>
      <c r="I172" s="203"/>
      <c r="J172" s="203"/>
    </row>
    <row r="173" spans="3:10" ht="12.75" hidden="1">
      <c r="C173" s="172" t="s">
        <v>237</v>
      </c>
      <c r="F173" s="172">
        <f>+'C-AAM'!G14</f>
        <v>6032576</v>
      </c>
      <c r="H173" s="203"/>
      <c r="I173" s="203"/>
      <c r="J173" s="203"/>
    </row>
    <row r="174" spans="3:10" ht="12.75" hidden="1">
      <c r="C174" s="172" t="s">
        <v>238</v>
      </c>
      <c r="F174" s="172">
        <f>+'C-AAM'!G15</f>
        <v>0</v>
      </c>
      <c r="H174" s="203"/>
      <c r="I174" s="203"/>
      <c r="J174" s="203"/>
    </row>
    <row r="175" spans="3:10" ht="12.75" hidden="1">
      <c r="C175" s="172" t="s">
        <v>239</v>
      </c>
      <c r="F175" s="172">
        <f>+'C-AAM'!G16</f>
        <v>1855</v>
      </c>
      <c r="H175" s="203"/>
      <c r="I175" s="203"/>
      <c r="J175" s="203"/>
    </row>
    <row r="176" spans="3:10" ht="12.75" hidden="1">
      <c r="C176" s="172" t="s">
        <v>235</v>
      </c>
      <c r="F176" s="172">
        <f>+'C-AAM'!G23</f>
        <v>60605</v>
      </c>
      <c r="H176" s="203"/>
      <c r="I176" s="203"/>
      <c r="J176" s="203"/>
    </row>
    <row r="177" spans="3:10" ht="12.75" hidden="1">
      <c r="C177" s="172" t="s">
        <v>236</v>
      </c>
      <c r="F177" s="172">
        <f>+'C-AAM'!G25</f>
        <v>6592</v>
      </c>
      <c r="H177" s="203"/>
      <c r="I177" s="203"/>
      <c r="J177" s="203"/>
    </row>
    <row r="178" spans="3:10" ht="12.75" hidden="1">
      <c r="C178" s="172" t="str">
        <f>+'E-APL'!B29</f>
        <v>Colstrip Disallowed AFUDC  (111100)</v>
      </c>
      <c r="F178" s="172">
        <f>-'E-APL'!H29</f>
        <v>2104745</v>
      </c>
      <c r="H178" s="203"/>
      <c r="I178" s="203"/>
      <c r="J178" s="203"/>
    </row>
    <row r="179" spans="3:10" ht="12.75" hidden="1">
      <c r="C179" s="77" t="s">
        <v>240</v>
      </c>
      <c r="F179" s="172">
        <f>+'Electric Plant'!H108</f>
        <v>111110</v>
      </c>
      <c r="H179" s="203"/>
      <c r="I179" s="203"/>
      <c r="J179" s="203"/>
    </row>
    <row r="180" spans="3:10" ht="12.75" hidden="1">
      <c r="C180" s="172" t="str">
        <f>+'Electric Plant'!C107</f>
        <v>Leased Transportation Equipment</v>
      </c>
      <c r="F180" s="172">
        <f>+'Electric Plant'!H107</f>
        <v>0</v>
      </c>
      <c r="H180" s="203"/>
      <c r="I180" s="203"/>
      <c r="J180" s="203"/>
    </row>
    <row r="181" spans="6:10" ht="13.5" hidden="1" thickBot="1">
      <c r="F181" s="171">
        <f>SUM(F171:F180)</f>
        <v>12675857</v>
      </c>
      <c r="H181" s="203"/>
      <c r="I181" s="203"/>
      <c r="J181" s="203"/>
    </row>
    <row r="182" spans="3:10" ht="13.5" thickBot="1">
      <c r="C182" s="123" t="s">
        <v>174</v>
      </c>
      <c r="F182" s="171">
        <f>+F169+F167</f>
        <v>861425622</v>
      </c>
      <c r="H182" s="203"/>
      <c r="I182" s="203"/>
      <c r="J182" s="203"/>
    </row>
    <row r="183" ht="13.5" thickTop="1">
      <c r="H183" s="204"/>
    </row>
  </sheetData>
  <printOptions/>
  <pageMargins left="0.75" right="0.75" top="0.61" bottom="0.56" header="0.5" footer="0.5"/>
  <pageSetup fitToHeight="2" horizontalDpi="300" verticalDpi="300" orientation="portrait" scale="67" r:id="rId4"/>
  <headerFooter alignWithMargins="0">
    <oddHeader>&amp;LAVISTA UTILITIES&amp;CRESULTS OF OPERATIONS&amp;RRUN DATE: &amp;D</oddHeader>
  </headerFooter>
  <ignoredErrors>
    <ignoredError sqref="I95 G83:G84 G86:H86 G77:G81 G93:H94 F93:F95 F8:F73 G7:G75 F88:H88 F75 F76:H76 F78:F86 G90:H91 F90" evalError="1"/>
  </ignoredErrors>
  <drawing r:id="rId3"/>
  <legacyDrawing r:id="rId2"/>
</worksheet>
</file>

<file path=xl/worksheets/sheet28.xml><?xml version="1.0" encoding="utf-8"?>
<worksheet xmlns="http://schemas.openxmlformats.org/spreadsheetml/2006/main" xmlns:r="http://schemas.openxmlformats.org/officeDocument/2006/relationships">
  <sheetPr codeName="Sheet31"/>
  <dimension ref="A2:H19"/>
  <sheetViews>
    <sheetView workbookViewId="0" topLeftCell="A1">
      <pane xSplit="5" ySplit="7" topLeftCell="F8" activePane="bottomRight" state="frozen"/>
      <selection pane="topLeft" activeCell="A3" sqref="A3"/>
      <selection pane="topRight" activeCell="A3" sqref="A3"/>
      <selection pane="bottomLeft" activeCell="A3" sqref="A3"/>
      <selection pane="bottomRight" activeCell="A3" sqref="A3"/>
    </sheetView>
  </sheetViews>
  <sheetFormatPr defaultColWidth="9.00390625" defaultRowHeight="12.75"/>
  <cols>
    <col min="3" max="5" width="13.00390625" style="0" bestFit="1" customWidth="1"/>
    <col min="6" max="6" width="13.50390625" style="0" bestFit="1" customWidth="1"/>
    <col min="7" max="9" width="12.375" style="0" bestFit="1" customWidth="1"/>
    <col min="10" max="10" width="10.875" style="0" bestFit="1" customWidth="1"/>
    <col min="11" max="11" width="12.375" style="0" bestFit="1" customWidth="1"/>
    <col min="12" max="12" width="9.875" style="0" bestFit="1" customWidth="1"/>
    <col min="13" max="13" width="13.00390625" style="0" bestFit="1" customWidth="1"/>
    <col min="15" max="15" width="11.50390625" style="0" bestFit="1" customWidth="1"/>
  </cols>
  <sheetData>
    <row r="2" ht="12.75">
      <c r="A2" s="42" t="str">
        <f>+'E-CHK'!A2:D2</f>
        <v>ELECTRIC MODEL BALANCING REPORT</v>
      </c>
    </row>
    <row r="3" ht="12.75">
      <c r="A3" s="42" t="str">
        <f>+'E-CHK'!A3:D3</f>
        <v>For Twelve Months Ended September 30, 2008</v>
      </c>
    </row>
    <row r="4" ht="12.75">
      <c r="A4" s="42" t="str">
        <f>+'E-CHK'!A4:D4</f>
        <v>Average of Monthly Averages Basis</v>
      </c>
    </row>
    <row r="8" ht="12.75">
      <c r="A8" t="s">
        <v>177</v>
      </c>
    </row>
    <row r="10" ht="12.75">
      <c r="A10" s="43"/>
    </row>
    <row r="15" spans="3:8" ht="12.75">
      <c r="C15" s="46"/>
      <c r="F15" s="57"/>
      <c r="H15" s="56"/>
    </row>
    <row r="16" spans="6:8" ht="12.75">
      <c r="F16" s="57"/>
      <c r="H16" s="56"/>
    </row>
    <row r="17" ht="12.75">
      <c r="F17" s="57"/>
    </row>
    <row r="19" ht="12.75">
      <c r="B19" s="45"/>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1:S579"/>
  <sheetViews>
    <sheetView showZeros="0" workbookViewId="0" topLeftCell="A1">
      <pane xSplit="7" ySplit="45" topLeftCell="H82" activePane="bottomRight" state="frozen"/>
      <selection pane="topLeft" activeCell="H8" sqref="H8"/>
      <selection pane="topRight" activeCell="H8" sqref="H8"/>
      <selection pane="bottomLeft" activeCell="H8" sqref="H8"/>
      <selection pane="bottomRight" activeCell="G44" sqref="G44"/>
    </sheetView>
  </sheetViews>
  <sheetFormatPr defaultColWidth="9.00390625" defaultRowHeight="12.75"/>
  <cols>
    <col min="1" max="4" width="10.875" style="152" customWidth="1"/>
    <col min="5" max="6" width="11.375" style="152" customWidth="1"/>
    <col min="7" max="7" width="10.625" style="152" customWidth="1"/>
    <col min="8" max="8" width="12.875" style="152" customWidth="1"/>
    <col min="9" max="9" width="13.875" style="152" customWidth="1"/>
    <col min="10" max="11" width="12.875" style="152" customWidth="1"/>
    <col min="12" max="12" width="1.875" style="152" customWidth="1"/>
    <col min="13" max="16384" width="9.375" style="152" customWidth="1"/>
  </cols>
  <sheetData>
    <row r="1" spans="1:19" ht="12.75">
      <c r="A1" s="119" t="s">
        <v>886</v>
      </c>
      <c r="B1" s="120"/>
      <c r="C1" s="120"/>
      <c r="D1" s="119"/>
      <c r="E1" s="119" t="s">
        <v>709</v>
      </c>
      <c r="F1" s="119"/>
      <c r="G1" s="119"/>
      <c r="H1" s="167"/>
      <c r="I1" s="151"/>
      <c r="L1" s="300"/>
      <c r="M1" s="301"/>
      <c r="N1" s="301"/>
      <c r="O1" s="301"/>
      <c r="P1" s="301"/>
      <c r="Q1" s="301"/>
      <c r="R1" s="301"/>
      <c r="S1" s="301"/>
    </row>
    <row r="2" spans="1:19" ht="12.75">
      <c r="A2" s="152" t="s">
        <v>718</v>
      </c>
      <c r="B2" s="302"/>
      <c r="C2" s="302"/>
      <c r="D2" s="303" t="s">
        <v>719</v>
      </c>
      <c r="H2" s="304">
        <v>12</v>
      </c>
      <c r="I2" s="151" t="str">
        <f>IF(H8="September 30, 2008"," ","UpdateProdTaxCreditWorksheet and SFAS143AccDepWorksheet")</f>
        <v> </v>
      </c>
      <c r="L2" s="300"/>
      <c r="M2" s="301"/>
      <c r="N2" s="301"/>
      <c r="O2" s="301"/>
      <c r="P2" s="301"/>
      <c r="Q2" s="301"/>
      <c r="R2" s="301"/>
      <c r="S2" s="301"/>
    </row>
    <row r="3" spans="1:19" ht="12.75">
      <c r="A3" s="152" t="s">
        <v>720</v>
      </c>
      <c r="B3" s="302"/>
      <c r="C3" s="302"/>
      <c r="D3" s="303" t="s">
        <v>721</v>
      </c>
      <c r="H3" s="305" t="s">
        <v>923</v>
      </c>
      <c r="L3" s="300"/>
      <c r="M3" s="301"/>
      <c r="N3" s="301"/>
      <c r="O3" s="301"/>
      <c r="P3" s="301"/>
      <c r="Q3" s="301"/>
      <c r="R3" s="301"/>
      <c r="S3" s="301"/>
    </row>
    <row r="4" spans="2:19" ht="12.75">
      <c r="B4" s="302"/>
      <c r="C4" s="302"/>
      <c r="D4" s="306" t="s">
        <v>722</v>
      </c>
      <c r="H4" s="307" t="str">
        <f>IF(H2=1,+H10&amp;H8,+H9&amp;H8)</f>
        <v>For Twelve Months Ended September 30, 2008</v>
      </c>
      <c r="I4" s="308"/>
      <c r="J4" s="309"/>
      <c r="L4" s="300"/>
      <c r="M4" s="301"/>
      <c r="N4" s="301"/>
      <c r="O4" s="301"/>
      <c r="P4" s="301"/>
      <c r="Q4" s="301"/>
      <c r="R4" s="301"/>
      <c r="S4" s="301"/>
    </row>
    <row r="5" spans="2:19" ht="12.75">
      <c r="B5" s="302"/>
      <c r="C5" s="302"/>
      <c r="D5" s="306" t="s">
        <v>723</v>
      </c>
      <c r="F5" s="302"/>
      <c r="G5" s="302"/>
      <c r="H5" s="307" t="str">
        <f>IF(H3="A",H11,H12)</f>
        <v>Average of Monthly Averages Basis</v>
      </c>
      <c r="I5" s="310"/>
      <c r="J5" s="311"/>
      <c r="L5" s="300"/>
      <c r="M5" s="301"/>
      <c r="N5" s="301"/>
      <c r="O5" s="301"/>
      <c r="P5" s="301"/>
      <c r="Q5" s="301"/>
      <c r="R5" s="301"/>
      <c r="S5" s="301"/>
    </row>
    <row r="6" spans="2:19" ht="12.75" hidden="1">
      <c r="B6" s="302"/>
      <c r="C6" s="302"/>
      <c r="D6" s="312"/>
      <c r="E6" s="306"/>
      <c r="F6" s="302"/>
      <c r="G6" s="302"/>
      <c r="H6" s="306"/>
      <c r="I6" s="303"/>
      <c r="J6" s="302"/>
      <c r="K6" s="302"/>
      <c r="L6" s="300"/>
      <c r="M6" s="301"/>
      <c r="N6" s="301"/>
      <c r="O6" s="301"/>
      <c r="P6" s="301"/>
      <c r="Q6" s="301"/>
      <c r="R6" s="301"/>
      <c r="S6" s="301"/>
    </row>
    <row r="7" spans="1:19" ht="12.75">
      <c r="A7" s="152" t="s">
        <v>439</v>
      </c>
      <c r="K7" s="302"/>
      <c r="L7" s="300"/>
      <c r="M7" s="301"/>
      <c r="N7" s="301"/>
      <c r="O7" s="301"/>
      <c r="P7" s="301"/>
      <c r="Q7" s="301"/>
      <c r="R7" s="301"/>
      <c r="S7" s="301"/>
    </row>
    <row r="8" spans="2:19" ht="12.75">
      <c r="B8" s="302"/>
      <c r="C8" s="302"/>
      <c r="D8" s="312"/>
      <c r="E8" s="303"/>
      <c r="H8" s="313" t="s">
        <v>943</v>
      </c>
      <c r="I8" s="302"/>
      <c r="J8" s="303"/>
      <c r="K8" s="302"/>
      <c r="L8" s="300"/>
      <c r="M8" s="301"/>
      <c r="N8" s="301"/>
      <c r="O8" s="301"/>
      <c r="P8" s="301"/>
      <c r="Q8" s="301"/>
      <c r="R8" s="301"/>
      <c r="S8" s="301"/>
    </row>
    <row r="9" spans="1:19" ht="12.75">
      <c r="A9" s="314" t="s">
        <v>724</v>
      </c>
      <c r="B9" s="315"/>
      <c r="C9" s="316"/>
      <c r="D9" s="317"/>
      <c r="E9" s="318" t="s">
        <v>725</v>
      </c>
      <c r="H9" s="301" t="s">
        <v>495</v>
      </c>
      <c r="I9" s="302"/>
      <c r="J9" s="303"/>
      <c r="K9" s="302"/>
      <c r="L9" s="300"/>
      <c r="M9" s="301"/>
      <c r="N9" s="301"/>
      <c r="O9" s="301"/>
      <c r="P9" s="301"/>
      <c r="Q9" s="301"/>
      <c r="R9" s="301"/>
      <c r="S9" s="301"/>
    </row>
    <row r="10" spans="1:19" ht="12.75">
      <c r="A10" s="319" t="str">
        <f>tp_heading</f>
        <v>For Twelve Months Ended September 30, 2008</v>
      </c>
      <c r="D10" s="320"/>
      <c r="E10" s="321" t="str">
        <f>"E-IND-"&amp;months&amp;rbcalc</f>
        <v>E-IND-12A</v>
      </c>
      <c r="H10" s="301" t="s">
        <v>496</v>
      </c>
      <c r="I10" s="302"/>
      <c r="J10" s="303"/>
      <c r="K10" s="302"/>
      <c r="L10" s="300"/>
      <c r="M10" s="301"/>
      <c r="N10" s="301"/>
      <c r="O10" s="301"/>
      <c r="P10" s="301"/>
      <c r="Q10" s="301"/>
      <c r="R10" s="301"/>
      <c r="S10" s="301"/>
    </row>
    <row r="11" spans="1:19" ht="12.75">
      <c r="A11" s="322" t="str">
        <f>rbcalc_heading</f>
        <v>Average of Monthly Averages Basis</v>
      </c>
      <c r="B11" s="323"/>
      <c r="C11" s="324"/>
      <c r="D11" s="325"/>
      <c r="E11" s="326"/>
      <c r="H11" s="302" t="s">
        <v>726</v>
      </c>
      <c r="I11" s="302"/>
      <c r="J11" s="303"/>
      <c r="K11" s="302"/>
      <c r="L11" s="300"/>
      <c r="M11" s="301"/>
      <c r="N11" s="301"/>
      <c r="O11" s="301"/>
      <c r="P11" s="301"/>
      <c r="Q11" s="301"/>
      <c r="R11" s="301"/>
      <c r="S11" s="301"/>
    </row>
    <row r="12" spans="1:19" ht="12.75">
      <c r="A12" s="324"/>
      <c r="B12" s="323"/>
      <c r="C12" s="324"/>
      <c r="D12" s="324"/>
      <c r="E12" s="327"/>
      <c r="H12" s="301" t="s">
        <v>730</v>
      </c>
      <c r="I12" s="302"/>
      <c r="J12" s="303"/>
      <c r="K12" s="302"/>
      <c r="L12" s="300"/>
      <c r="M12" s="301"/>
      <c r="N12" s="301"/>
      <c r="O12" s="301"/>
      <c r="P12" s="301"/>
      <c r="Q12" s="301"/>
      <c r="R12" s="301"/>
      <c r="S12" s="301"/>
    </row>
    <row r="13" spans="1:19" ht="12.75">
      <c r="A13" s="324"/>
      <c r="B13" s="323"/>
      <c r="C13" s="324"/>
      <c r="D13" s="324"/>
      <c r="E13" s="327"/>
      <c r="H13" s="302"/>
      <c r="I13" s="302"/>
      <c r="J13" s="303"/>
      <c r="K13" s="302"/>
      <c r="L13" s="300"/>
      <c r="M13" s="301"/>
      <c r="N13" s="301"/>
      <c r="O13" s="301"/>
      <c r="P13" s="301"/>
      <c r="Q13" s="301"/>
      <c r="R13" s="301"/>
      <c r="S13" s="301"/>
    </row>
    <row r="14" spans="1:19" ht="12.75" hidden="1">
      <c r="A14" s="324" t="s">
        <v>727</v>
      </c>
      <c r="B14" s="328" t="s">
        <v>728</v>
      </c>
      <c r="C14" s="324"/>
      <c r="D14" s="329"/>
      <c r="E14" s="330" t="s">
        <v>729</v>
      </c>
      <c r="I14" s="301"/>
      <c r="J14" s="301"/>
      <c r="K14" s="301"/>
      <c r="L14" s="300"/>
      <c r="M14" s="301"/>
      <c r="N14" s="301"/>
      <c r="O14" s="301"/>
      <c r="P14" s="301"/>
      <c r="Q14" s="301"/>
      <c r="R14" s="301"/>
      <c r="S14" s="301"/>
    </row>
    <row r="15" spans="2:19" ht="12.75" hidden="1">
      <c r="B15" s="302" t="s">
        <v>731</v>
      </c>
      <c r="D15" s="312"/>
      <c r="E15" s="303" t="str">
        <f ca="1">CELL("address",Down_vars)</f>
        <v>$E$1</v>
      </c>
      <c r="H15" s="301"/>
      <c r="I15" s="301"/>
      <c r="J15" s="301"/>
      <c r="K15" s="301"/>
      <c r="L15" s="300"/>
      <c r="M15" s="301"/>
      <c r="N15" s="301"/>
      <c r="O15" s="301"/>
      <c r="P15" s="301"/>
      <c r="Q15" s="301"/>
      <c r="R15" s="301"/>
      <c r="S15" s="301"/>
    </row>
    <row r="16" spans="2:19" ht="23.25" hidden="1">
      <c r="B16" s="302" t="s">
        <v>732</v>
      </c>
      <c r="D16" s="312"/>
      <c r="E16" s="303" t="str">
        <f ca="1">CELL("address",Electric_Data_Matrix)</f>
        <v>$A$37</v>
      </c>
      <c r="F16" s="137" t="str">
        <f>IF(H$10="For Month Ended June 30, 1999","TIME TO CHANGE COLSTRIP 3 AFUDC REALLOCATION - From Don"," ")</f>
        <v> </v>
      </c>
      <c r="G16" s="137"/>
      <c r="I16" s="301"/>
      <c r="J16" s="301"/>
      <c r="K16" s="301"/>
      <c r="L16" s="300"/>
      <c r="M16" s="301"/>
      <c r="N16" s="301"/>
      <c r="O16" s="301"/>
      <c r="P16" s="301"/>
      <c r="Q16" s="301"/>
      <c r="R16" s="301"/>
      <c r="S16" s="301"/>
    </row>
    <row r="17" spans="1:19" ht="12.75" hidden="1">
      <c r="A17" s="152" t="s">
        <v>733</v>
      </c>
      <c r="B17" s="302" t="s">
        <v>734</v>
      </c>
      <c r="C17" s="302"/>
      <c r="D17" s="312"/>
      <c r="F17" s="303" t="str">
        <f ca="1">CELL("address",E_CHK)</f>
        <v>'[Electric - Results-200809 ELECTRIC-12A.xls]E-CHK'!$A$2</v>
      </c>
      <c r="G17" s="303"/>
      <c r="H17" s="301"/>
      <c r="I17" s="301"/>
      <c r="J17" s="301"/>
      <c r="K17" s="301"/>
      <c r="L17" s="300"/>
      <c r="M17" s="301"/>
      <c r="N17" s="301"/>
      <c r="O17" s="301"/>
      <c r="P17" s="301"/>
      <c r="Q17" s="301"/>
      <c r="R17" s="301"/>
      <c r="S17" s="301"/>
    </row>
    <row r="18" spans="1:19" ht="12.75" hidden="1">
      <c r="A18" s="152" t="s">
        <v>735</v>
      </c>
      <c r="B18" s="302" t="s">
        <v>736</v>
      </c>
      <c r="C18" s="302"/>
      <c r="D18" s="312"/>
      <c r="F18" s="303" t="str">
        <f ca="1">CELL("address",E_ALL)</f>
        <v>'[Electric - Results-200809 ELECTRIC-12A.xls]E-ALL'!$A$2</v>
      </c>
      <c r="G18" s="303"/>
      <c r="H18" s="301"/>
      <c r="I18" s="301"/>
      <c r="J18" s="301"/>
      <c r="K18" s="301"/>
      <c r="L18" s="300"/>
      <c r="M18" s="301"/>
      <c r="N18" s="301"/>
      <c r="O18" s="301"/>
      <c r="P18" s="301"/>
      <c r="Q18" s="301"/>
      <c r="R18" s="301"/>
      <c r="S18" s="301"/>
    </row>
    <row r="19" spans="1:19" ht="12.75" hidden="1">
      <c r="A19" s="152" t="s">
        <v>737</v>
      </c>
      <c r="B19" s="302" t="s">
        <v>738</v>
      </c>
      <c r="C19" s="302"/>
      <c r="D19" s="312"/>
      <c r="F19" s="303" t="str">
        <f ca="1">CELL("address",E_OPS)</f>
        <v>'[Electric - Results-200809 ELECTRIC-12A.xls]Electric Operations - IS'!$A$2</v>
      </c>
      <c r="G19" s="303"/>
      <c r="H19" s="301"/>
      <c r="I19" s="301"/>
      <c r="J19" s="301"/>
      <c r="K19" s="301"/>
      <c r="L19" s="300"/>
      <c r="M19" s="301"/>
      <c r="N19" s="301"/>
      <c r="O19" s="301"/>
      <c r="P19" s="301"/>
      <c r="Q19" s="301"/>
      <c r="R19" s="301"/>
      <c r="S19" s="301"/>
    </row>
    <row r="20" spans="1:19" ht="12.75" hidden="1">
      <c r="A20" s="152" t="s">
        <v>739</v>
      </c>
      <c r="B20" s="302" t="s">
        <v>740</v>
      </c>
      <c r="C20" s="302"/>
      <c r="D20" s="312"/>
      <c r="F20" s="303" t="str">
        <f ca="1">CELL("address",E_908)</f>
        <v>'[Electric - Results-200809 ELECTRIC-12A.xls]E-908'!$A$2</v>
      </c>
      <c r="G20" s="303"/>
      <c r="H20" s="301"/>
      <c r="I20" s="301"/>
      <c r="J20" s="301"/>
      <c r="K20" s="301"/>
      <c r="L20" s="300"/>
      <c r="M20" s="301"/>
      <c r="N20" s="301"/>
      <c r="O20" s="301"/>
      <c r="P20" s="301"/>
      <c r="Q20" s="301"/>
      <c r="R20" s="301"/>
      <c r="S20" s="301"/>
    </row>
    <row r="21" spans="1:19" ht="12.75" hidden="1">
      <c r="A21" s="152" t="s">
        <v>741</v>
      </c>
      <c r="B21" s="302" t="s">
        <v>742</v>
      </c>
      <c r="C21" s="302"/>
      <c r="D21" s="312"/>
      <c r="F21" s="303" t="e">
        <f ca="1">CELL("address",E_928)</f>
        <v>#REF!</v>
      </c>
      <c r="G21" s="303"/>
      <c r="H21" s="301"/>
      <c r="I21" s="301"/>
      <c r="J21" s="301"/>
      <c r="K21" s="301"/>
      <c r="L21" s="300"/>
      <c r="M21" s="301"/>
      <c r="N21" s="301"/>
      <c r="O21" s="301"/>
      <c r="P21" s="301"/>
      <c r="Q21" s="301"/>
      <c r="R21" s="301"/>
      <c r="S21" s="301"/>
    </row>
    <row r="22" spans="1:19" ht="12.75" hidden="1">
      <c r="A22" s="152" t="s">
        <v>743</v>
      </c>
      <c r="B22" s="302" t="s">
        <v>744</v>
      </c>
      <c r="C22" s="302"/>
      <c r="D22" s="312"/>
      <c r="F22" s="303" t="str">
        <f ca="1">CELL("address",E_FIT)</f>
        <v>'[Electric - Results-200809 ELECTRIC-12A.xls]E-FIT'!$A$2</v>
      </c>
      <c r="G22" s="303"/>
      <c r="H22" s="301"/>
      <c r="I22" s="301"/>
      <c r="J22" s="301"/>
      <c r="K22" s="301"/>
      <c r="L22" s="300"/>
      <c r="M22" s="301"/>
      <c r="N22" s="301"/>
      <c r="O22" s="301"/>
      <c r="P22" s="301"/>
      <c r="Q22" s="301"/>
      <c r="R22" s="301"/>
      <c r="S22" s="301"/>
    </row>
    <row r="23" spans="1:19" ht="12.75" hidden="1">
      <c r="A23" s="152" t="s">
        <v>745</v>
      </c>
      <c r="B23" s="302" t="s">
        <v>746</v>
      </c>
      <c r="C23" s="302"/>
      <c r="D23" s="312"/>
      <c r="F23" s="303" t="str">
        <f ca="1">CELL("address",E_SCM)</f>
        <v>'[Electric - Results-200809 ELECTRIC-12A.xls]E-SCM'!$A$2</v>
      </c>
      <c r="G23" s="303"/>
      <c r="H23" s="301"/>
      <c r="I23" s="301"/>
      <c r="J23" s="301"/>
      <c r="K23" s="301"/>
      <c r="L23" s="300"/>
      <c r="M23" s="301"/>
      <c r="N23" s="301"/>
      <c r="O23" s="301"/>
      <c r="P23" s="301"/>
      <c r="Q23" s="301"/>
      <c r="R23" s="301"/>
      <c r="S23" s="301"/>
    </row>
    <row r="24" spans="1:19" ht="12.75" hidden="1">
      <c r="A24" s="152" t="s">
        <v>747</v>
      </c>
      <c r="B24" s="302" t="s">
        <v>748</v>
      </c>
      <c r="C24" s="302"/>
      <c r="D24" s="312"/>
      <c r="F24" s="303" t="str">
        <f ca="1">CELL("address",E_DTE)</f>
        <v>'[Electric - Results-200809 ELECTRIC-12A.xls]E-DTE'!$A$2</v>
      </c>
      <c r="G24" s="303"/>
      <c r="H24" s="301"/>
      <c r="I24" s="301"/>
      <c r="J24" s="301"/>
      <c r="K24" s="301"/>
      <c r="L24" s="300"/>
      <c r="M24" s="301"/>
      <c r="N24" s="301"/>
      <c r="O24" s="301"/>
      <c r="P24" s="301"/>
      <c r="Q24" s="301"/>
      <c r="R24" s="301"/>
      <c r="S24" s="301"/>
    </row>
    <row r="25" spans="1:19" ht="12.75" hidden="1">
      <c r="A25" s="152" t="s">
        <v>749</v>
      </c>
      <c r="B25" s="302" t="s">
        <v>750</v>
      </c>
      <c r="C25" s="302"/>
      <c r="D25" s="312"/>
      <c r="F25" s="303" t="str">
        <f ca="1">CELL("address",E_OTX)</f>
        <v>'[Electric - Results-200809 ELECTRIC-12A.xls]E-OTX'!$A$2</v>
      </c>
      <c r="G25" s="303"/>
      <c r="H25" s="301"/>
      <c r="I25" s="301"/>
      <c r="J25" s="301"/>
      <c r="K25" s="301"/>
      <c r="L25" s="300"/>
      <c r="M25" s="301"/>
      <c r="N25" s="301"/>
      <c r="O25" s="301"/>
      <c r="P25" s="301"/>
      <c r="Q25" s="301"/>
      <c r="R25" s="301"/>
      <c r="S25" s="301"/>
    </row>
    <row r="26" spans="1:19" ht="12.75" hidden="1">
      <c r="A26" s="152" t="s">
        <v>751</v>
      </c>
      <c r="B26" s="302" t="s">
        <v>771</v>
      </c>
      <c r="C26" s="302"/>
      <c r="D26" s="312"/>
      <c r="F26" s="303" t="str">
        <f ca="1">CELL("address",E_PLT)</f>
        <v>'[Electric - Results-200809 ELECTRIC-12A.xls]Electric Plant'!$A$2</v>
      </c>
      <c r="G26" s="303"/>
      <c r="H26" s="301"/>
      <c r="I26" s="301"/>
      <c r="J26" s="301"/>
      <c r="K26" s="301"/>
      <c r="L26" s="300"/>
      <c r="M26" s="301"/>
      <c r="N26" s="301"/>
      <c r="O26" s="301"/>
      <c r="P26" s="301"/>
      <c r="Q26" s="301"/>
      <c r="R26" s="301"/>
      <c r="S26" s="301"/>
    </row>
    <row r="27" spans="1:19" ht="12.75" hidden="1">
      <c r="A27" s="152" t="s">
        <v>772</v>
      </c>
      <c r="B27" s="302" t="s">
        <v>773</v>
      </c>
      <c r="C27" s="302"/>
      <c r="D27" s="312"/>
      <c r="F27" s="303" t="str">
        <f ca="1">CELL("address",E_APL)</f>
        <v>'[Electric - Results-200809 ELECTRIC-12A.xls]E-APL'!$A$2</v>
      </c>
      <c r="G27" s="303"/>
      <c r="H27" s="301"/>
      <c r="I27" s="301"/>
      <c r="J27" s="301"/>
      <c r="K27" s="301"/>
      <c r="L27" s="300"/>
      <c r="M27" s="301"/>
      <c r="N27" s="301"/>
      <c r="O27" s="301"/>
      <c r="P27" s="301"/>
      <c r="Q27" s="301"/>
      <c r="R27" s="301"/>
      <c r="S27" s="301"/>
    </row>
    <row r="28" spans="1:19" ht="12.75" hidden="1">
      <c r="A28" s="152" t="s">
        <v>774</v>
      </c>
      <c r="B28" s="302" t="s">
        <v>775</v>
      </c>
      <c r="C28" s="302"/>
      <c r="D28" s="312"/>
      <c r="F28" s="303" t="str">
        <f ca="1">CELL("address",C_GPL)</f>
        <v>'[Electric - Results-200809 ELECTRIC-12A.xls]C-GPL'!$A$2</v>
      </c>
      <c r="G28" s="303"/>
      <c r="H28" s="301"/>
      <c r="I28" s="301"/>
      <c r="J28" s="301"/>
      <c r="K28" s="301"/>
      <c r="L28" s="300"/>
      <c r="M28" s="301"/>
      <c r="N28" s="301"/>
      <c r="O28" s="301"/>
      <c r="P28" s="301"/>
      <c r="Q28" s="301"/>
      <c r="R28" s="301"/>
      <c r="S28" s="301"/>
    </row>
    <row r="29" spans="1:19" ht="12.75" hidden="1">
      <c r="A29" s="152" t="s">
        <v>776</v>
      </c>
      <c r="B29" s="302" t="s">
        <v>777</v>
      </c>
      <c r="C29" s="302"/>
      <c r="D29" s="312"/>
      <c r="F29" s="303" t="str">
        <f ca="1">CELL("address",C_ADP)</f>
        <v>'[Electric - Results-200809 ELECTRIC-12A.xls]C-ADP'!$A$2</v>
      </c>
      <c r="G29" s="303"/>
      <c r="H29" s="301"/>
      <c r="I29" s="301"/>
      <c r="J29" s="301"/>
      <c r="K29" s="301"/>
      <c r="L29" s="300"/>
      <c r="M29" s="301"/>
      <c r="N29" s="301"/>
      <c r="O29" s="301"/>
      <c r="P29" s="301"/>
      <c r="Q29" s="301"/>
      <c r="R29" s="301"/>
      <c r="S29" s="301"/>
    </row>
    <row r="30" spans="1:19" ht="12.75" hidden="1">
      <c r="A30" s="152" t="s">
        <v>778</v>
      </c>
      <c r="B30" s="302" t="s">
        <v>779</v>
      </c>
      <c r="C30" s="302"/>
      <c r="D30" s="312"/>
      <c r="F30" s="303" t="str">
        <f ca="1">CELL("address",E_ADP)</f>
        <v>'[Electric - Results-200809 ELECTRIC-12A.xls]E-ADP'!$A$2</v>
      </c>
      <c r="G30" s="303"/>
      <c r="H30" s="301"/>
      <c r="I30" s="301"/>
      <c r="J30" s="301"/>
      <c r="K30" s="301"/>
      <c r="L30" s="300"/>
      <c r="M30" s="301"/>
      <c r="N30" s="301"/>
      <c r="O30" s="301"/>
      <c r="P30" s="301"/>
      <c r="Q30" s="301"/>
      <c r="R30" s="301"/>
      <c r="S30" s="301"/>
    </row>
    <row r="31" spans="1:19" ht="12.75" hidden="1">
      <c r="A31" s="152" t="s">
        <v>780</v>
      </c>
      <c r="B31" s="302" t="s">
        <v>781</v>
      </c>
      <c r="C31" s="302"/>
      <c r="D31" s="312"/>
      <c r="F31" s="303" t="str">
        <f ca="1">CELL("address",C_IPL)</f>
        <v>'[Electric - Results-200809 ELECTRIC-12A.xls]C-IPL'!$A$2</v>
      </c>
      <c r="G31" s="303"/>
      <c r="H31" s="301"/>
      <c r="I31" s="301"/>
      <c r="J31" s="301"/>
      <c r="K31" s="301"/>
      <c r="L31" s="300"/>
      <c r="M31" s="301"/>
      <c r="N31" s="301"/>
      <c r="O31" s="301"/>
      <c r="P31" s="301"/>
      <c r="Q31" s="301"/>
      <c r="R31" s="301"/>
      <c r="S31" s="301"/>
    </row>
    <row r="32" spans="1:19" ht="12.75" hidden="1">
      <c r="A32" s="152" t="s">
        <v>782</v>
      </c>
      <c r="B32" s="302" t="s">
        <v>783</v>
      </c>
      <c r="C32" s="302"/>
      <c r="D32" s="312"/>
      <c r="F32" s="303" t="str">
        <f ca="1">CELL("address",C_AAM)</f>
        <v>'[Electric - Results-200809 ELECTRIC-12A.xls]C-AAM'!$A$2</v>
      </c>
      <c r="G32" s="303"/>
      <c r="H32" s="301"/>
      <c r="I32" s="301"/>
      <c r="J32" s="301"/>
      <c r="K32" s="301"/>
      <c r="L32" s="300"/>
      <c r="M32" s="301"/>
      <c r="N32" s="301"/>
      <c r="O32" s="301"/>
      <c r="P32" s="301"/>
      <c r="Q32" s="301"/>
      <c r="R32" s="301"/>
      <c r="S32" s="301"/>
    </row>
    <row r="33" spans="1:19" ht="12.75" hidden="1">
      <c r="A33" s="152" t="s">
        <v>784</v>
      </c>
      <c r="B33" s="302" t="s">
        <v>786</v>
      </c>
      <c r="C33" s="302"/>
      <c r="D33" s="312"/>
      <c r="F33" s="303" t="str">
        <f ca="1">CELL("address",E_CAM)</f>
        <v>'[Electric - Results-200809 ELECTRIC-12A.xls]E-CAM'!$A$2</v>
      </c>
      <c r="G33" s="303"/>
      <c r="H33" s="301"/>
      <c r="I33" s="301"/>
      <c r="J33" s="301"/>
      <c r="K33" s="301"/>
      <c r="L33" s="300"/>
      <c r="M33" s="301"/>
      <c r="N33" s="301"/>
      <c r="O33" s="301"/>
      <c r="P33" s="301"/>
      <c r="Q33" s="301"/>
      <c r="R33" s="301"/>
      <c r="S33" s="301"/>
    </row>
    <row r="34" spans="1:19" ht="12.75" hidden="1">
      <c r="A34" s="152" t="s">
        <v>787</v>
      </c>
      <c r="B34" s="302" t="s">
        <v>788</v>
      </c>
      <c r="C34" s="302"/>
      <c r="D34" s="312"/>
      <c r="F34" s="303" t="str">
        <f ca="1">CELL("address",E_ROR)</f>
        <v>'[Electric - Results-200809 ELECTRIC-12A.xls]E-ROR'!$A$2</v>
      </c>
      <c r="G34" s="303"/>
      <c r="H34" s="301"/>
      <c r="I34" s="301"/>
      <c r="J34" s="301"/>
      <c r="K34" s="301"/>
      <c r="L34" s="300"/>
      <c r="M34" s="301"/>
      <c r="N34" s="301"/>
      <c r="O34" s="301"/>
      <c r="P34" s="301"/>
      <c r="Q34" s="301"/>
      <c r="R34" s="301"/>
      <c r="S34" s="301"/>
    </row>
    <row r="35" spans="2:19" ht="12.75" hidden="1">
      <c r="B35" s="302"/>
      <c r="C35" s="302"/>
      <c r="D35" s="312"/>
      <c r="E35" s="303"/>
      <c r="H35" s="301"/>
      <c r="I35" s="301"/>
      <c r="J35" s="301"/>
      <c r="K35" s="301"/>
      <c r="L35" s="300"/>
      <c r="M35" s="301"/>
      <c r="N35" s="301"/>
      <c r="O35" s="301"/>
      <c r="P35" s="301"/>
      <c r="Q35" s="301"/>
      <c r="R35" s="301"/>
      <c r="S35" s="301"/>
    </row>
    <row r="36" spans="1:19" ht="12.75" hidden="1">
      <c r="A36" s="306"/>
      <c r="B36" s="302"/>
      <c r="C36" s="302"/>
      <c r="D36" s="303"/>
      <c r="E36" s="302"/>
      <c r="H36" s="331"/>
      <c r="J36" s="301"/>
      <c r="K36" s="301"/>
      <c r="L36" s="300"/>
      <c r="M36" s="301"/>
      <c r="N36" s="301"/>
      <c r="O36" s="301"/>
      <c r="P36" s="301"/>
      <c r="Q36" s="301"/>
      <c r="R36" s="301"/>
      <c r="S36" s="301"/>
    </row>
    <row r="37" spans="1:19" ht="12.75">
      <c r="A37" s="306" t="s">
        <v>789</v>
      </c>
      <c r="B37" s="302"/>
      <c r="C37" s="302"/>
      <c r="D37" s="312"/>
      <c r="E37" s="302"/>
      <c r="J37" s="301"/>
      <c r="M37" s="301"/>
      <c r="N37" s="301"/>
      <c r="O37" s="301"/>
      <c r="P37" s="301"/>
      <c r="Q37" s="301"/>
      <c r="R37" s="301"/>
      <c r="S37" s="301"/>
    </row>
    <row r="38" spans="1:19" ht="12.75">
      <c r="A38" s="332" t="s">
        <v>790</v>
      </c>
      <c r="B38" s="333"/>
      <c r="C38" s="333"/>
      <c r="D38" s="334"/>
      <c r="E38" s="333"/>
      <c r="F38" s="335"/>
      <c r="G38" s="336"/>
      <c r="H38" s="314" t="s">
        <v>791</v>
      </c>
      <c r="I38" s="337"/>
      <c r="J38" s="337"/>
      <c r="K38" s="338"/>
      <c r="M38" s="301"/>
      <c r="N38" s="301"/>
      <c r="O38" s="301"/>
      <c r="P38" s="301"/>
      <c r="Q38" s="301"/>
      <c r="R38" s="301"/>
      <c r="S38" s="301"/>
    </row>
    <row r="39" spans="1:19" ht="12.75">
      <c r="A39" s="339" t="s">
        <v>792</v>
      </c>
      <c r="B39" s="340" t="s">
        <v>793</v>
      </c>
      <c r="C39" s="340" t="s">
        <v>794</v>
      </c>
      <c r="D39" s="341" t="s">
        <v>795</v>
      </c>
      <c r="E39" s="340" t="s">
        <v>796</v>
      </c>
      <c r="F39" s="342" t="s">
        <v>797</v>
      </c>
      <c r="G39" s="343"/>
      <c r="H39" s="344" t="s">
        <v>798</v>
      </c>
      <c r="I39" s="345" t="s">
        <v>799</v>
      </c>
      <c r="J39" s="345" t="s">
        <v>800</v>
      </c>
      <c r="K39" s="346" t="s">
        <v>801</v>
      </c>
      <c r="L39" s="300"/>
      <c r="M39" s="301"/>
      <c r="N39" s="301"/>
      <c r="O39" s="301"/>
      <c r="P39" s="301"/>
      <c r="Q39" s="301"/>
      <c r="R39" s="301"/>
      <c r="S39" s="301"/>
    </row>
    <row r="40" spans="1:19" ht="12.75">
      <c r="A40" s="322">
        <v>2</v>
      </c>
      <c r="B40" s="328">
        <v>0</v>
      </c>
      <c r="C40" s="328">
        <v>908</v>
      </c>
      <c r="D40" s="329">
        <v>79</v>
      </c>
      <c r="E40" s="328"/>
      <c r="F40" s="347"/>
      <c r="G40" s="348"/>
      <c r="H40" s="152">
        <v>4064001.12</v>
      </c>
      <c r="I40" s="152">
        <v>0</v>
      </c>
      <c r="J40" s="152">
        <v>2829702</v>
      </c>
      <c r="K40" s="152">
        <v>1234299.12</v>
      </c>
      <c r="M40" s="301"/>
      <c r="N40" s="301"/>
      <c r="O40" s="301"/>
      <c r="P40" s="301"/>
      <c r="Q40" s="301"/>
      <c r="R40" s="301"/>
      <c r="S40" s="301"/>
    </row>
    <row r="41" spans="1:19" ht="12.75">
      <c r="A41" s="306"/>
      <c r="B41" s="302"/>
      <c r="C41" s="302"/>
      <c r="D41" s="312"/>
      <c r="E41" s="302"/>
      <c r="F41" s="303"/>
      <c r="G41" s="303"/>
      <c r="H41" s="345"/>
      <c r="I41" s="345"/>
      <c r="J41" s="345"/>
      <c r="K41" s="345"/>
      <c r="L41" s="345"/>
      <c r="M41" s="301"/>
      <c r="N41" s="301"/>
      <c r="O41" s="301"/>
      <c r="P41" s="301"/>
      <c r="Q41" s="301"/>
      <c r="R41" s="301"/>
      <c r="S41" s="301"/>
    </row>
    <row r="42" spans="1:19" ht="12.75">
      <c r="A42" s="306"/>
      <c r="B42" s="302"/>
      <c r="C42" s="302"/>
      <c r="D42" s="312"/>
      <c r="E42" s="302"/>
      <c r="F42" s="303"/>
      <c r="G42" s="349" t="s">
        <v>571</v>
      </c>
      <c r="H42" s="345"/>
      <c r="I42" s="345"/>
      <c r="J42" s="345" t="s">
        <v>802</v>
      </c>
      <c r="K42" s="345" t="s">
        <v>802</v>
      </c>
      <c r="L42" s="345"/>
      <c r="M42" s="301"/>
      <c r="N42" s="301"/>
      <c r="O42" s="301"/>
      <c r="P42" s="301"/>
      <c r="Q42" s="301"/>
      <c r="R42" s="301"/>
      <c r="S42" s="301"/>
    </row>
    <row r="43" spans="1:19" ht="12.75">
      <c r="A43" s="340" t="s">
        <v>807</v>
      </c>
      <c r="B43" s="340"/>
      <c r="C43" s="340" t="s">
        <v>794</v>
      </c>
      <c r="D43" s="341" t="s">
        <v>795</v>
      </c>
      <c r="E43" s="340" t="s">
        <v>808</v>
      </c>
      <c r="F43" s="350"/>
      <c r="G43" s="349" t="s">
        <v>572</v>
      </c>
      <c r="H43" s="345" t="s">
        <v>809</v>
      </c>
      <c r="I43" s="345" t="s">
        <v>810</v>
      </c>
      <c r="J43" s="345" t="s">
        <v>812</v>
      </c>
      <c r="K43" s="345" t="s">
        <v>813</v>
      </c>
      <c r="L43" s="345"/>
      <c r="M43" s="301"/>
      <c r="N43" s="301"/>
      <c r="O43" s="301"/>
      <c r="P43" s="301"/>
      <c r="Q43" s="301"/>
      <c r="R43" s="301"/>
      <c r="S43" s="301"/>
    </row>
    <row r="44" spans="1:19" ht="12.75">
      <c r="A44" s="351" t="s">
        <v>814</v>
      </c>
      <c r="B44" s="351" t="s">
        <v>793</v>
      </c>
      <c r="C44" s="351" t="s">
        <v>815</v>
      </c>
      <c r="D44" s="352" t="s">
        <v>816</v>
      </c>
      <c r="E44" s="351" t="s">
        <v>817</v>
      </c>
      <c r="F44" s="353" t="s">
        <v>818</v>
      </c>
      <c r="G44" s="349" t="s">
        <v>572</v>
      </c>
      <c r="H44" s="354" t="s">
        <v>819</v>
      </c>
      <c r="I44" s="354" t="s">
        <v>819</v>
      </c>
      <c r="J44" s="354" t="s">
        <v>819</v>
      </c>
      <c r="K44" s="354" t="s">
        <v>819</v>
      </c>
      <c r="L44" s="300"/>
      <c r="M44" s="301"/>
      <c r="N44" s="301"/>
      <c r="O44" s="301"/>
      <c r="P44" s="301"/>
      <c r="Q44" s="301"/>
      <c r="R44" s="301"/>
      <c r="S44" s="301"/>
    </row>
    <row r="45" spans="1:19" ht="12.75">
      <c r="A45" s="302" t="s">
        <v>820</v>
      </c>
      <c r="B45" s="340"/>
      <c r="C45" s="340"/>
      <c r="D45" s="341"/>
      <c r="E45" s="340"/>
      <c r="F45" s="350"/>
      <c r="G45" s="350"/>
      <c r="H45" s="301"/>
      <c r="I45" s="301"/>
      <c r="J45" s="301"/>
      <c r="K45" s="301"/>
      <c r="L45" s="301"/>
      <c r="M45" s="301"/>
      <c r="N45" s="301"/>
      <c r="O45" s="301"/>
      <c r="P45" s="301"/>
      <c r="Q45" s="301"/>
      <c r="R45" s="301"/>
      <c r="S45" s="301"/>
    </row>
    <row r="46" spans="1:19" ht="14.25">
      <c r="A46" s="355">
        <f aca="true" t="shared" si="0" ref="A46:A58">IF(months=1,1,2)</f>
        <v>2</v>
      </c>
      <c r="B46" s="355">
        <v>0</v>
      </c>
      <c r="C46" s="355">
        <v>403</v>
      </c>
      <c r="D46" s="356" t="s">
        <v>127</v>
      </c>
      <c r="E46" s="355"/>
      <c r="F46" s="343"/>
      <c r="G46" s="147" t="str">
        <f aca="true" t="shared" si="1" ref="G46:G55">+A46&amp;B46&amp;C46&amp;D46&amp;E46&amp;F46</f>
        <v>20403X10</v>
      </c>
      <c r="H46" s="77">
        <v>10611357</v>
      </c>
      <c r="I46" s="77">
        <v>10611357</v>
      </c>
      <c r="J46" s="77">
        <v>0</v>
      </c>
      <c r="K46" s="77">
        <v>0</v>
      </c>
      <c r="M46" s="301" t="s">
        <v>610</v>
      </c>
      <c r="N46" s="301"/>
      <c r="O46" s="301"/>
      <c r="P46" s="301"/>
      <c r="Q46" s="301"/>
      <c r="R46" s="301"/>
      <c r="S46" s="301"/>
    </row>
    <row r="47" spans="1:19" ht="14.25">
      <c r="A47" s="355">
        <f t="shared" si="0"/>
        <v>2</v>
      </c>
      <c r="B47" s="355">
        <v>0</v>
      </c>
      <c r="C47" s="355">
        <v>403</v>
      </c>
      <c r="D47" s="356" t="s">
        <v>122</v>
      </c>
      <c r="E47" s="355"/>
      <c r="F47" s="343"/>
      <c r="G47" s="147" t="str">
        <f t="shared" si="1"/>
        <v>20403X20</v>
      </c>
      <c r="H47" s="77">
        <v>7082010</v>
      </c>
      <c r="I47" s="77">
        <v>7082010</v>
      </c>
      <c r="J47" s="77">
        <v>0</v>
      </c>
      <c r="K47" s="77">
        <v>0</v>
      </c>
      <c r="M47" s="301" t="s">
        <v>611</v>
      </c>
      <c r="N47" s="301"/>
      <c r="O47" s="301"/>
      <c r="P47" s="301"/>
      <c r="Q47" s="301"/>
      <c r="R47" s="301"/>
      <c r="S47" s="301"/>
    </row>
    <row r="48" spans="1:19" ht="14.25">
      <c r="A48" s="355">
        <f t="shared" si="0"/>
        <v>2</v>
      </c>
      <c r="B48" s="355">
        <v>0</v>
      </c>
      <c r="C48" s="355">
        <v>403</v>
      </c>
      <c r="D48" s="356" t="s">
        <v>123</v>
      </c>
      <c r="E48" s="355"/>
      <c r="F48" s="343"/>
      <c r="G48" s="147" t="str">
        <f t="shared" si="1"/>
        <v>20403X30</v>
      </c>
      <c r="H48" s="77">
        <v>9229052</v>
      </c>
      <c r="I48" s="77">
        <v>9229052</v>
      </c>
      <c r="J48" s="77">
        <v>0</v>
      </c>
      <c r="K48" s="77">
        <v>0</v>
      </c>
      <c r="M48" s="301" t="s">
        <v>612</v>
      </c>
      <c r="N48" s="301"/>
      <c r="O48" s="301"/>
      <c r="P48" s="301"/>
      <c r="Q48" s="301"/>
      <c r="R48" s="301"/>
      <c r="S48" s="301"/>
    </row>
    <row r="49" spans="1:19" ht="14.25">
      <c r="A49" s="355">
        <f t="shared" si="0"/>
        <v>2</v>
      </c>
      <c r="B49" s="355">
        <v>0</v>
      </c>
      <c r="C49" s="355">
        <v>403</v>
      </c>
      <c r="D49" s="356" t="s">
        <v>128</v>
      </c>
      <c r="E49" s="355"/>
      <c r="F49" s="343"/>
      <c r="G49" s="147" t="str">
        <f t="shared" si="1"/>
        <v>20403X40</v>
      </c>
      <c r="H49" s="77">
        <v>9593340</v>
      </c>
      <c r="I49" s="77">
        <v>9593340</v>
      </c>
      <c r="J49" s="77">
        <v>0</v>
      </c>
      <c r="K49" s="77">
        <v>0</v>
      </c>
      <c r="M49" s="301" t="s">
        <v>613</v>
      </c>
      <c r="N49" s="301"/>
      <c r="O49" s="301"/>
      <c r="P49" s="301"/>
      <c r="Q49" s="301"/>
      <c r="R49" s="301"/>
      <c r="S49" s="301"/>
    </row>
    <row r="50" spans="1:19" ht="14.25">
      <c r="A50" s="355">
        <f t="shared" si="0"/>
        <v>2</v>
      </c>
      <c r="B50" s="355">
        <v>0</v>
      </c>
      <c r="C50" s="355">
        <v>403</v>
      </c>
      <c r="D50" s="356" t="s">
        <v>124</v>
      </c>
      <c r="E50" s="355"/>
      <c r="F50" s="343"/>
      <c r="G50" s="147" t="str">
        <f t="shared" si="1"/>
        <v>20403X50</v>
      </c>
      <c r="H50" s="77">
        <v>22949716</v>
      </c>
      <c r="I50" s="77">
        <v>0</v>
      </c>
      <c r="J50" s="77">
        <v>14598826</v>
      </c>
      <c r="K50" s="77">
        <v>8350890</v>
      </c>
      <c r="M50" s="301" t="s">
        <v>614</v>
      </c>
      <c r="N50" s="301"/>
      <c r="O50" s="301"/>
      <c r="P50" s="301"/>
      <c r="Q50" s="301"/>
      <c r="R50" s="301"/>
      <c r="S50" s="301"/>
    </row>
    <row r="51" spans="1:19" ht="14.25">
      <c r="A51" s="355">
        <f t="shared" si="0"/>
        <v>2</v>
      </c>
      <c r="B51" s="355">
        <v>0</v>
      </c>
      <c r="C51" s="355">
        <v>403</v>
      </c>
      <c r="D51" s="356" t="s">
        <v>126</v>
      </c>
      <c r="E51" s="355"/>
      <c r="F51" s="343"/>
      <c r="G51" s="147" t="str">
        <f t="shared" si="1"/>
        <v>20403X60</v>
      </c>
      <c r="H51" s="77">
        <v>2759926</v>
      </c>
      <c r="I51" s="77">
        <v>2100940</v>
      </c>
      <c r="J51" s="77">
        <v>462840</v>
      </c>
      <c r="K51" s="77">
        <v>196147</v>
      </c>
      <c r="M51" s="301" t="s">
        <v>615</v>
      </c>
      <c r="N51" s="301"/>
      <c r="O51" s="301"/>
      <c r="P51" s="301"/>
      <c r="Q51" s="301"/>
      <c r="R51" s="301"/>
      <c r="S51" s="301"/>
    </row>
    <row r="52" spans="1:19" ht="14.25">
      <c r="A52" s="355">
        <f t="shared" si="0"/>
        <v>2</v>
      </c>
      <c r="B52" s="355">
        <v>7</v>
      </c>
      <c r="C52" s="355">
        <v>403</v>
      </c>
      <c r="D52" s="356" t="s">
        <v>126</v>
      </c>
      <c r="E52" s="355"/>
      <c r="F52" s="343"/>
      <c r="G52" s="147" t="str">
        <f>+A52&amp;B52&amp;C52&amp;D52&amp;E52&amp;F52</f>
        <v>27403X60</v>
      </c>
      <c r="H52" s="77">
        <v>5475146</v>
      </c>
      <c r="I52" s="77">
        <v>5475146</v>
      </c>
      <c r="J52" s="77">
        <v>0</v>
      </c>
      <c r="K52" s="77">
        <v>0</v>
      </c>
      <c r="M52" s="301"/>
      <c r="N52" s="301"/>
      <c r="O52" s="301"/>
      <c r="P52" s="301"/>
      <c r="Q52" s="301"/>
      <c r="R52" s="301"/>
      <c r="S52" s="301"/>
    </row>
    <row r="53" spans="1:19" ht="14.25">
      <c r="A53" s="355">
        <f t="shared" si="0"/>
        <v>2</v>
      </c>
      <c r="B53" s="355">
        <v>8</v>
      </c>
      <c r="C53" s="355">
        <v>403</v>
      </c>
      <c r="D53" s="356" t="s">
        <v>126</v>
      </c>
      <c r="E53" s="355"/>
      <c r="F53" s="343"/>
      <c r="G53" s="147" t="str">
        <f>+A53&amp;B53&amp;C53&amp;D53&amp;E53&amp;F53</f>
        <v>28403X60</v>
      </c>
      <c r="H53" s="77">
        <v>114082</v>
      </c>
      <c r="I53" s="77">
        <v>114082</v>
      </c>
      <c r="J53" s="77">
        <v>0</v>
      </c>
      <c r="K53" s="77">
        <v>0</v>
      </c>
      <c r="M53" s="301"/>
      <c r="N53" s="301"/>
      <c r="O53" s="301"/>
      <c r="P53" s="301"/>
      <c r="Q53" s="301"/>
      <c r="R53" s="301"/>
      <c r="S53" s="301"/>
    </row>
    <row r="54" spans="1:19" ht="14.25">
      <c r="A54" s="355">
        <f t="shared" si="0"/>
        <v>2</v>
      </c>
      <c r="B54" s="355">
        <v>9</v>
      </c>
      <c r="C54" s="355">
        <v>403</v>
      </c>
      <c r="D54" s="356" t="s">
        <v>126</v>
      </c>
      <c r="E54" s="355"/>
      <c r="F54" s="343"/>
      <c r="G54" s="147" t="str">
        <f>+A54&amp;B54&amp;C54&amp;D54&amp;E54&amp;F54</f>
        <v>29403X60</v>
      </c>
      <c r="H54" s="77">
        <v>929694</v>
      </c>
      <c r="I54" s="77">
        <v>740570</v>
      </c>
      <c r="J54" s="77">
        <v>86581</v>
      </c>
      <c r="K54" s="77">
        <v>102544</v>
      </c>
      <c r="M54" s="301"/>
      <c r="N54" s="301"/>
      <c r="O54" s="301"/>
      <c r="P54" s="301"/>
      <c r="Q54" s="301"/>
      <c r="R54" s="301"/>
      <c r="S54" s="301"/>
    </row>
    <row r="55" spans="1:19" ht="14.25">
      <c r="A55" s="355">
        <f t="shared" si="0"/>
        <v>2</v>
      </c>
      <c r="B55" s="355">
        <v>0</v>
      </c>
      <c r="C55" s="355">
        <v>403</v>
      </c>
      <c r="D55" s="356" t="s">
        <v>129</v>
      </c>
      <c r="E55" s="355"/>
      <c r="F55" s="343"/>
      <c r="G55" s="147" t="str">
        <f t="shared" si="1"/>
        <v>20403X70</v>
      </c>
      <c r="H55" s="77">
        <v>79156</v>
      </c>
      <c r="I55" s="77">
        <v>43490</v>
      </c>
      <c r="J55" s="77">
        <v>22389</v>
      </c>
      <c r="K55" s="77">
        <v>13277</v>
      </c>
      <c r="M55" s="301" t="s">
        <v>616</v>
      </c>
      <c r="N55" s="301"/>
      <c r="O55" s="301"/>
      <c r="P55" s="301"/>
      <c r="Q55" s="301"/>
      <c r="R55" s="301"/>
      <c r="S55" s="301"/>
    </row>
    <row r="56" spans="1:19" ht="14.25">
      <c r="A56" s="355">
        <f t="shared" si="0"/>
        <v>2</v>
      </c>
      <c r="B56" s="355">
        <v>7</v>
      </c>
      <c r="C56" s="355">
        <v>403</v>
      </c>
      <c r="D56" s="356" t="s">
        <v>129</v>
      </c>
      <c r="E56" s="355"/>
      <c r="F56" s="343"/>
      <c r="G56" s="147" t="str">
        <f>+A56&amp;B56&amp;C56&amp;D56&amp;E56&amp;F56</f>
        <v>27403X70</v>
      </c>
      <c r="H56" s="77">
        <v>2037</v>
      </c>
      <c r="I56" s="77">
        <v>2037</v>
      </c>
      <c r="J56" s="77">
        <v>0</v>
      </c>
      <c r="K56" s="77">
        <v>0</v>
      </c>
      <c r="M56" s="301"/>
      <c r="N56" s="301"/>
      <c r="O56" s="301"/>
      <c r="P56" s="301"/>
      <c r="Q56" s="301"/>
      <c r="R56" s="301"/>
      <c r="S56" s="301"/>
    </row>
    <row r="57" spans="1:19" ht="14.25">
      <c r="A57" s="355">
        <f t="shared" si="0"/>
        <v>2</v>
      </c>
      <c r="B57" s="355">
        <v>8</v>
      </c>
      <c r="C57" s="355">
        <v>403</v>
      </c>
      <c r="D57" s="356" t="s">
        <v>129</v>
      </c>
      <c r="E57" s="355"/>
      <c r="F57" s="343"/>
      <c r="G57" s="147" t="str">
        <f>+A57&amp;B57&amp;C57&amp;D57&amp;E57&amp;F57</f>
        <v>28403X70</v>
      </c>
      <c r="H57" s="77"/>
      <c r="I57" s="77"/>
      <c r="J57" s="77"/>
      <c r="K57" s="77"/>
      <c r="M57" s="301"/>
      <c r="N57" s="301"/>
      <c r="O57" s="301"/>
      <c r="P57" s="301"/>
      <c r="Q57" s="301"/>
      <c r="R57" s="301"/>
      <c r="S57" s="301"/>
    </row>
    <row r="58" spans="1:19" ht="14.25">
      <c r="A58" s="355">
        <f t="shared" si="0"/>
        <v>2</v>
      </c>
      <c r="B58" s="355">
        <v>9</v>
      </c>
      <c r="C58" s="355">
        <v>403</v>
      </c>
      <c r="D58" s="356" t="s">
        <v>129</v>
      </c>
      <c r="E58" s="355"/>
      <c r="F58" s="343"/>
      <c r="G58" s="147" t="str">
        <f>+A58&amp;B58&amp;C58&amp;D58&amp;E58&amp;F58</f>
        <v>29403X70</v>
      </c>
      <c r="H58" s="77">
        <v>12818</v>
      </c>
      <c r="I58" s="77">
        <v>9117</v>
      </c>
      <c r="J58" s="77">
        <v>2114</v>
      </c>
      <c r="K58" s="77">
        <v>1586</v>
      </c>
      <c r="M58" s="301"/>
      <c r="N58" s="301"/>
      <c r="O58" s="301"/>
      <c r="P58" s="301"/>
      <c r="Q58" s="301"/>
      <c r="R58" s="301"/>
      <c r="S58" s="301"/>
    </row>
    <row r="59" spans="1:19" ht="14.25">
      <c r="A59" s="355"/>
      <c r="B59" s="355"/>
      <c r="C59" s="355"/>
      <c r="D59" s="356"/>
      <c r="E59" s="355"/>
      <c r="F59" s="343"/>
      <c r="G59" s="343"/>
      <c r="H59" s="77"/>
      <c r="I59" s="77"/>
      <c r="J59" s="77"/>
      <c r="K59" s="77"/>
      <c r="M59" s="301"/>
      <c r="N59" s="301"/>
      <c r="O59" s="301"/>
      <c r="P59" s="301"/>
      <c r="Q59" s="301"/>
      <c r="R59" s="301"/>
      <c r="S59" s="301"/>
    </row>
    <row r="60" spans="1:19" ht="14.25">
      <c r="A60" s="357" t="s">
        <v>821</v>
      </c>
      <c r="B60" s="355"/>
      <c r="C60" s="355"/>
      <c r="D60" s="356"/>
      <c r="E60" s="355"/>
      <c r="F60" s="343"/>
      <c r="G60" s="343"/>
      <c r="H60" s="77"/>
      <c r="I60" s="77"/>
      <c r="J60" s="77"/>
      <c r="K60" s="77"/>
      <c r="M60" s="301"/>
      <c r="N60" s="301"/>
      <c r="O60" s="301"/>
      <c r="P60" s="301"/>
      <c r="Q60" s="301"/>
      <c r="R60" s="301"/>
      <c r="S60" s="301"/>
    </row>
    <row r="61" spans="1:19" ht="14.25">
      <c r="A61" s="355">
        <f aca="true" t="shared" si="2" ref="A61:A99">IF(months=1,1,2)</f>
        <v>2</v>
      </c>
      <c r="B61" s="355">
        <v>0</v>
      </c>
      <c r="C61" s="355">
        <v>404</v>
      </c>
      <c r="D61" s="356" t="s">
        <v>123</v>
      </c>
      <c r="E61" s="355"/>
      <c r="F61" s="343"/>
      <c r="G61" s="147" t="str">
        <f aca="true" t="shared" si="3" ref="G61:G83">+A61&amp;B61&amp;C61&amp;D61&amp;E61&amp;F61</f>
        <v>20404X30</v>
      </c>
      <c r="H61" s="77">
        <v>90934</v>
      </c>
      <c r="I61" s="77">
        <v>88149</v>
      </c>
      <c r="J61" s="77">
        <v>2785</v>
      </c>
      <c r="K61" s="77">
        <v>0</v>
      </c>
      <c r="M61" s="301" t="s">
        <v>497</v>
      </c>
      <c r="N61" s="301"/>
      <c r="O61" s="301"/>
      <c r="P61" s="301"/>
      <c r="Q61" s="301"/>
      <c r="R61" s="301"/>
      <c r="S61" s="301"/>
    </row>
    <row r="62" spans="1:19" ht="14.25">
      <c r="A62" s="355">
        <f t="shared" si="2"/>
        <v>2</v>
      </c>
      <c r="B62" s="355">
        <v>0</v>
      </c>
      <c r="C62" s="355">
        <v>404</v>
      </c>
      <c r="D62" s="356" t="s">
        <v>122</v>
      </c>
      <c r="E62" s="355"/>
      <c r="F62" s="343"/>
      <c r="G62" s="147" t="str">
        <f t="shared" si="3"/>
        <v>20404X20</v>
      </c>
      <c r="H62" s="77">
        <v>337758</v>
      </c>
      <c r="I62" s="77">
        <v>337758</v>
      </c>
      <c r="J62" s="77">
        <v>0</v>
      </c>
      <c r="K62" s="77">
        <v>0</v>
      </c>
      <c r="M62" s="301" t="s">
        <v>440</v>
      </c>
      <c r="N62" s="301"/>
      <c r="O62" s="301"/>
      <c r="P62" s="301"/>
      <c r="Q62" s="301"/>
      <c r="R62" s="301"/>
      <c r="S62" s="301"/>
    </row>
    <row r="63" spans="1:19" ht="14.25">
      <c r="A63" s="355">
        <f t="shared" si="2"/>
        <v>2</v>
      </c>
      <c r="B63" s="355">
        <v>0</v>
      </c>
      <c r="C63" s="355">
        <v>404</v>
      </c>
      <c r="D63" s="356" t="s">
        <v>127</v>
      </c>
      <c r="E63" s="355"/>
      <c r="F63" s="343"/>
      <c r="G63" s="147" t="str">
        <f t="shared" si="3"/>
        <v>20404X10</v>
      </c>
      <c r="H63" s="77"/>
      <c r="I63" s="77"/>
      <c r="J63" s="77"/>
      <c r="K63" s="77"/>
      <c r="M63" s="301" t="s">
        <v>692</v>
      </c>
      <c r="N63" s="301"/>
      <c r="O63" s="301"/>
      <c r="P63" s="301"/>
      <c r="Q63" s="301"/>
      <c r="R63" s="301"/>
      <c r="S63" s="301"/>
    </row>
    <row r="64" spans="1:19" ht="14.25">
      <c r="A64" s="355">
        <f t="shared" si="2"/>
        <v>2</v>
      </c>
      <c r="B64" s="355">
        <v>0</v>
      </c>
      <c r="C64" s="355">
        <v>404</v>
      </c>
      <c r="D64" s="356" t="s">
        <v>125</v>
      </c>
      <c r="E64" s="355"/>
      <c r="F64" s="343"/>
      <c r="G64" s="147" t="str">
        <f t="shared" si="3"/>
        <v>20404X31</v>
      </c>
      <c r="H64" s="77">
        <v>63188</v>
      </c>
      <c r="I64" s="77">
        <v>63188</v>
      </c>
      <c r="J64" s="77">
        <v>0</v>
      </c>
      <c r="K64" s="77">
        <v>0</v>
      </c>
      <c r="M64" s="301"/>
      <c r="N64" s="301"/>
      <c r="O64" s="301"/>
      <c r="P64" s="301"/>
      <c r="Q64" s="301"/>
      <c r="R64" s="301"/>
      <c r="S64" s="301"/>
    </row>
    <row r="65" spans="1:19" ht="14.25">
      <c r="A65" s="355">
        <f t="shared" si="2"/>
        <v>2</v>
      </c>
      <c r="B65" s="355">
        <v>7</v>
      </c>
      <c r="C65" s="355">
        <v>404</v>
      </c>
      <c r="D65" s="356" t="s">
        <v>125</v>
      </c>
      <c r="E65" s="355"/>
      <c r="F65" s="343"/>
      <c r="G65" s="147" t="str">
        <f t="shared" si="3"/>
        <v>27404X31</v>
      </c>
      <c r="H65" s="77">
        <v>2480493</v>
      </c>
      <c r="I65" s="77">
        <v>2480493</v>
      </c>
      <c r="J65" s="77">
        <v>0</v>
      </c>
      <c r="K65" s="77">
        <v>0</v>
      </c>
      <c r="M65" s="301"/>
      <c r="N65" s="301"/>
      <c r="O65" s="301"/>
      <c r="P65" s="301"/>
      <c r="Q65" s="301"/>
      <c r="R65" s="301"/>
      <c r="S65" s="301"/>
    </row>
    <row r="66" spans="1:19" ht="14.25">
      <c r="A66" s="355">
        <f t="shared" si="2"/>
        <v>2</v>
      </c>
      <c r="B66" s="355">
        <v>8</v>
      </c>
      <c r="C66" s="355">
        <v>404</v>
      </c>
      <c r="D66" s="356" t="s">
        <v>125</v>
      </c>
      <c r="E66" s="355"/>
      <c r="F66" s="343"/>
      <c r="G66" s="147" t="str">
        <f t="shared" si="3"/>
        <v>28404X31</v>
      </c>
      <c r="H66" s="77"/>
      <c r="I66" s="77"/>
      <c r="J66" s="77"/>
      <c r="K66" s="77"/>
      <c r="M66" s="301"/>
      <c r="N66" s="301"/>
      <c r="O66" s="301"/>
      <c r="P66" s="301"/>
      <c r="Q66" s="301"/>
      <c r="R66" s="301"/>
      <c r="S66" s="301"/>
    </row>
    <row r="67" spans="1:19" ht="14.25">
      <c r="A67" s="355">
        <f t="shared" si="2"/>
        <v>2</v>
      </c>
      <c r="B67" s="355">
        <v>9</v>
      </c>
      <c r="C67" s="355">
        <v>404</v>
      </c>
      <c r="D67" s="356" t="s">
        <v>125</v>
      </c>
      <c r="E67" s="355"/>
      <c r="F67" s="343"/>
      <c r="G67" s="147" t="str">
        <f t="shared" si="3"/>
        <v>29404X31</v>
      </c>
      <c r="H67" s="77">
        <v>6873</v>
      </c>
      <c r="I67" s="77">
        <v>6873</v>
      </c>
      <c r="J67" s="77">
        <v>0</v>
      </c>
      <c r="K67" s="77">
        <v>0</v>
      </c>
      <c r="M67" s="301"/>
      <c r="N67" s="301"/>
      <c r="O67" s="301"/>
      <c r="P67" s="301"/>
      <c r="Q67" s="301"/>
      <c r="R67" s="301"/>
      <c r="S67" s="301"/>
    </row>
    <row r="68" spans="1:19" ht="14.25">
      <c r="A68" s="355">
        <f t="shared" si="2"/>
        <v>2</v>
      </c>
      <c r="B68" s="355">
        <v>0</v>
      </c>
      <c r="C68" s="355">
        <v>404</v>
      </c>
      <c r="D68" s="356" t="s">
        <v>133</v>
      </c>
      <c r="E68" s="355"/>
      <c r="F68" s="343"/>
      <c r="G68" s="147" t="str">
        <f t="shared" si="3"/>
        <v>20404X32</v>
      </c>
      <c r="H68" s="77">
        <v>218976</v>
      </c>
      <c r="I68" s="77">
        <v>218976</v>
      </c>
      <c r="J68" s="77">
        <v>0</v>
      </c>
      <c r="K68" s="77">
        <v>0</v>
      </c>
      <c r="M68" s="301"/>
      <c r="N68" s="301"/>
      <c r="O68" s="301"/>
      <c r="P68" s="301"/>
      <c r="Q68" s="301"/>
      <c r="R68" s="301"/>
      <c r="S68" s="301"/>
    </row>
    <row r="69" spans="1:19" ht="14.25">
      <c r="A69" s="355">
        <f t="shared" si="2"/>
        <v>2</v>
      </c>
      <c r="B69" s="355">
        <v>7</v>
      </c>
      <c r="C69" s="355">
        <v>404</v>
      </c>
      <c r="D69" s="356" t="s">
        <v>133</v>
      </c>
      <c r="E69" s="355"/>
      <c r="F69" s="343"/>
      <c r="G69" s="147" t="str">
        <f t="shared" si="3"/>
        <v>27404X32</v>
      </c>
      <c r="H69" s="77">
        <v>1772867</v>
      </c>
      <c r="I69" s="77">
        <v>1772867</v>
      </c>
      <c r="J69" s="77">
        <v>0</v>
      </c>
      <c r="K69" s="77">
        <v>0</v>
      </c>
      <c r="M69" s="301"/>
      <c r="N69" s="301"/>
      <c r="O69" s="301"/>
      <c r="P69" s="301"/>
      <c r="Q69" s="301"/>
      <c r="R69" s="301"/>
      <c r="S69" s="301"/>
    </row>
    <row r="70" spans="1:19" ht="14.25">
      <c r="A70" s="355">
        <f t="shared" si="2"/>
        <v>2</v>
      </c>
      <c r="B70" s="355">
        <v>8</v>
      </c>
      <c r="C70" s="355">
        <v>404</v>
      </c>
      <c r="D70" s="356" t="s">
        <v>133</v>
      </c>
      <c r="E70" s="355"/>
      <c r="F70" s="343"/>
      <c r="G70" s="147" t="str">
        <f t="shared" si="3"/>
        <v>28404X32</v>
      </c>
      <c r="H70" s="77">
        <v>165004</v>
      </c>
      <c r="I70" s="77">
        <v>165004</v>
      </c>
      <c r="J70" s="77">
        <v>0</v>
      </c>
      <c r="K70" s="77">
        <v>0</v>
      </c>
      <c r="M70" s="301"/>
      <c r="N70" s="301"/>
      <c r="O70" s="301"/>
      <c r="P70" s="301"/>
      <c r="Q70" s="301"/>
      <c r="R70" s="301"/>
      <c r="S70" s="301"/>
    </row>
    <row r="71" spans="1:19" ht="14.25">
      <c r="A71" s="355">
        <f t="shared" si="2"/>
        <v>2</v>
      </c>
      <c r="B71" s="355">
        <v>9</v>
      </c>
      <c r="C71" s="355">
        <v>404</v>
      </c>
      <c r="D71" s="356" t="s">
        <v>133</v>
      </c>
      <c r="E71" s="355"/>
      <c r="F71" s="343"/>
      <c r="G71" s="147" t="str">
        <f t="shared" si="3"/>
        <v>29404X32</v>
      </c>
      <c r="H71" s="77"/>
      <c r="I71" s="77"/>
      <c r="J71" s="77"/>
      <c r="K71" s="77"/>
      <c r="M71" s="301"/>
      <c r="N71" s="301"/>
      <c r="O71" s="301"/>
      <c r="P71" s="301"/>
      <c r="Q71" s="301"/>
      <c r="R71" s="301"/>
      <c r="S71" s="301"/>
    </row>
    <row r="72" spans="1:19" ht="14.25">
      <c r="A72" s="355">
        <f t="shared" si="2"/>
        <v>2</v>
      </c>
      <c r="B72" s="355">
        <v>7</v>
      </c>
      <c r="C72" s="355">
        <v>404</v>
      </c>
      <c r="D72" s="356" t="s">
        <v>159</v>
      </c>
      <c r="E72" s="355"/>
      <c r="F72" s="343"/>
      <c r="G72" s="147" t="str">
        <f t="shared" si="3"/>
        <v>27404X33</v>
      </c>
      <c r="H72" s="77"/>
      <c r="I72" s="77"/>
      <c r="J72" s="77"/>
      <c r="K72" s="77"/>
      <c r="M72" s="301"/>
      <c r="N72" s="301"/>
      <c r="O72" s="301"/>
      <c r="P72" s="301"/>
      <c r="Q72" s="301"/>
      <c r="R72" s="301"/>
      <c r="S72" s="301"/>
    </row>
    <row r="73" spans="1:19" ht="14.25">
      <c r="A73" s="355">
        <f t="shared" si="2"/>
        <v>2</v>
      </c>
      <c r="B73" s="355">
        <v>8</v>
      </c>
      <c r="C73" s="355">
        <v>404</v>
      </c>
      <c r="D73" s="356" t="s">
        <v>159</v>
      </c>
      <c r="E73" s="355"/>
      <c r="F73" s="343"/>
      <c r="G73" s="147" t="str">
        <f t="shared" si="3"/>
        <v>28404X33</v>
      </c>
      <c r="H73" s="77"/>
      <c r="I73" s="77"/>
      <c r="J73" s="77"/>
      <c r="K73" s="77"/>
      <c r="M73" s="301"/>
      <c r="N73" s="301"/>
      <c r="O73" s="301"/>
      <c r="P73" s="301"/>
      <c r="Q73" s="301"/>
      <c r="R73" s="301"/>
      <c r="S73" s="301"/>
    </row>
    <row r="74" spans="1:19" ht="14.25">
      <c r="A74" s="355">
        <f t="shared" si="2"/>
        <v>2</v>
      </c>
      <c r="B74" s="355">
        <v>9</v>
      </c>
      <c r="C74" s="355">
        <v>404</v>
      </c>
      <c r="D74" s="356" t="s">
        <v>159</v>
      </c>
      <c r="E74" s="355"/>
      <c r="F74" s="343"/>
      <c r="G74" s="147" t="str">
        <f t="shared" si="3"/>
        <v>29404X33</v>
      </c>
      <c r="H74" s="77"/>
      <c r="I74" s="77"/>
      <c r="J74" s="77"/>
      <c r="K74" s="77"/>
      <c r="M74" s="301"/>
      <c r="N74" s="301"/>
      <c r="O74" s="301"/>
      <c r="P74" s="301"/>
      <c r="Q74" s="301"/>
      <c r="R74" s="301"/>
      <c r="S74" s="301"/>
    </row>
    <row r="75" spans="1:19" ht="14.25">
      <c r="A75" s="355">
        <f t="shared" si="2"/>
        <v>2</v>
      </c>
      <c r="B75" s="355">
        <v>0</v>
      </c>
      <c r="C75" s="355">
        <v>404</v>
      </c>
      <c r="D75" s="356" t="s">
        <v>124</v>
      </c>
      <c r="E75" s="355"/>
      <c r="F75" s="343"/>
      <c r="G75" s="147" t="str">
        <f t="shared" si="3"/>
        <v>20404X50</v>
      </c>
      <c r="H75" s="77"/>
      <c r="I75" s="77"/>
      <c r="J75" s="77"/>
      <c r="K75" s="77"/>
      <c r="M75" s="301"/>
      <c r="N75" s="301"/>
      <c r="O75" s="301"/>
      <c r="P75" s="301"/>
      <c r="Q75" s="301"/>
      <c r="R75" s="301"/>
      <c r="S75" s="301"/>
    </row>
    <row r="76" spans="1:19" ht="14.25">
      <c r="A76" s="355">
        <f t="shared" si="2"/>
        <v>2</v>
      </c>
      <c r="B76" s="355">
        <v>7</v>
      </c>
      <c r="C76" s="355">
        <v>404</v>
      </c>
      <c r="D76" s="356" t="s">
        <v>124</v>
      </c>
      <c r="E76" s="355"/>
      <c r="F76" s="343"/>
      <c r="G76" s="147" t="str">
        <f t="shared" si="3"/>
        <v>27404X50</v>
      </c>
      <c r="H76" s="77">
        <v>10303</v>
      </c>
      <c r="I76" s="77">
        <v>10303</v>
      </c>
      <c r="J76" s="77">
        <v>0</v>
      </c>
      <c r="K76" s="77">
        <v>0</v>
      </c>
      <c r="M76" s="301"/>
      <c r="N76" s="301"/>
      <c r="O76" s="301"/>
      <c r="P76" s="301"/>
      <c r="Q76" s="301"/>
      <c r="R76" s="301"/>
      <c r="S76" s="301"/>
    </row>
    <row r="77" spans="1:19" ht="14.25">
      <c r="A77" s="355">
        <f t="shared" si="2"/>
        <v>2</v>
      </c>
      <c r="B77" s="355">
        <v>8</v>
      </c>
      <c r="C77" s="355">
        <v>404</v>
      </c>
      <c r="D77" s="356" t="s">
        <v>124</v>
      </c>
      <c r="E77" s="355"/>
      <c r="F77" s="343"/>
      <c r="G77" s="147" t="str">
        <f t="shared" si="3"/>
        <v>28404X50</v>
      </c>
      <c r="H77" s="77"/>
      <c r="I77" s="77"/>
      <c r="J77" s="77"/>
      <c r="K77" s="77"/>
      <c r="M77" s="301"/>
      <c r="N77" s="301"/>
      <c r="O77" s="301"/>
      <c r="P77" s="301"/>
      <c r="Q77" s="301"/>
      <c r="R77" s="301"/>
      <c r="S77" s="301"/>
    </row>
    <row r="78" spans="1:19" ht="14.25">
      <c r="A78" s="355">
        <f t="shared" si="2"/>
        <v>2</v>
      </c>
      <c r="B78" s="355">
        <v>9</v>
      </c>
      <c r="C78" s="355">
        <v>404</v>
      </c>
      <c r="D78" s="356" t="s">
        <v>124</v>
      </c>
      <c r="E78" s="355"/>
      <c r="F78" s="343"/>
      <c r="G78" s="147" t="str">
        <f t="shared" si="3"/>
        <v>29404X50</v>
      </c>
      <c r="H78" s="77"/>
      <c r="I78" s="77"/>
      <c r="J78" s="77"/>
      <c r="K78" s="77"/>
      <c r="M78" s="301"/>
      <c r="N78" s="301"/>
      <c r="O78" s="301"/>
      <c r="P78" s="301"/>
      <c r="Q78" s="301"/>
      <c r="R78" s="301"/>
      <c r="S78" s="301"/>
    </row>
    <row r="79" spans="1:19" ht="14.25">
      <c r="A79" s="355">
        <f t="shared" si="2"/>
        <v>2</v>
      </c>
      <c r="B79" s="355">
        <v>0</v>
      </c>
      <c r="C79" s="355">
        <v>404</v>
      </c>
      <c r="D79" s="356" t="s">
        <v>126</v>
      </c>
      <c r="E79" s="355"/>
      <c r="F79" s="343"/>
      <c r="G79" s="147" t="str">
        <f t="shared" si="3"/>
        <v>20404X60</v>
      </c>
      <c r="H79" s="77"/>
      <c r="I79" s="77"/>
      <c r="J79" s="77"/>
      <c r="K79" s="77"/>
      <c r="M79" s="301" t="s">
        <v>694</v>
      </c>
      <c r="N79" s="301"/>
      <c r="O79" s="301"/>
      <c r="P79" s="301"/>
      <c r="Q79" s="301"/>
      <c r="R79" s="301"/>
      <c r="S79" s="301"/>
    </row>
    <row r="80" spans="1:19" ht="14.25">
      <c r="A80" s="355">
        <f t="shared" si="2"/>
        <v>2</v>
      </c>
      <c r="B80" s="355">
        <v>7</v>
      </c>
      <c r="C80" s="355">
        <v>404</v>
      </c>
      <c r="D80" s="356" t="s">
        <v>126</v>
      </c>
      <c r="E80" s="355"/>
      <c r="F80" s="343"/>
      <c r="G80" s="147" t="str">
        <f t="shared" si="3"/>
        <v>27404X60</v>
      </c>
      <c r="H80" s="77"/>
      <c r="I80" s="77"/>
      <c r="J80" s="77"/>
      <c r="K80" s="77"/>
      <c r="M80" s="301"/>
      <c r="N80" s="301"/>
      <c r="O80" s="301"/>
      <c r="P80" s="301"/>
      <c r="Q80" s="301"/>
      <c r="R80" s="301"/>
      <c r="S80" s="301"/>
    </row>
    <row r="81" spans="1:19" ht="14.25">
      <c r="A81" s="355">
        <f t="shared" si="2"/>
        <v>2</v>
      </c>
      <c r="B81" s="355">
        <v>8</v>
      </c>
      <c r="C81" s="355">
        <v>404</v>
      </c>
      <c r="D81" s="356" t="s">
        <v>126</v>
      </c>
      <c r="E81" s="355"/>
      <c r="F81" s="343"/>
      <c r="G81" s="147" t="str">
        <f t="shared" si="3"/>
        <v>28404X60</v>
      </c>
      <c r="H81" s="77"/>
      <c r="I81" s="77"/>
      <c r="J81" s="77"/>
      <c r="K81" s="77"/>
      <c r="M81" s="301"/>
      <c r="N81" s="301"/>
      <c r="O81" s="301"/>
      <c r="P81" s="301"/>
      <c r="Q81" s="301"/>
      <c r="R81" s="301"/>
      <c r="S81" s="301"/>
    </row>
    <row r="82" spans="1:19" ht="14.25">
      <c r="A82" s="355">
        <f t="shared" si="2"/>
        <v>2</v>
      </c>
      <c r="B82" s="355">
        <v>9</v>
      </c>
      <c r="C82" s="355">
        <v>404</v>
      </c>
      <c r="D82" s="356" t="s">
        <v>126</v>
      </c>
      <c r="E82" s="355"/>
      <c r="F82" s="343"/>
      <c r="G82" s="147" t="str">
        <f t="shared" si="3"/>
        <v>29404X60</v>
      </c>
      <c r="H82" s="77"/>
      <c r="I82" s="77"/>
      <c r="J82" s="77"/>
      <c r="K82" s="77"/>
      <c r="M82" s="301"/>
      <c r="N82" s="301"/>
      <c r="O82" s="301"/>
      <c r="P82" s="301"/>
      <c r="Q82" s="301"/>
      <c r="R82" s="301"/>
      <c r="S82" s="301"/>
    </row>
    <row r="83" spans="1:19" ht="14.25">
      <c r="A83" s="355">
        <f t="shared" si="2"/>
        <v>2</v>
      </c>
      <c r="B83" s="355">
        <v>0</v>
      </c>
      <c r="C83" s="355">
        <v>404</v>
      </c>
      <c r="D83" s="356" t="s">
        <v>129</v>
      </c>
      <c r="E83" s="355"/>
      <c r="F83" s="343"/>
      <c r="G83" s="147" t="str">
        <f t="shared" si="3"/>
        <v>20404X70</v>
      </c>
      <c r="H83" s="77">
        <v>0</v>
      </c>
      <c r="I83" s="77">
        <v>0</v>
      </c>
      <c r="J83" s="77">
        <v>0</v>
      </c>
      <c r="K83" s="77">
        <v>0</v>
      </c>
      <c r="M83" s="301"/>
      <c r="N83" s="301"/>
      <c r="O83" s="301"/>
      <c r="P83" s="301"/>
      <c r="Q83" s="301"/>
      <c r="R83" s="301"/>
      <c r="S83" s="301"/>
    </row>
    <row r="84" spans="1:19" ht="14.25">
      <c r="A84" s="355">
        <f t="shared" si="2"/>
        <v>2</v>
      </c>
      <c r="B84" s="355">
        <v>0</v>
      </c>
      <c r="C84" s="355">
        <v>405</v>
      </c>
      <c r="D84" s="356">
        <v>930</v>
      </c>
      <c r="E84" s="355"/>
      <c r="F84" s="343"/>
      <c r="G84" s="154">
        <f>A84*10000000+B84*1000000+C84*1000+D84</f>
        <v>20405930</v>
      </c>
      <c r="H84" s="77">
        <v>2450031</v>
      </c>
      <c r="I84" s="77">
        <v>0</v>
      </c>
      <c r="J84" s="77">
        <v>2450031</v>
      </c>
      <c r="K84" s="77">
        <v>0</v>
      </c>
      <c r="M84" s="301"/>
      <c r="N84" s="301"/>
      <c r="O84" s="301"/>
      <c r="P84" s="301"/>
      <c r="Q84" s="301"/>
      <c r="R84" s="301"/>
      <c r="S84" s="301"/>
    </row>
    <row r="85" spans="1:19" ht="14.25">
      <c r="A85" s="355">
        <f t="shared" si="2"/>
        <v>2</v>
      </c>
      <c r="B85" s="355">
        <v>0</v>
      </c>
      <c r="C85" s="355">
        <v>406</v>
      </c>
      <c r="D85" s="356">
        <v>100</v>
      </c>
      <c r="E85" s="355"/>
      <c r="F85" s="343"/>
      <c r="G85" s="154">
        <f>A85*10000000+B85*1000000+C85*1000+D85</f>
        <v>20406100</v>
      </c>
      <c r="H85" s="77">
        <v>99047</v>
      </c>
      <c r="I85" s="77">
        <v>0</v>
      </c>
      <c r="J85" s="77">
        <v>31743</v>
      </c>
      <c r="K85" s="77">
        <v>67304</v>
      </c>
      <c r="M85" s="301"/>
      <c r="N85" s="301"/>
      <c r="O85" s="301"/>
      <c r="P85" s="301"/>
      <c r="Q85" s="301"/>
      <c r="R85" s="301"/>
      <c r="S85" s="301"/>
    </row>
    <row r="86" spans="1:19" ht="14.25">
      <c r="A86" s="355">
        <f t="shared" si="2"/>
        <v>2</v>
      </c>
      <c r="B86" s="355">
        <v>0</v>
      </c>
      <c r="C86" s="355">
        <v>407</v>
      </c>
      <c r="D86" s="343">
        <v>0</v>
      </c>
      <c r="E86" s="355"/>
      <c r="F86" s="343"/>
      <c r="G86" s="154">
        <f aca="true" t="shared" si="4" ref="G86:G95">A86*10000000+B86*1000000+C86*1000+D86</f>
        <v>20407000</v>
      </c>
      <c r="H86" s="77"/>
      <c r="I86" s="77"/>
      <c r="J86" s="77"/>
      <c r="K86" s="77"/>
      <c r="M86" s="301"/>
      <c r="N86" s="301"/>
      <c r="O86" s="301"/>
      <c r="P86" s="301"/>
      <c r="Q86" s="301"/>
      <c r="R86" s="301"/>
      <c r="S86" s="301"/>
    </row>
    <row r="87" spans="1:19" ht="14.25">
      <c r="A87" s="355">
        <f t="shared" si="2"/>
        <v>2</v>
      </c>
      <c r="B87" s="355">
        <v>0</v>
      </c>
      <c r="C87" s="355">
        <v>407</v>
      </c>
      <c r="D87" s="343">
        <v>380</v>
      </c>
      <c r="E87" s="355"/>
      <c r="F87" s="343"/>
      <c r="G87" s="154">
        <f>A87*10000000+B87*1000000+C87*1000+D87</f>
        <v>20407380</v>
      </c>
      <c r="H87" s="77">
        <v>153132</v>
      </c>
      <c r="I87" s="77">
        <v>0</v>
      </c>
      <c r="J87" s="77">
        <v>153132</v>
      </c>
      <c r="K87" s="77">
        <v>0</v>
      </c>
      <c r="M87" s="301" t="s">
        <v>209</v>
      </c>
      <c r="N87" s="301"/>
      <c r="O87" s="301"/>
      <c r="P87" s="301"/>
      <c r="Q87" s="301"/>
      <c r="R87" s="301"/>
      <c r="S87" s="301"/>
    </row>
    <row r="88" spans="1:19" ht="14.25">
      <c r="A88" s="355">
        <f t="shared" si="2"/>
        <v>2</v>
      </c>
      <c r="B88" s="355">
        <v>0</v>
      </c>
      <c r="C88" s="355">
        <v>407</v>
      </c>
      <c r="D88" s="343">
        <v>400</v>
      </c>
      <c r="E88" s="355"/>
      <c r="F88" s="343"/>
      <c r="G88" s="154">
        <f>A88*10000000+B88*1000000+C88*1000+D88</f>
        <v>20407400</v>
      </c>
      <c r="H88" s="77"/>
      <c r="I88" s="77"/>
      <c r="J88" s="77"/>
      <c r="K88" s="77"/>
      <c r="M88" s="301" t="s">
        <v>936</v>
      </c>
      <c r="N88" s="301"/>
      <c r="O88" s="301"/>
      <c r="P88" s="301"/>
      <c r="Q88" s="301"/>
      <c r="R88" s="301"/>
      <c r="S88" s="301"/>
    </row>
    <row r="89" spans="1:19" ht="14.25">
      <c r="A89" s="355">
        <f t="shared" si="2"/>
        <v>2</v>
      </c>
      <c r="B89" s="355">
        <v>0</v>
      </c>
      <c r="C89" s="355">
        <v>407</v>
      </c>
      <c r="D89" s="356">
        <v>403</v>
      </c>
      <c r="E89" s="355"/>
      <c r="F89" s="343"/>
      <c r="G89" s="154">
        <f>A89*10000000+B89*1000000+C89*1000+D89</f>
        <v>20407403</v>
      </c>
      <c r="H89" s="77">
        <v>-135089</v>
      </c>
      <c r="I89" s="77">
        <v>0</v>
      </c>
      <c r="J89" s="77">
        <v>-135089</v>
      </c>
      <c r="K89" s="77">
        <v>0</v>
      </c>
      <c r="M89" s="301"/>
      <c r="N89" s="301"/>
      <c r="O89" s="301"/>
      <c r="P89" s="301"/>
      <c r="Q89" s="301"/>
      <c r="R89" s="301"/>
      <c r="S89" s="301"/>
    </row>
    <row r="90" spans="1:19" ht="14.25">
      <c r="A90" s="355">
        <f t="shared" si="2"/>
        <v>2</v>
      </c>
      <c r="B90" s="355">
        <v>0</v>
      </c>
      <c r="C90" s="355">
        <v>407</v>
      </c>
      <c r="D90" s="356">
        <v>405</v>
      </c>
      <c r="E90" s="355"/>
      <c r="F90" s="343"/>
      <c r="G90" s="154">
        <f t="shared" si="4"/>
        <v>20407405</v>
      </c>
      <c r="H90" s="77">
        <v>-103623</v>
      </c>
      <c r="I90" s="77">
        <v>0</v>
      </c>
      <c r="J90" s="77">
        <v>0</v>
      </c>
      <c r="K90" s="77">
        <v>-103623</v>
      </c>
      <c r="M90" s="301"/>
      <c r="N90" s="301"/>
      <c r="O90" s="301"/>
      <c r="P90" s="301"/>
      <c r="Q90" s="301"/>
      <c r="R90" s="301"/>
      <c r="S90" s="301"/>
    </row>
    <row r="91" spans="1:19" ht="14.25">
      <c r="A91" s="355">
        <f t="shared" si="2"/>
        <v>2</v>
      </c>
      <c r="B91" s="355">
        <v>0</v>
      </c>
      <c r="C91" s="355">
        <v>407</v>
      </c>
      <c r="D91" s="356">
        <v>406</v>
      </c>
      <c r="E91" s="355"/>
      <c r="F91" s="343"/>
      <c r="G91" s="154">
        <f t="shared" si="4"/>
        <v>20407406</v>
      </c>
      <c r="H91" s="77">
        <v>0</v>
      </c>
      <c r="I91" s="77">
        <v>0</v>
      </c>
      <c r="J91" s="77">
        <v>0</v>
      </c>
      <c r="K91" s="77">
        <v>0</v>
      </c>
      <c r="M91" s="301" t="s">
        <v>67</v>
      </c>
      <c r="N91" s="301"/>
      <c r="O91" s="301"/>
      <c r="P91" s="301"/>
      <c r="Q91" s="301"/>
      <c r="R91" s="301"/>
      <c r="S91" s="301"/>
    </row>
    <row r="92" spans="1:19" ht="14.25">
      <c r="A92" s="355">
        <f t="shared" si="2"/>
        <v>2</v>
      </c>
      <c r="B92" s="355">
        <v>0</v>
      </c>
      <c r="C92" s="355">
        <v>407</v>
      </c>
      <c r="D92" s="356">
        <v>370</v>
      </c>
      <c r="E92" s="355"/>
      <c r="F92" s="343"/>
      <c r="G92" s="154">
        <f t="shared" si="4"/>
        <v>20407370</v>
      </c>
      <c r="H92" s="77">
        <v>46059</v>
      </c>
      <c r="I92" s="77">
        <v>0</v>
      </c>
      <c r="J92" s="77">
        <v>0</v>
      </c>
      <c r="K92" s="77">
        <v>46059</v>
      </c>
      <c r="M92" s="301" t="s">
        <v>685</v>
      </c>
      <c r="N92" s="301"/>
      <c r="O92" s="301"/>
      <c r="P92" s="301"/>
      <c r="Q92" s="301"/>
      <c r="R92" s="301"/>
      <c r="S92" s="301"/>
    </row>
    <row r="93" spans="1:19" ht="14.25">
      <c r="A93" s="355">
        <f t="shared" si="2"/>
        <v>2</v>
      </c>
      <c r="B93" s="355">
        <v>0</v>
      </c>
      <c r="C93" s="355">
        <v>407</v>
      </c>
      <c r="D93" s="356">
        <v>420</v>
      </c>
      <c r="E93" s="355"/>
      <c r="F93" s="343"/>
      <c r="G93" s="154">
        <f t="shared" si="4"/>
        <v>20407420</v>
      </c>
      <c r="H93" s="77">
        <v>-201779</v>
      </c>
      <c r="I93" s="77">
        <v>0</v>
      </c>
      <c r="J93" s="77">
        <v>0</v>
      </c>
      <c r="K93" s="77">
        <v>-201779</v>
      </c>
      <c r="M93" s="301" t="s">
        <v>669</v>
      </c>
      <c r="N93" s="301"/>
      <c r="O93" s="301"/>
      <c r="P93" s="301"/>
      <c r="Q93" s="301"/>
      <c r="R93" s="301"/>
      <c r="S93" s="301"/>
    </row>
    <row r="94" spans="1:19" ht="14.25">
      <c r="A94" s="355">
        <f t="shared" si="2"/>
        <v>2</v>
      </c>
      <c r="B94" s="355">
        <v>0</v>
      </c>
      <c r="C94" s="355">
        <v>407</v>
      </c>
      <c r="D94" s="356">
        <v>410</v>
      </c>
      <c r="E94" s="355"/>
      <c r="F94" s="343"/>
      <c r="G94" s="154">
        <f t="shared" si="4"/>
        <v>20407410</v>
      </c>
      <c r="H94" s="77"/>
      <c r="I94" s="77"/>
      <c r="J94" s="77"/>
      <c r="K94" s="77"/>
      <c r="M94" s="301"/>
      <c r="N94" s="301"/>
      <c r="O94" s="301"/>
      <c r="P94" s="301"/>
      <c r="Q94" s="301"/>
      <c r="R94" s="301"/>
      <c r="S94" s="301"/>
    </row>
    <row r="95" spans="1:19" ht="14.25">
      <c r="A95" s="355">
        <f t="shared" si="2"/>
        <v>2</v>
      </c>
      <c r="B95" s="355">
        <v>0</v>
      </c>
      <c r="C95" s="355">
        <v>407</v>
      </c>
      <c r="D95" s="356">
        <v>450</v>
      </c>
      <c r="E95" s="355"/>
      <c r="F95" s="343"/>
      <c r="G95" s="154">
        <f t="shared" si="4"/>
        <v>20407450</v>
      </c>
      <c r="H95" s="77">
        <v>-3564542</v>
      </c>
      <c r="I95" s="77">
        <v>0</v>
      </c>
      <c r="J95" s="77">
        <v>-2384245</v>
      </c>
      <c r="K95" s="77">
        <v>-1180297</v>
      </c>
      <c r="M95" s="301" t="s">
        <v>573</v>
      </c>
      <c r="N95" s="301"/>
      <c r="O95" s="301"/>
      <c r="P95" s="301"/>
      <c r="Q95" s="301"/>
      <c r="R95" s="301"/>
      <c r="S95" s="301"/>
    </row>
    <row r="96" spans="1:19" ht="14.25">
      <c r="A96" s="355">
        <f t="shared" si="2"/>
        <v>2</v>
      </c>
      <c r="B96" s="355">
        <v>0</v>
      </c>
      <c r="C96" s="355">
        <v>407</v>
      </c>
      <c r="D96" s="356">
        <v>498</v>
      </c>
      <c r="E96" s="355"/>
      <c r="F96" s="343"/>
      <c r="G96" s="154">
        <f>A96*10000000+B96*1000000+C96*1000+D96</f>
        <v>20407498</v>
      </c>
      <c r="H96" s="77"/>
      <c r="I96" s="77"/>
      <c r="J96" s="77"/>
      <c r="K96" s="77"/>
      <c r="M96" s="301" t="s">
        <v>205</v>
      </c>
      <c r="N96" s="301"/>
      <c r="O96" s="301"/>
      <c r="P96" s="301"/>
      <c r="Q96" s="301"/>
      <c r="R96" s="301"/>
      <c r="S96" s="301"/>
    </row>
    <row r="97" spans="1:19" ht="14.25">
      <c r="A97" s="355">
        <f t="shared" si="2"/>
        <v>2</v>
      </c>
      <c r="B97" s="355">
        <v>0</v>
      </c>
      <c r="C97" s="355">
        <v>407</v>
      </c>
      <c r="D97" s="356">
        <v>499</v>
      </c>
      <c r="E97" s="355"/>
      <c r="F97" s="343"/>
      <c r="G97" s="154">
        <f>A97*10000000+B97*1000000+C97*1000+D97</f>
        <v>20407499</v>
      </c>
      <c r="H97" s="77">
        <v>-638575</v>
      </c>
      <c r="I97" s="77">
        <v>0</v>
      </c>
      <c r="J97" s="77">
        <v>-304127</v>
      </c>
      <c r="K97" s="77">
        <v>-334448</v>
      </c>
      <c r="M97" s="301" t="s">
        <v>573</v>
      </c>
      <c r="N97" s="301"/>
      <c r="O97" s="301"/>
      <c r="P97" s="301"/>
      <c r="Q97" s="301"/>
      <c r="R97" s="301"/>
      <c r="S97" s="301"/>
    </row>
    <row r="98" spans="1:19" ht="14.25">
      <c r="A98" s="355">
        <f t="shared" si="2"/>
        <v>2</v>
      </c>
      <c r="B98" s="355">
        <v>0</v>
      </c>
      <c r="C98" s="355">
        <v>407</v>
      </c>
      <c r="D98" s="356">
        <v>980</v>
      </c>
      <c r="E98" s="355"/>
      <c r="F98" s="343"/>
      <c r="G98" s="154">
        <f>A98*10000000+B98*1000000+C98*1000+D98</f>
        <v>20407980</v>
      </c>
      <c r="H98" s="77"/>
      <c r="I98" s="77"/>
      <c r="J98" s="77"/>
      <c r="K98" s="77"/>
      <c r="M98" s="301"/>
      <c r="N98" s="301"/>
      <c r="O98" s="301"/>
      <c r="P98" s="301"/>
      <c r="Q98" s="301"/>
      <c r="R98" s="301"/>
      <c r="S98" s="301"/>
    </row>
    <row r="99" spans="1:19" ht="14.25">
      <c r="A99" s="355">
        <f t="shared" si="2"/>
        <v>2</v>
      </c>
      <c r="B99" s="355">
        <v>0</v>
      </c>
      <c r="C99" s="355">
        <v>407</v>
      </c>
      <c r="D99" s="356">
        <v>990</v>
      </c>
      <c r="E99" s="355"/>
      <c r="F99" s="343"/>
      <c r="G99" s="154">
        <f>A99*10000000+B99*1000000+C99*1000+D99</f>
        <v>20407990</v>
      </c>
      <c r="H99" s="77"/>
      <c r="I99" s="77"/>
      <c r="J99" s="77"/>
      <c r="K99" s="77"/>
      <c r="M99" s="301"/>
      <c r="N99" s="301"/>
      <c r="O99" s="301"/>
      <c r="P99" s="301"/>
      <c r="Q99" s="301"/>
      <c r="R99" s="301"/>
      <c r="S99" s="301"/>
    </row>
    <row r="100" spans="1:19" ht="14.25">
      <c r="A100" s="355"/>
      <c r="B100" s="355"/>
      <c r="C100" s="355"/>
      <c r="D100" s="356"/>
      <c r="E100" s="355"/>
      <c r="F100" s="343"/>
      <c r="G100" s="343"/>
      <c r="H100" s="77"/>
      <c r="I100" s="77"/>
      <c r="J100" s="77"/>
      <c r="K100" s="77"/>
      <c r="M100" s="301"/>
      <c r="N100" s="301"/>
      <c r="O100" s="301"/>
      <c r="P100" s="301"/>
      <c r="Q100" s="301"/>
      <c r="R100" s="301"/>
      <c r="S100" s="301"/>
    </row>
    <row r="101" spans="1:19" ht="14.25">
      <c r="A101" s="358" t="s">
        <v>822</v>
      </c>
      <c r="B101" s="357"/>
      <c r="C101" s="357"/>
      <c r="D101" s="359"/>
      <c r="E101" s="357"/>
      <c r="F101" s="348"/>
      <c r="G101" s="348"/>
      <c r="H101" s="77"/>
      <c r="I101" s="77"/>
      <c r="J101" s="77"/>
      <c r="K101" s="77"/>
      <c r="M101" s="301"/>
      <c r="N101" s="301"/>
      <c r="O101" s="301"/>
      <c r="P101" s="301"/>
      <c r="Q101" s="301"/>
      <c r="R101" s="301"/>
      <c r="S101" s="301"/>
    </row>
    <row r="102" spans="1:19" ht="14.25">
      <c r="A102" s="355">
        <f aca="true" t="shared" si="5" ref="A102:A109">IF(months=1,1,2)</f>
        <v>2</v>
      </c>
      <c r="B102" s="355">
        <v>0</v>
      </c>
      <c r="C102" s="355">
        <v>408</v>
      </c>
      <c r="D102" s="356">
        <v>110</v>
      </c>
      <c r="E102" s="355"/>
      <c r="F102" s="343"/>
      <c r="G102" s="154">
        <f aca="true" t="shared" si="6" ref="G102:G109">A102*10000000+B102*1000000+C102*1000+D102</f>
        <v>20408110</v>
      </c>
      <c r="H102" s="77">
        <v>15314616</v>
      </c>
      <c r="I102" s="77">
        <v>0</v>
      </c>
      <c r="J102" s="77">
        <v>15314616</v>
      </c>
      <c r="K102" s="77">
        <v>0</v>
      </c>
      <c r="M102" s="301" t="s">
        <v>438</v>
      </c>
      <c r="O102" s="301"/>
      <c r="P102" s="301"/>
      <c r="Q102" s="301"/>
      <c r="R102" s="301"/>
      <c r="S102" s="301"/>
    </row>
    <row r="103" spans="1:19" ht="14.25">
      <c r="A103" s="355">
        <f t="shared" si="5"/>
        <v>2</v>
      </c>
      <c r="B103" s="355">
        <v>0</v>
      </c>
      <c r="C103" s="355">
        <v>408</v>
      </c>
      <c r="D103" s="356">
        <v>120</v>
      </c>
      <c r="E103" s="355"/>
      <c r="F103" s="343"/>
      <c r="G103" s="154">
        <f t="shared" si="6"/>
        <v>20408120</v>
      </c>
      <c r="H103" s="77">
        <v>16322579</v>
      </c>
      <c r="I103" s="77">
        <v>0</v>
      </c>
      <c r="J103" s="77">
        <v>13812663</v>
      </c>
      <c r="K103" s="77">
        <v>2509915</v>
      </c>
      <c r="M103" s="301" t="s">
        <v>396</v>
      </c>
      <c r="O103" s="301"/>
      <c r="P103" s="301"/>
      <c r="Q103" s="301"/>
      <c r="R103" s="301"/>
      <c r="S103" s="301"/>
    </row>
    <row r="104" spans="1:19" ht="14.25">
      <c r="A104" s="355">
        <f t="shared" si="5"/>
        <v>2</v>
      </c>
      <c r="B104" s="355">
        <v>0</v>
      </c>
      <c r="C104" s="355">
        <v>408</v>
      </c>
      <c r="D104" s="356">
        <v>130</v>
      </c>
      <c r="E104" s="355"/>
      <c r="F104" s="343"/>
      <c r="G104" s="154">
        <f t="shared" si="6"/>
        <v>20408130</v>
      </c>
      <c r="H104" s="77">
        <v>10712</v>
      </c>
      <c r="I104" s="77">
        <v>2597</v>
      </c>
      <c r="J104" s="77">
        <v>0</v>
      </c>
      <c r="K104" s="77">
        <v>8115</v>
      </c>
      <c r="M104" s="301" t="s">
        <v>183</v>
      </c>
      <c r="O104" s="301"/>
      <c r="P104" s="301"/>
      <c r="Q104" s="301"/>
      <c r="R104" s="301"/>
      <c r="S104" s="301"/>
    </row>
    <row r="105" spans="1:19" ht="14.25">
      <c r="A105" s="355">
        <f t="shared" si="5"/>
        <v>2</v>
      </c>
      <c r="B105" s="355">
        <v>0</v>
      </c>
      <c r="C105" s="355">
        <v>408</v>
      </c>
      <c r="D105" s="356">
        <v>140</v>
      </c>
      <c r="E105" s="355"/>
      <c r="F105" s="343"/>
      <c r="G105" s="154">
        <f t="shared" si="6"/>
        <v>20408140</v>
      </c>
      <c r="H105" s="77">
        <v>1485641</v>
      </c>
      <c r="I105" s="77">
        <v>0</v>
      </c>
      <c r="J105" s="77">
        <v>0</v>
      </c>
      <c r="K105" s="77">
        <v>1485641</v>
      </c>
      <c r="M105" s="301" t="s">
        <v>437</v>
      </c>
      <c r="O105" s="301"/>
      <c r="P105" s="301"/>
      <c r="Q105" s="301"/>
      <c r="R105" s="301"/>
      <c r="S105" s="301"/>
    </row>
    <row r="106" spans="1:19" ht="14.25">
      <c r="A106" s="355">
        <f t="shared" si="5"/>
        <v>2</v>
      </c>
      <c r="B106" s="355">
        <v>0</v>
      </c>
      <c r="C106" s="355">
        <v>408</v>
      </c>
      <c r="D106" s="356">
        <v>150</v>
      </c>
      <c r="E106" s="355"/>
      <c r="F106" s="343"/>
      <c r="G106" s="154">
        <f t="shared" si="6"/>
        <v>20408150</v>
      </c>
      <c r="H106" s="77">
        <v>7080709</v>
      </c>
      <c r="I106" s="77">
        <v>4680</v>
      </c>
      <c r="J106" s="77">
        <v>2479607</v>
      </c>
      <c r="K106" s="77">
        <v>4596422</v>
      </c>
      <c r="M106" s="301" t="s">
        <v>643</v>
      </c>
      <c r="O106" s="301"/>
      <c r="P106" s="301"/>
      <c r="Q106" s="301"/>
      <c r="R106" s="301"/>
      <c r="S106" s="301"/>
    </row>
    <row r="107" spans="1:19" ht="14.25">
      <c r="A107" s="355">
        <f t="shared" si="5"/>
        <v>2</v>
      </c>
      <c r="B107" s="355">
        <v>0</v>
      </c>
      <c r="C107" s="355">
        <v>408</v>
      </c>
      <c r="D107" s="356">
        <v>160</v>
      </c>
      <c r="E107" s="355"/>
      <c r="F107" s="343"/>
      <c r="G107" s="154">
        <f t="shared" si="6"/>
        <v>20408160</v>
      </c>
      <c r="H107" s="77">
        <v>32095</v>
      </c>
      <c r="I107" s="77">
        <v>0</v>
      </c>
      <c r="J107" s="77">
        <v>0</v>
      </c>
      <c r="K107" s="77">
        <v>32095</v>
      </c>
      <c r="M107" s="301" t="s">
        <v>436</v>
      </c>
      <c r="O107" s="301"/>
      <c r="P107" s="301"/>
      <c r="Q107" s="301"/>
      <c r="R107" s="301"/>
      <c r="S107" s="301"/>
    </row>
    <row r="108" spans="1:19" ht="14.25">
      <c r="A108" s="355">
        <f t="shared" si="5"/>
        <v>2</v>
      </c>
      <c r="B108" s="355">
        <v>0</v>
      </c>
      <c r="C108" s="355">
        <v>408</v>
      </c>
      <c r="D108" s="356">
        <v>170</v>
      </c>
      <c r="E108" s="355"/>
      <c r="F108" s="343"/>
      <c r="G108" s="154">
        <f t="shared" si="6"/>
        <v>20408170</v>
      </c>
      <c r="H108" s="77">
        <v>5202269</v>
      </c>
      <c r="I108" s="77">
        <v>0</v>
      </c>
      <c r="J108" s="77">
        <v>4058785</v>
      </c>
      <c r="K108" s="77">
        <v>1143484</v>
      </c>
      <c r="M108" s="301" t="s">
        <v>691</v>
      </c>
      <c r="O108" s="301"/>
      <c r="P108" s="301"/>
      <c r="Q108" s="301"/>
      <c r="R108" s="301"/>
      <c r="S108" s="301"/>
    </row>
    <row r="109" spans="1:19" ht="14.25">
      <c r="A109" s="355">
        <f t="shared" si="5"/>
        <v>2</v>
      </c>
      <c r="B109" s="355">
        <v>0</v>
      </c>
      <c r="C109" s="355">
        <v>408</v>
      </c>
      <c r="D109" s="356">
        <v>180</v>
      </c>
      <c r="E109" s="360"/>
      <c r="F109" s="343"/>
      <c r="G109" s="154">
        <f t="shared" si="6"/>
        <v>20408180</v>
      </c>
      <c r="H109" s="77">
        <v>4732194</v>
      </c>
      <c r="I109" s="77">
        <v>0</v>
      </c>
      <c r="J109" s="77">
        <v>1422557</v>
      </c>
      <c r="K109" s="77">
        <v>3309638</v>
      </c>
      <c r="M109" s="301" t="s">
        <v>427</v>
      </c>
      <c r="O109" s="301"/>
      <c r="P109" s="301"/>
      <c r="Q109" s="301"/>
      <c r="R109" s="301"/>
      <c r="S109" s="301"/>
    </row>
    <row r="110" spans="1:19" ht="14.25">
      <c r="A110" s="355"/>
      <c r="B110" s="355"/>
      <c r="C110" s="355"/>
      <c r="D110" s="356"/>
      <c r="E110" s="355"/>
      <c r="F110" s="343"/>
      <c r="G110" s="343"/>
      <c r="H110" s="77"/>
      <c r="I110" s="77"/>
      <c r="J110" s="77"/>
      <c r="K110" s="77"/>
      <c r="M110" s="301"/>
      <c r="N110" s="301"/>
      <c r="O110" s="301"/>
      <c r="P110" s="301"/>
      <c r="Q110" s="301"/>
      <c r="R110" s="301"/>
      <c r="S110" s="301"/>
    </row>
    <row r="111" spans="1:19" ht="14.25">
      <c r="A111" s="358" t="s">
        <v>823</v>
      </c>
      <c r="B111" s="355"/>
      <c r="C111" s="355"/>
      <c r="D111" s="356"/>
      <c r="E111" s="357"/>
      <c r="F111" s="348"/>
      <c r="G111" s="348"/>
      <c r="H111" s="77"/>
      <c r="I111" s="77"/>
      <c r="J111" s="77"/>
      <c r="K111" s="77"/>
      <c r="M111" s="301"/>
      <c r="N111" s="301"/>
      <c r="O111" s="301"/>
      <c r="P111" s="301"/>
      <c r="Q111" s="301"/>
      <c r="R111" s="301"/>
      <c r="S111" s="301"/>
    </row>
    <row r="112" spans="1:19" ht="14.25">
      <c r="A112" s="355">
        <f aca="true" t="shared" si="7" ref="A112:A117">IF(months=1,1,2)</f>
        <v>2</v>
      </c>
      <c r="B112" s="355">
        <v>0</v>
      </c>
      <c r="C112" s="355">
        <v>409</v>
      </c>
      <c r="D112" s="343">
        <v>0</v>
      </c>
      <c r="E112" s="355"/>
      <c r="F112" s="343"/>
      <c r="G112" s="154">
        <f aca="true" t="shared" si="8" ref="G112:G117">A112*10000000+B112*1000000+C112*1000+D112</f>
        <v>20409000</v>
      </c>
      <c r="H112" s="77">
        <v>19622294</v>
      </c>
      <c r="I112" s="77">
        <v>19622294</v>
      </c>
      <c r="J112" s="77">
        <v>0</v>
      </c>
      <c r="K112" s="77">
        <v>0</v>
      </c>
      <c r="M112" s="301"/>
      <c r="N112" s="301"/>
      <c r="O112" s="301"/>
      <c r="P112" s="301"/>
      <c r="Q112" s="301"/>
      <c r="R112" s="301"/>
      <c r="S112" s="301"/>
    </row>
    <row r="113" spans="1:19" ht="14.25">
      <c r="A113" s="355">
        <f t="shared" si="7"/>
        <v>2</v>
      </c>
      <c r="B113" s="355">
        <v>0</v>
      </c>
      <c r="C113" s="355">
        <v>409</v>
      </c>
      <c r="D113" s="356">
        <v>110</v>
      </c>
      <c r="E113" s="355"/>
      <c r="F113" s="343"/>
      <c r="G113" s="154">
        <f t="shared" si="8"/>
        <v>20409110</v>
      </c>
      <c r="H113" s="77"/>
      <c r="I113" s="77"/>
      <c r="J113" s="77"/>
      <c r="K113" s="77"/>
      <c r="M113" s="301"/>
      <c r="N113" s="301"/>
      <c r="O113" s="301"/>
      <c r="P113" s="301"/>
      <c r="Q113" s="301"/>
      <c r="R113" s="301"/>
      <c r="S113" s="301"/>
    </row>
    <row r="114" spans="1:19" ht="14.25">
      <c r="A114" s="355">
        <f t="shared" si="7"/>
        <v>2</v>
      </c>
      <c r="B114" s="355">
        <v>0</v>
      </c>
      <c r="C114" s="355">
        <v>409</v>
      </c>
      <c r="D114" s="356">
        <v>100</v>
      </c>
      <c r="E114" s="355"/>
      <c r="F114" s="343"/>
      <c r="G114" s="154">
        <f t="shared" si="8"/>
        <v>20409100</v>
      </c>
      <c r="H114" s="77">
        <v>1005847</v>
      </c>
      <c r="I114" s="77">
        <v>523838</v>
      </c>
      <c r="J114" s="77">
        <v>0</v>
      </c>
      <c r="K114" s="77">
        <v>482009</v>
      </c>
      <c r="M114" s="301"/>
      <c r="N114" s="301"/>
      <c r="O114" s="301"/>
      <c r="P114" s="301"/>
      <c r="Q114" s="301"/>
      <c r="R114" s="301"/>
      <c r="S114" s="301"/>
    </row>
    <row r="115" spans="1:19" ht="14.25">
      <c r="A115" s="355">
        <f t="shared" si="7"/>
        <v>2</v>
      </c>
      <c r="B115" s="355">
        <v>0</v>
      </c>
      <c r="C115" s="355">
        <v>410</v>
      </c>
      <c r="D115" s="356">
        <v>100</v>
      </c>
      <c r="E115" s="357"/>
      <c r="F115" s="348"/>
      <c r="G115" s="154">
        <f t="shared" si="8"/>
        <v>20410100</v>
      </c>
      <c r="H115" s="77">
        <v>14983255</v>
      </c>
      <c r="I115" s="77">
        <v>14557269</v>
      </c>
      <c r="J115" s="77">
        <v>-3064942</v>
      </c>
      <c r="K115" s="77">
        <v>3490928</v>
      </c>
      <c r="M115" s="301"/>
      <c r="N115" s="301"/>
      <c r="O115" s="301"/>
      <c r="P115" s="301"/>
      <c r="Q115" s="301"/>
      <c r="R115" s="301"/>
      <c r="S115" s="301"/>
    </row>
    <row r="116" spans="1:19" ht="14.25">
      <c r="A116" s="355">
        <f t="shared" si="7"/>
        <v>2</v>
      </c>
      <c r="B116" s="355">
        <v>0</v>
      </c>
      <c r="C116" s="355">
        <v>410</v>
      </c>
      <c r="D116" s="356">
        <v>140</v>
      </c>
      <c r="E116" s="357"/>
      <c r="F116" s="348"/>
      <c r="G116" s="154">
        <f t="shared" si="8"/>
        <v>20410140</v>
      </c>
      <c r="H116" s="77">
        <v>744387</v>
      </c>
      <c r="I116" s="77">
        <v>744387</v>
      </c>
      <c r="J116" s="77">
        <v>0</v>
      </c>
      <c r="K116" s="77">
        <v>0</v>
      </c>
      <c r="M116" s="301"/>
      <c r="N116" s="301"/>
      <c r="O116" s="301"/>
      <c r="P116" s="301"/>
      <c r="Q116" s="301"/>
      <c r="R116" s="301"/>
      <c r="S116" s="301"/>
    </row>
    <row r="117" spans="1:19" ht="14.25">
      <c r="A117" s="355">
        <f t="shared" si="7"/>
        <v>2</v>
      </c>
      <c r="B117" s="355">
        <v>0</v>
      </c>
      <c r="C117" s="355">
        <v>411</v>
      </c>
      <c r="D117" s="356">
        <v>100</v>
      </c>
      <c r="E117" s="357"/>
      <c r="F117" s="348"/>
      <c r="G117" s="154">
        <f t="shared" si="8"/>
        <v>20411100</v>
      </c>
      <c r="H117" s="77">
        <v>-4334678</v>
      </c>
      <c r="I117" s="77">
        <v>-210834</v>
      </c>
      <c r="J117" s="77">
        <v>-3030195</v>
      </c>
      <c r="K117" s="77">
        <v>-1093649</v>
      </c>
      <c r="M117" s="301"/>
      <c r="N117" s="301"/>
      <c r="O117" s="301"/>
      <c r="P117" s="301"/>
      <c r="Q117" s="301"/>
      <c r="R117" s="301"/>
      <c r="S117" s="301"/>
    </row>
    <row r="118" spans="1:19" ht="14.25">
      <c r="A118" s="355"/>
      <c r="B118" s="355"/>
      <c r="C118" s="355"/>
      <c r="D118" s="356"/>
      <c r="E118" s="355"/>
      <c r="F118" s="343"/>
      <c r="G118" s="343"/>
      <c r="H118" s="77"/>
      <c r="I118" s="77"/>
      <c r="J118" s="77"/>
      <c r="K118" s="77"/>
      <c r="M118" s="301"/>
      <c r="N118" s="301"/>
      <c r="O118" s="301"/>
      <c r="P118" s="301"/>
      <c r="Q118" s="301"/>
      <c r="R118" s="301"/>
      <c r="S118" s="301"/>
    </row>
    <row r="119" spans="1:19" ht="14.25">
      <c r="A119" s="358" t="s">
        <v>824</v>
      </c>
      <c r="B119" s="355"/>
      <c r="C119" s="355"/>
      <c r="D119" s="356"/>
      <c r="E119" s="357"/>
      <c r="F119" s="348"/>
      <c r="G119" s="348"/>
      <c r="H119" s="77"/>
      <c r="I119" s="77"/>
      <c r="J119" s="77"/>
      <c r="K119" s="77"/>
      <c r="M119" s="301"/>
      <c r="N119" s="301"/>
      <c r="O119" s="301"/>
      <c r="P119" s="301"/>
      <c r="Q119" s="301"/>
      <c r="R119" s="301"/>
      <c r="S119" s="301"/>
    </row>
    <row r="120" spans="1:19" ht="14.25">
      <c r="A120" s="355">
        <f aca="true" t="shared" si="9" ref="A120:A132">IF(months=1,1,2)</f>
        <v>2</v>
      </c>
      <c r="B120" s="355">
        <v>9</v>
      </c>
      <c r="C120" s="355">
        <v>190</v>
      </c>
      <c r="D120" s="356">
        <v>110</v>
      </c>
      <c r="E120" s="355"/>
      <c r="F120" s="343"/>
      <c r="G120" s="154">
        <f aca="true" t="shared" si="10" ref="G120:G149">A120*10000000+B120*1000000+C120*1000+D120</f>
        <v>29190110</v>
      </c>
      <c r="H120" s="77"/>
      <c r="I120" s="77"/>
      <c r="J120" s="77"/>
      <c r="K120" s="77"/>
      <c r="M120" s="301"/>
      <c r="N120" s="301"/>
      <c r="O120" s="301"/>
      <c r="P120" s="301"/>
      <c r="Q120" s="301"/>
      <c r="R120" s="301"/>
      <c r="S120" s="301"/>
    </row>
    <row r="121" spans="1:19" ht="14.25">
      <c r="A121" s="355">
        <f t="shared" si="9"/>
        <v>2</v>
      </c>
      <c r="B121" s="355">
        <v>9</v>
      </c>
      <c r="C121" s="355">
        <v>190</v>
      </c>
      <c r="D121" s="356">
        <v>150</v>
      </c>
      <c r="E121" s="355"/>
      <c r="F121" s="343"/>
      <c r="G121" s="154">
        <f t="shared" si="10"/>
        <v>29190150</v>
      </c>
      <c r="H121" s="77"/>
      <c r="I121" s="77"/>
      <c r="J121" s="77"/>
      <c r="K121" s="77"/>
      <c r="M121" s="301"/>
      <c r="N121" s="301"/>
      <c r="O121" s="301"/>
      <c r="P121" s="301"/>
      <c r="Q121" s="301"/>
      <c r="R121" s="301"/>
      <c r="S121" s="301"/>
    </row>
    <row r="122" spans="1:19" ht="14.25">
      <c r="A122" s="355">
        <f t="shared" si="9"/>
        <v>2</v>
      </c>
      <c r="B122" s="355">
        <v>9</v>
      </c>
      <c r="C122" s="355">
        <v>190</v>
      </c>
      <c r="D122" s="356">
        <v>200</v>
      </c>
      <c r="E122" s="355"/>
      <c r="F122" s="343"/>
      <c r="G122" s="154">
        <f t="shared" si="10"/>
        <v>29190200</v>
      </c>
      <c r="H122" s="77"/>
      <c r="I122" s="77"/>
      <c r="J122" s="77"/>
      <c r="K122" s="77"/>
      <c r="M122" s="301"/>
      <c r="N122" s="301"/>
      <c r="O122" s="301"/>
      <c r="P122" s="301"/>
      <c r="Q122" s="301"/>
      <c r="R122" s="301"/>
      <c r="S122" s="301"/>
    </row>
    <row r="123" spans="1:19" ht="14.25">
      <c r="A123" s="355">
        <f t="shared" si="9"/>
        <v>2</v>
      </c>
      <c r="B123" s="355">
        <v>9</v>
      </c>
      <c r="C123" s="355">
        <v>190</v>
      </c>
      <c r="D123" s="356">
        <v>420</v>
      </c>
      <c r="E123" s="355"/>
      <c r="F123" s="343"/>
      <c r="G123" s="154">
        <f t="shared" si="10"/>
        <v>29190420</v>
      </c>
      <c r="H123" s="77"/>
      <c r="I123" s="77"/>
      <c r="J123" s="77"/>
      <c r="K123" s="77"/>
      <c r="M123" s="301"/>
      <c r="N123" s="301"/>
      <c r="O123" s="301"/>
      <c r="P123" s="301"/>
      <c r="Q123" s="301"/>
      <c r="R123" s="301"/>
      <c r="S123" s="301"/>
    </row>
    <row r="124" spans="1:19" ht="14.25">
      <c r="A124" s="355">
        <f t="shared" si="9"/>
        <v>2</v>
      </c>
      <c r="B124" s="355">
        <v>9</v>
      </c>
      <c r="C124" s="355">
        <v>190</v>
      </c>
      <c r="D124" s="356">
        <v>450</v>
      </c>
      <c r="E124" s="355"/>
      <c r="F124" s="343"/>
      <c r="G124" s="154">
        <f>A124*10000000+B124*1000000+C124*1000+D124</f>
        <v>29190450</v>
      </c>
      <c r="H124" s="77"/>
      <c r="I124" s="77"/>
      <c r="J124" s="77"/>
      <c r="K124" s="77"/>
      <c r="M124" s="301"/>
      <c r="N124" s="301"/>
      <c r="O124" s="301"/>
      <c r="P124" s="301"/>
      <c r="Q124" s="301"/>
      <c r="R124" s="301"/>
      <c r="S124" s="301"/>
    </row>
    <row r="125" spans="1:19" ht="14.25">
      <c r="A125" s="355">
        <f t="shared" si="9"/>
        <v>2</v>
      </c>
      <c r="B125" s="355">
        <v>9</v>
      </c>
      <c r="C125" s="355">
        <v>190</v>
      </c>
      <c r="D125" s="356">
        <v>610</v>
      </c>
      <c r="E125" s="355"/>
      <c r="F125" s="343"/>
      <c r="G125" s="154">
        <f t="shared" si="10"/>
        <v>29190610</v>
      </c>
      <c r="H125" s="77"/>
      <c r="I125" s="77"/>
      <c r="J125" s="77"/>
      <c r="K125" s="77"/>
      <c r="M125" s="301"/>
      <c r="N125" s="301"/>
      <c r="O125" s="301"/>
      <c r="P125" s="301"/>
      <c r="Q125" s="301"/>
      <c r="R125" s="301"/>
      <c r="S125" s="301"/>
    </row>
    <row r="126" spans="1:19" ht="14.25">
      <c r="A126" s="355">
        <f t="shared" si="9"/>
        <v>2</v>
      </c>
      <c r="B126" s="355">
        <v>9</v>
      </c>
      <c r="C126" s="355">
        <v>190</v>
      </c>
      <c r="D126" s="356">
        <v>800</v>
      </c>
      <c r="E126" s="355"/>
      <c r="F126" s="343"/>
      <c r="G126" s="154">
        <f t="shared" si="10"/>
        <v>29190800</v>
      </c>
      <c r="H126" s="77"/>
      <c r="I126" s="77"/>
      <c r="J126" s="77"/>
      <c r="K126" s="77"/>
      <c r="M126" s="301"/>
      <c r="N126" s="301"/>
      <c r="O126" s="301"/>
      <c r="P126" s="301"/>
      <c r="Q126" s="301"/>
      <c r="R126" s="301"/>
      <c r="S126" s="301"/>
    </row>
    <row r="127" spans="1:19" ht="14.25">
      <c r="A127" s="355">
        <f t="shared" si="9"/>
        <v>2</v>
      </c>
      <c r="B127" s="355">
        <v>9</v>
      </c>
      <c r="C127" s="355">
        <v>190</v>
      </c>
      <c r="D127" s="356">
        <v>810</v>
      </c>
      <c r="E127" s="355"/>
      <c r="F127" s="343"/>
      <c r="G127" s="154">
        <f t="shared" si="10"/>
        <v>29190810</v>
      </c>
      <c r="H127" s="77"/>
      <c r="I127" s="77"/>
      <c r="J127" s="77"/>
      <c r="K127" s="77"/>
      <c r="M127" s="301"/>
      <c r="N127" s="301"/>
      <c r="O127" s="301"/>
      <c r="P127" s="301"/>
      <c r="Q127" s="301"/>
      <c r="R127" s="301"/>
      <c r="S127" s="301"/>
    </row>
    <row r="128" spans="1:19" ht="14.25">
      <c r="A128" s="355">
        <f t="shared" si="9"/>
        <v>2</v>
      </c>
      <c r="B128" s="355">
        <v>9</v>
      </c>
      <c r="C128" s="355">
        <v>190</v>
      </c>
      <c r="D128" s="356">
        <v>820</v>
      </c>
      <c r="E128" s="355"/>
      <c r="F128" s="343"/>
      <c r="G128" s="154">
        <f>A128*10000000+B128*1000000+C128*1000+D128</f>
        <v>29190820</v>
      </c>
      <c r="H128" s="77"/>
      <c r="I128" s="77"/>
      <c r="J128" s="77"/>
      <c r="K128" s="77"/>
      <c r="M128" s="301"/>
      <c r="N128" s="301"/>
      <c r="O128" s="301"/>
      <c r="P128" s="301"/>
      <c r="Q128" s="301"/>
      <c r="R128" s="301"/>
      <c r="S128" s="301"/>
    </row>
    <row r="129" spans="1:19" ht="14.25">
      <c r="A129" s="355">
        <f t="shared" si="9"/>
        <v>2</v>
      </c>
      <c r="B129" s="355">
        <v>9</v>
      </c>
      <c r="C129" s="355">
        <v>190</v>
      </c>
      <c r="D129" s="356">
        <v>830</v>
      </c>
      <c r="E129" s="355"/>
      <c r="F129" s="343"/>
      <c r="G129" s="154">
        <f t="shared" si="10"/>
        <v>29190830</v>
      </c>
      <c r="H129" s="77"/>
      <c r="I129" s="77"/>
      <c r="J129" s="77"/>
      <c r="K129" s="77"/>
      <c r="M129" s="301"/>
      <c r="N129" s="301"/>
      <c r="O129" s="301"/>
      <c r="P129" s="301"/>
      <c r="Q129" s="301"/>
      <c r="R129" s="301"/>
      <c r="S129" s="301"/>
    </row>
    <row r="130" spans="1:19" ht="14.25">
      <c r="A130" s="355">
        <f t="shared" si="9"/>
        <v>2</v>
      </c>
      <c r="B130" s="355">
        <v>9</v>
      </c>
      <c r="C130" s="355">
        <v>190</v>
      </c>
      <c r="D130" s="356">
        <v>840</v>
      </c>
      <c r="E130" s="355"/>
      <c r="F130" s="343"/>
      <c r="G130" s="154">
        <f>A130*10000000+B130*1000000+C130*1000+D130</f>
        <v>29190840</v>
      </c>
      <c r="H130" s="77"/>
      <c r="I130" s="77"/>
      <c r="J130" s="77"/>
      <c r="K130" s="77"/>
      <c r="M130" s="301"/>
      <c r="N130" s="301"/>
      <c r="O130" s="301"/>
      <c r="P130" s="301"/>
      <c r="Q130" s="301"/>
      <c r="R130" s="301"/>
      <c r="S130" s="301"/>
    </row>
    <row r="131" spans="1:19" ht="14.25">
      <c r="A131" s="355">
        <f t="shared" si="9"/>
        <v>2</v>
      </c>
      <c r="B131" s="355">
        <v>9</v>
      </c>
      <c r="C131" s="355">
        <v>190</v>
      </c>
      <c r="D131" s="356">
        <v>850</v>
      </c>
      <c r="E131" s="355"/>
      <c r="F131" s="343"/>
      <c r="G131" s="154">
        <f>A131*10000000+B131*1000000+C131*1000+D131</f>
        <v>29190850</v>
      </c>
      <c r="H131" s="77"/>
      <c r="I131" s="77"/>
      <c r="J131" s="77"/>
      <c r="K131" s="77"/>
      <c r="M131" s="301"/>
      <c r="N131" s="301"/>
      <c r="O131" s="301"/>
      <c r="P131" s="301"/>
      <c r="Q131" s="301"/>
      <c r="R131" s="301"/>
      <c r="S131" s="301"/>
    </row>
    <row r="132" spans="1:19" ht="14.25">
      <c r="A132" s="355">
        <f t="shared" si="9"/>
        <v>2</v>
      </c>
      <c r="B132" s="355">
        <v>9</v>
      </c>
      <c r="C132" s="355">
        <v>282</v>
      </c>
      <c r="D132" s="356">
        <v>400</v>
      </c>
      <c r="E132" s="355"/>
      <c r="F132" s="343"/>
      <c r="G132" s="154">
        <f t="shared" si="10"/>
        <v>29282400</v>
      </c>
      <c r="H132" s="77"/>
      <c r="I132" s="77"/>
      <c r="J132" s="77"/>
      <c r="K132" s="77"/>
      <c r="M132" s="301"/>
      <c r="N132" s="301"/>
      <c r="O132" s="301"/>
      <c r="P132" s="301"/>
      <c r="Q132" s="301"/>
      <c r="R132" s="301"/>
      <c r="S132" s="301"/>
    </row>
    <row r="133" spans="1:19" ht="14.25">
      <c r="A133" s="355">
        <f aca="true" t="shared" si="11" ref="A133:A149">IF(months=1,1,2)</f>
        <v>2</v>
      </c>
      <c r="B133" s="355">
        <v>9</v>
      </c>
      <c r="C133" s="355">
        <v>282</v>
      </c>
      <c r="D133" s="356">
        <v>900</v>
      </c>
      <c r="E133" s="355"/>
      <c r="F133" s="343"/>
      <c r="G133" s="154">
        <f t="shared" si="10"/>
        <v>29282900</v>
      </c>
      <c r="H133" s="77"/>
      <c r="I133" s="77"/>
      <c r="J133" s="77"/>
      <c r="K133" s="77"/>
      <c r="M133" s="301"/>
      <c r="N133" s="301"/>
      <c r="O133" s="301"/>
      <c r="P133" s="301"/>
      <c r="Q133" s="301"/>
      <c r="R133" s="301"/>
      <c r="S133" s="301"/>
    </row>
    <row r="134" spans="1:19" ht="14.25">
      <c r="A134" s="355">
        <f t="shared" si="11"/>
        <v>2</v>
      </c>
      <c r="B134" s="355">
        <v>9</v>
      </c>
      <c r="C134" s="355">
        <v>283</v>
      </c>
      <c r="D134" s="343">
        <v>40</v>
      </c>
      <c r="E134" s="355"/>
      <c r="F134" s="343"/>
      <c r="G134" s="154">
        <f t="shared" si="10"/>
        <v>29283040</v>
      </c>
      <c r="H134" s="77"/>
      <c r="I134" s="77"/>
      <c r="J134" s="77"/>
      <c r="K134" s="77"/>
      <c r="M134" s="301"/>
      <c r="N134" s="301"/>
      <c r="O134" s="301"/>
      <c r="P134" s="301"/>
      <c r="Q134" s="301"/>
      <c r="R134" s="301"/>
      <c r="S134" s="301"/>
    </row>
    <row r="135" spans="1:19" ht="14.25">
      <c r="A135" s="355">
        <f t="shared" si="11"/>
        <v>2</v>
      </c>
      <c r="B135" s="355">
        <v>9</v>
      </c>
      <c r="C135" s="355">
        <v>283</v>
      </c>
      <c r="D135" s="343">
        <v>50</v>
      </c>
      <c r="E135" s="355"/>
      <c r="F135" s="343"/>
      <c r="G135" s="154">
        <f t="shared" si="10"/>
        <v>29283050</v>
      </c>
      <c r="H135" s="77"/>
      <c r="I135" s="77"/>
      <c r="J135" s="77"/>
      <c r="K135" s="77"/>
      <c r="M135" s="301" t="str">
        <f>IF(+H147+H149=0," ","THESE ACCOUNTS S/B ZERO!!")</f>
        <v> </v>
      </c>
      <c r="N135" s="301"/>
      <c r="O135" s="301"/>
      <c r="P135" s="301"/>
      <c r="Q135" s="301"/>
      <c r="R135" s="301"/>
      <c r="S135" s="301"/>
    </row>
    <row r="136" spans="1:19" ht="14.25">
      <c r="A136" s="355">
        <f t="shared" si="11"/>
        <v>2</v>
      </c>
      <c r="B136" s="355">
        <v>9</v>
      </c>
      <c r="C136" s="355">
        <v>283</v>
      </c>
      <c r="D136" s="343">
        <v>80</v>
      </c>
      <c r="E136" s="355"/>
      <c r="F136" s="343"/>
      <c r="G136" s="154">
        <f>A136*10000000+B136*1000000+C136*1000+D136</f>
        <v>29283080</v>
      </c>
      <c r="H136" s="77"/>
      <c r="I136" s="77"/>
      <c r="J136" s="77"/>
      <c r="K136" s="77"/>
      <c r="M136" s="301"/>
      <c r="N136" s="301"/>
      <c r="O136" s="301"/>
      <c r="P136" s="301"/>
      <c r="Q136" s="301"/>
      <c r="R136" s="301"/>
      <c r="S136" s="301"/>
    </row>
    <row r="137" spans="1:19" ht="14.25">
      <c r="A137" s="355">
        <f t="shared" si="11"/>
        <v>2</v>
      </c>
      <c r="B137" s="355">
        <v>9</v>
      </c>
      <c r="C137" s="355">
        <v>283</v>
      </c>
      <c r="D137" s="343">
        <v>90</v>
      </c>
      <c r="E137" s="355"/>
      <c r="F137" s="343"/>
      <c r="G137" s="154">
        <f>A137*10000000+B137*1000000+C137*1000+D137</f>
        <v>29283090</v>
      </c>
      <c r="H137" s="77"/>
      <c r="I137" s="77"/>
      <c r="J137" s="77"/>
      <c r="K137" s="77"/>
      <c r="M137" s="301"/>
      <c r="N137" s="301"/>
      <c r="O137" s="301"/>
      <c r="P137" s="301"/>
      <c r="Q137" s="301"/>
      <c r="R137" s="301"/>
      <c r="S137" s="301"/>
    </row>
    <row r="138" spans="1:19" ht="14.25">
      <c r="A138" s="355">
        <f t="shared" si="11"/>
        <v>2</v>
      </c>
      <c r="B138" s="355">
        <v>9</v>
      </c>
      <c r="C138" s="355">
        <v>283</v>
      </c>
      <c r="D138" s="343">
        <v>120</v>
      </c>
      <c r="E138" s="355"/>
      <c r="F138" s="343"/>
      <c r="G138" s="154">
        <f>A138*10000000+B138*1000000+C138*1000+D138</f>
        <v>29283120</v>
      </c>
      <c r="H138" s="77"/>
      <c r="I138" s="77"/>
      <c r="J138" s="77"/>
      <c r="K138" s="77"/>
      <c r="M138" s="301"/>
      <c r="N138" s="301"/>
      <c r="O138" s="301"/>
      <c r="P138" s="301"/>
      <c r="Q138" s="301"/>
      <c r="R138" s="301"/>
      <c r="S138" s="301"/>
    </row>
    <row r="139" spans="1:19" ht="14.25">
      <c r="A139" s="355">
        <f t="shared" si="11"/>
        <v>2</v>
      </c>
      <c r="B139" s="355">
        <v>9</v>
      </c>
      <c r="C139" s="355">
        <v>283</v>
      </c>
      <c r="D139" s="343">
        <v>150</v>
      </c>
      <c r="E139" s="355"/>
      <c r="F139" s="343"/>
      <c r="G139" s="154">
        <f t="shared" si="10"/>
        <v>29283150</v>
      </c>
      <c r="H139" s="77"/>
      <c r="I139" s="77"/>
      <c r="J139" s="77"/>
      <c r="K139" s="77"/>
      <c r="M139" s="313"/>
      <c r="N139" s="301"/>
      <c r="O139" s="301"/>
      <c r="P139" s="301"/>
      <c r="Q139" s="301"/>
      <c r="R139" s="301"/>
      <c r="S139" s="301"/>
    </row>
    <row r="140" spans="1:19" ht="14.25">
      <c r="A140" s="355">
        <f t="shared" si="11"/>
        <v>2</v>
      </c>
      <c r="B140" s="355">
        <v>9</v>
      </c>
      <c r="C140" s="355">
        <v>283</v>
      </c>
      <c r="D140" s="356">
        <v>200</v>
      </c>
      <c r="E140" s="355"/>
      <c r="F140" s="343"/>
      <c r="G140" s="154">
        <f t="shared" si="10"/>
        <v>29283200</v>
      </c>
      <c r="H140" s="77"/>
      <c r="I140" s="77"/>
      <c r="J140" s="77"/>
      <c r="K140" s="77"/>
      <c r="M140" s="301"/>
      <c r="N140" s="301"/>
      <c r="O140" s="301"/>
      <c r="P140" s="301"/>
      <c r="Q140" s="301"/>
      <c r="R140" s="301"/>
      <c r="S140" s="301"/>
    </row>
    <row r="141" spans="1:19" ht="14.25">
      <c r="A141" s="355">
        <f t="shared" si="11"/>
        <v>2</v>
      </c>
      <c r="B141" s="355">
        <v>9</v>
      </c>
      <c r="C141" s="355">
        <v>283</v>
      </c>
      <c r="D141" s="356">
        <v>280</v>
      </c>
      <c r="E141" s="355"/>
      <c r="F141" s="343"/>
      <c r="G141" s="154">
        <f t="shared" si="10"/>
        <v>29283280</v>
      </c>
      <c r="H141" s="77"/>
      <c r="I141" s="77"/>
      <c r="J141" s="77"/>
      <c r="K141" s="77"/>
      <c r="M141" s="301"/>
      <c r="N141" s="301"/>
      <c r="O141" s="301"/>
      <c r="P141" s="301"/>
      <c r="Q141" s="301"/>
      <c r="R141" s="301"/>
      <c r="S141" s="301"/>
    </row>
    <row r="142" spans="1:19" ht="14.25">
      <c r="A142" s="355">
        <f t="shared" si="11"/>
        <v>2</v>
      </c>
      <c r="B142" s="355">
        <v>9</v>
      </c>
      <c r="C142" s="355">
        <v>283</v>
      </c>
      <c r="D142" s="356">
        <v>360</v>
      </c>
      <c r="E142" s="355"/>
      <c r="F142" s="343"/>
      <c r="G142" s="154">
        <f t="shared" si="10"/>
        <v>29283360</v>
      </c>
      <c r="H142" s="77"/>
      <c r="I142" s="77"/>
      <c r="J142" s="77"/>
      <c r="K142" s="77"/>
      <c r="M142" s="301"/>
      <c r="N142" s="301"/>
      <c r="O142" s="301"/>
      <c r="P142" s="301"/>
      <c r="Q142" s="301"/>
      <c r="R142" s="301"/>
      <c r="S142" s="301"/>
    </row>
    <row r="143" spans="1:19" ht="14.25">
      <c r="A143" s="355">
        <f t="shared" si="11"/>
        <v>2</v>
      </c>
      <c r="B143" s="355">
        <v>9</v>
      </c>
      <c r="C143" s="355">
        <v>283</v>
      </c>
      <c r="D143" s="356">
        <v>370</v>
      </c>
      <c r="E143" s="355"/>
      <c r="F143" s="343"/>
      <c r="G143" s="154">
        <f t="shared" si="10"/>
        <v>29283370</v>
      </c>
      <c r="H143" s="77"/>
      <c r="I143" s="77"/>
      <c r="J143" s="77"/>
      <c r="K143" s="77"/>
      <c r="M143" s="301"/>
      <c r="N143" s="301"/>
      <c r="O143" s="301"/>
      <c r="P143" s="301"/>
      <c r="Q143" s="301"/>
      <c r="R143" s="301"/>
      <c r="S143" s="301"/>
    </row>
    <row r="144" spans="1:19" ht="14.25">
      <c r="A144" s="355">
        <f t="shared" si="11"/>
        <v>2</v>
      </c>
      <c r="B144" s="355">
        <v>9</v>
      </c>
      <c r="C144" s="355">
        <v>283</v>
      </c>
      <c r="D144" s="356">
        <v>380</v>
      </c>
      <c r="E144" s="355"/>
      <c r="F144" s="343"/>
      <c r="G144" s="154">
        <f t="shared" si="10"/>
        <v>29283380</v>
      </c>
      <c r="H144" s="77"/>
      <c r="I144" s="77"/>
      <c r="J144" s="77"/>
      <c r="K144" s="77"/>
      <c r="M144" s="301"/>
      <c r="N144" s="301"/>
      <c r="O144" s="301"/>
      <c r="P144" s="301"/>
      <c r="Q144" s="301"/>
      <c r="R144" s="301"/>
      <c r="S144" s="301"/>
    </row>
    <row r="145" spans="1:19" ht="14.25">
      <c r="A145" s="355">
        <f t="shared" si="11"/>
        <v>2</v>
      </c>
      <c r="B145" s="355">
        <v>9</v>
      </c>
      <c r="C145" s="355">
        <v>283</v>
      </c>
      <c r="D145" s="356">
        <v>390</v>
      </c>
      <c r="E145" s="355"/>
      <c r="F145" s="343"/>
      <c r="G145" s="154">
        <f t="shared" si="10"/>
        <v>29283390</v>
      </c>
      <c r="H145" s="77"/>
      <c r="I145" s="77"/>
      <c r="J145" s="77"/>
      <c r="K145" s="77"/>
      <c r="M145" s="301"/>
      <c r="N145" s="301"/>
      <c r="O145" s="301"/>
      <c r="P145" s="301"/>
      <c r="Q145" s="301"/>
      <c r="R145" s="301"/>
      <c r="S145" s="301"/>
    </row>
    <row r="146" spans="1:19" ht="14.25">
      <c r="A146" s="355">
        <f t="shared" si="11"/>
        <v>2</v>
      </c>
      <c r="B146" s="355">
        <v>9</v>
      </c>
      <c r="C146" s="355">
        <v>283</v>
      </c>
      <c r="D146" s="356">
        <v>450</v>
      </c>
      <c r="E146" s="355"/>
      <c r="F146" s="343"/>
      <c r="G146" s="154">
        <f t="shared" si="10"/>
        <v>29283450</v>
      </c>
      <c r="H146" s="77"/>
      <c r="I146" s="77"/>
      <c r="J146" s="77"/>
      <c r="K146" s="77"/>
      <c r="M146" s="301"/>
      <c r="N146" s="301"/>
      <c r="O146" s="301"/>
      <c r="P146" s="301"/>
      <c r="Q146" s="301"/>
      <c r="R146" s="301"/>
      <c r="S146" s="301"/>
    </row>
    <row r="147" spans="1:19" ht="14.25">
      <c r="A147" s="355">
        <f t="shared" si="11"/>
        <v>2</v>
      </c>
      <c r="B147" s="355">
        <v>9</v>
      </c>
      <c r="C147" s="355">
        <v>283</v>
      </c>
      <c r="D147" s="356">
        <v>720</v>
      </c>
      <c r="E147" s="355"/>
      <c r="F147" s="343"/>
      <c r="G147" s="154">
        <f t="shared" si="10"/>
        <v>29283720</v>
      </c>
      <c r="H147" s="77"/>
      <c r="I147" s="77"/>
      <c r="J147" s="77"/>
      <c r="K147" s="77"/>
      <c r="M147" s="313"/>
      <c r="N147" s="301"/>
      <c r="O147" s="301"/>
      <c r="P147" s="301"/>
      <c r="Q147" s="301"/>
      <c r="R147" s="301"/>
      <c r="S147" s="301"/>
    </row>
    <row r="148" spans="1:19" ht="14.25">
      <c r="A148" s="355">
        <f t="shared" si="11"/>
        <v>2</v>
      </c>
      <c r="B148" s="355">
        <v>9</v>
      </c>
      <c r="C148" s="355">
        <v>283</v>
      </c>
      <c r="D148" s="356">
        <v>760</v>
      </c>
      <c r="E148" s="355"/>
      <c r="F148" s="343"/>
      <c r="G148" s="154">
        <f t="shared" si="10"/>
        <v>29283760</v>
      </c>
      <c r="H148" s="77"/>
      <c r="I148" s="77"/>
      <c r="J148" s="77"/>
      <c r="K148" s="77"/>
      <c r="M148" s="301"/>
      <c r="N148" s="301"/>
      <c r="O148" s="301"/>
      <c r="P148" s="301"/>
      <c r="Q148" s="301"/>
      <c r="R148" s="301"/>
      <c r="S148" s="301"/>
    </row>
    <row r="149" spans="1:19" ht="14.25">
      <c r="A149" s="355">
        <f t="shared" si="11"/>
        <v>2</v>
      </c>
      <c r="B149" s="355">
        <v>9</v>
      </c>
      <c r="C149" s="355">
        <v>283</v>
      </c>
      <c r="D149" s="356">
        <v>850</v>
      </c>
      <c r="E149" s="355"/>
      <c r="F149" s="343"/>
      <c r="G149" s="154">
        <f t="shared" si="10"/>
        <v>29283850</v>
      </c>
      <c r="H149" s="77"/>
      <c r="I149" s="77"/>
      <c r="J149" s="77"/>
      <c r="K149" s="77"/>
      <c r="M149" s="313"/>
      <c r="N149" s="301"/>
      <c r="O149" s="301"/>
      <c r="P149" s="301"/>
      <c r="Q149" s="301"/>
      <c r="R149" s="301"/>
      <c r="S149" s="301"/>
    </row>
    <row r="150" spans="1:19" ht="14.25">
      <c r="A150" s="355"/>
      <c r="B150" s="355"/>
      <c r="C150" s="355"/>
      <c r="D150" s="356"/>
      <c r="E150" s="355"/>
      <c r="F150" s="343"/>
      <c r="G150" s="343"/>
      <c r="H150" s="77"/>
      <c r="I150" s="77"/>
      <c r="J150" s="77"/>
      <c r="K150" s="77"/>
      <c r="M150" s="301"/>
      <c r="N150" s="301"/>
      <c r="O150" s="301"/>
      <c r="P150" s="301"/>
      <c r="Q150" s="301"/>
      <c r="R150" s="301"/>
      <c r="S150" s="301"/>
    </row>
    <row r="151" spans="1:19" ht="14.25">
      <c r="A151" s="358" t="s">
        <v>825</v>
      </c>
      <c r="B151" s="355"/>
      <c r="C151" s="355"/>
      <c r="D151" s="356"/>
      <c r="E151" s="357"/>
      <c r="F151" s="348"/>
      <c r="G151" s="348"/>
      <c r="H151" s="77"/>
      <c r="I151" s="77"/>
      <c r="J151" s="77"/>
      <c r="K151" s="77"/>
      <c r="M151" s="301"/>
      <c r="N151" s="301"/>
      <c r="O151" s="301"/>
      <c r="P151" s="301"/>
      <c r="Q151" s="301"/>
      <c r="R151" s="301"/>
      <c r="S151" s="301"/>
    </row>
    <row r="152" spans="1:19" ht="14.25">
      <c r="A152" s="355">
        <f aca="true" t="shared" si="12" ref="A152:A174">IF(months=1,1,2)</f>
        <v>2</v>
      </c>
      <c r="B152" s="355">
        <v>0</v>
      </c>
      <c r="C152" s="355">
        <v>997</v>
      </c>
      <c r="D152" s="361">
        <v>0</v>
      </c>
      <c r="E152" s="355"/>
      <c r="F152" s="343"/>
      <c r="G152" s="154">
        <f>A152*10000000+B152*1000000+C152*1000+D152</f>
        <v>20997000</v>
      </c>
      <c r="H152" s="77">
        <v>-70907423</v>
      </c>
      <c r="I152" s="77">
        <v>-70907423</v>
      </c>
      <c r="J152" s="77">
        <v>0</v>
      </c>
      <c r="K152" s="77">
        <v>0</v>
      </c>
      <c r="M152" s="301"/>
      <c r="N152" s="301"/>
      <c r="O152" s="301"/>
      <c r="P152" s="301"/>
      <c r="Q152" s="301"/>
      <c r="R152" s="301"/>
      <c r="S152" s="301"/>
    </row>
    <row r="153" spans="1:19" ht="14.25">
      <c r="A153" s="355">
        <f t="shared" si="12"/>
        <v>2</v>
      </c>
      <c r="B153" s="355">
        <v>0</v>
      </c>
      <c r="C153" s="355">
        <v>997</v>
      </c>
      <c r="D153" s="361">
        <v>1</v>
      </c>
      <c r="E153" s="355"/>
      <c r="F153" s="343"/>
      <c r="G153" s="154">
        <f>A153*10000000+B153*1000000+C153*1000+D153</f>
        <v>20997001</v>
      </c>
      <c r="H153" s="77">
        <v>-6319513</v>
      </c>
      <c r="I153" s="77">
        <v>-6319513</v>
      </c>
      <c r="J153" s="77">
        <v>0</v>
      </c>
      <c r="K153" s="77">
        <v>0</v>
      </c>
      <c r="M153" s="301"/>
      <c r="N153" s="301"/>
      <c r="O153" s="301"/>
      <c r="P153" s="301"/>
      <c r="Q153" s="301"/>
      <c r="R153" s="301"/>
      <c r="S153" s="301"/>
    </row>
    <row r="154" spans="1:19" ht="14.25">
      <c r="A154" s="355">
        <f t="shared" si="12"/>
        <v>2</v>
      </c>
      <c r="B154" s="355">
        <v>0</v>
      </c>
      <c r="C154" s="355">
        <v>997</v>
      </c>
      <c r="D154" s="361">
        <v>2</v>
      </c>
      <c r="E154" s="355"/>
      <c r="F154" s="343"/>
      <c r="G154" s="154">
        <f>A154*10000000+B154*1000000+C154*1000+D154</f>
        <v>20997002</v>
      </c>
      <c r="H154" s="77">
        <v>-160500</v>
      </c>
      <c r="I154" s="77">
        <v>-160500</v>
      </c>
      <c r="J154" s="77">
        <v>0</v>
      </c>
      <c r="K154" s="77">
        <v>0</v>
      </c>
      <c r="M154" s="301"/>
      <c r="N154" s="301"/>
      <c r="O154" s="301"/>
      <c r="P154" s="301"/>
      <c r="Q154" s="301"/>
      <c r="R154" s="301"/>
      <c r="S154" s="301"/>
    </row>
    <row r="155" spans="1:19" ht="14.25">
      <c r="A155" s="355">
        <f t="shared" si="12"/>
        <v>2</v>
      </c>
      <c r="B155" s="355">
        <v>0</v>
      </c>
      <c r="C155" s="355">
        <v>997</v>
      </c>
      <c r="D155" s="361">
        <v>3</v>
      </c>
      <c r="E155" s="355"/>
      <c r="F155" s="343"/>
      <c r="G155" s="154">
        <f>A155*10000000+B155*1000000+C155*1000+D155</f>
        <v>20997003</v>
      </c>
      <c r="H155" s="77">
        <v>293034</v>
      </c>
      <c r="I155" s="77">
        <v>293034</v>
      </c>
      <c r="J155" s="77">
        <v>0</v>
      </c>
      <c r="K155" s="77">
        <v>0</v>
      </c>
      <c r="M155" s="301"/>
      <c r="N155" s="301"/>
      <c r="O155" s="301"/>
      <c r="P155" s="301"/>
      <c r="Q155" s="301"/>
      <c r="R155" s="301"/>
      <c r="S155" s="301"/>
    </row>
    <row r="156" spans="1:19" ht="14.25">
      <c r="A156" s="355">
        <f t="shared" si="12"/>
        <v>2</v>
      </c>
      <c r="B156" s="355">
        <v>0</v>
      </c>
      <c r="C156" s="355">
        <v>997</v>
      </c>
      <c r="D156" s="361">
        <v>4</v>
      </c>
      <c r="E156" s="355"/>
      <c r="F156" s="343"/>
      <c r="G156" s="154">
        <f>A156*10000000+B156*1000000+C156*1000+D156</f>
        <v>20997004</v>
      </c>
      <c r="H156" s="77">
        <v>103624</v>
      </c>
      <c r="I156" s="77">
        <v>0</v>
      </c>
      <c r="J156" s="77">
        <v>0</v>
      </c>
      <c r="K156" s="77">
        <v>103624</v>
      </c>
      <c r="M156" s="301"/>
      <c r="N156" s="301"/>
      <c r="O156" s="301"/>
      <c r="P156" s="301"/>
      <c r="Q156" s="301"/>
      <c r="R156" s="301"/>
      <c r="S156" s="301"/>
    </row>
    <row r="157" spans="1:19" ht="14.25">
      <c r="A157" s="355">
        <f t="shared" si="12"/>
        <v>2</v>
      </c>
      <c r="B157" s="355">
        <v>0</v>
      </c>
      <c r="C157" s="355">
        <v>997</v>
      </c>
      <c r="D157" s="361">
        <v>5</v>
      </c>
      <c r="E157" s="355"/>
      <c r="F157" s="343"/>
      <c r="G157" s="154">
        <f aca="true" t="shared" si="13" ref="G157:G193">A157*10000000+B157*1000000+C157*1000+D157</f>
        <v>20997005</v>
      </c>
      <c r="H157" s="77">
        <v>1149089</v>
      </c>
      <c r="I157" s="77">
        <v>1149089</v>
      </c>
      <c r="J157" s="77">
        <v>0</v>
      </c>
      <c r="K157" s="77">
        <v>0</v>
      </c>
      <c r="M157" s="301"/>
      <c r="N157" s="301"/>
      <c r="O157" s="301"/>
      <c r="P157" s="301"/>
      <c r="Q157" s="301"/>
      <c r="R157" s="301"/>
      <c r="S157" s="301"/>
    </row>
    <row r="158" spans="1:19" ht="14.25">
      <c r="A158" s="355">
        <f t="shared" si="12"/>
        <v>2</v>
      </c>
      <c r="B158" s="355">
        <v>0</v>
      </c>
      <c r="C158" s="355">
        <v>997</v>
      </c>
      <c r="D158" s="361">
        <v>6</v>
      </c>
      <c r="E158" s="355"/>
      <c r="F158" s="343"/>
      <c r="G158" s="154">
        <f t="shared" si="13"/>
        <v>20997006</v>
      </c>
      <c r="H158" s="77"/>
      <c r="I158" s="77"/>
      <c r="J158" s="77"/>
      <c r="K158" s="77"/>
      <c r="M158" s="301"/>
      <c r="N158" s="301"/>
      <c r="O158" s="301"/>
      <c r="P158" s="301"/>
      <c r="Q158" s="301"/>
      <c r="R158" s="301"/>
      <c r="S158" s="301"/>
    </row>
    <row r="159" spans="1:19" ht="14.25">
      <c r="A159" s="355">
        <f t="shared" si="12"/>
        <v>2</v>
      </c>
      <c r="B159" s="355">
        <v>0</v>
      </c>
      <c r="C159" s="355">
        <v>997</v>
      </c>
      <c r="D159" s="361">
        <v>7</v>
      </c>
      <c r="E159" s="355"/>
      <c r="F159" s="343"/>
      <c r="G159" s="154">
        <f t="shared" si="13"/>
        <v>20997007</v>
      </c>
      <c r="H159" s="77">
        <v>5557383</v>
      </c>
      <c r="I159" s="77">
        <v>5557383</v>
      </c>
      <c r="J159" s="77">
        <v>0</v>
      </c>
      <c r="K159" s="77">
        <v>0</v>
      </c>
      <c r="M159" s="301"/>
      <c r="N159" s="301"/>
      <c r="O159" s="301"/>
      <c r="P159" s="301"/>
      <c r="Q159" s="301"/>
      <c r="R159" s="301"/>
      <c r="S159" s="301"/>
    </row>
    <row r="160" spans="1:19" ht="14.25">
      <c r="A160" s="355">
        <f t="shared" si="12"/>
        <v>2</v>
      </c>
      <c r="B160" s="355">
        <v>0</v>
      </c>
      <c r="C160" s="355">
        <v>997</v>
      </c>
      <c r="D160" s="343">
        <v>8</v>
      </c>
      <c r="E160" s="355"/>
      <c r="F160" s="343"/>
      <c r="G160" s="154">
        <f t="shared" si="13"/>
        <v>20997008</v>
      </c>
      <c r="H160" s="77">
        <v>-1280292</v>
      </c>
      <c r="I160" s="77">
        <v>-1280292</v>
      </c>
      <c r="J160" s="77">
        <v>0</v>
      </c>
      <c r="K160" s="77">
        <v>0</v>
      </c>
      <c r="M160" s="301"/>
      <c r="N160" s="301"/>
      <c r="O160" s="301"/>
      <c r="P160" s="301"/>
      <c r="Q160" s="301"/>
      <c r="R160" s="301"/>
      <c r="S160" s="301"/>
    </row>
    <row r="161" spans="1:19" ht="14.25">
      <c r="A161" s="355">
        <f t="shared" si="12"/>
        <v>2</v>
      </c>
      <c r="B161" s="355">
        <v>0</v>
      </c>
      <c r="C161" s="355">
        <v>997</v>
      </c>
      <c r="D161" s="343">
        <v>9</v>
      </c>
      <c r="E161" s="355"/>
      <c r="F161" s="343"/>
      <c r="G161" s="154">
        <f t="shared" si="13"/>
        <v>20997009</v>
      </c>
      <c r="H161" s="77">
        <v>33828</v>
      </c>
      <c r="I161" s="77">
        <v>33828</v>
      </c>
      <c r="J161" s="77">
        <v>0</v>
      </c>
      <c r="K161" s="77">
        <v>0</v>
      </c>
      <c r="M161" s="301"/>
      <c r="N161" s="301"/>
      <c r="O161" s="301"/>
      <c r="P161" s="301"/>
      <c r="Q161" s="301"/>
      <c r="R161" s="301"/>
      <c r="S161" s="301"/>
    </row>
    <row r="162" spans="1:19" ht="14.25">
      <c r="A162" s="355">
        <f t="shared" si="12"/>
        <v>2</v>
      </c>
      <c r="B162" s="355">
        <v>0</v>
      </c>
      <c r="C162" s="355">
        <v>997</v>
      </c>
      <c r="D162" s="343">
        <v>12</v>
      </c>
      <c r="E162" s="355"/>
      <c r="F162" s="343"/>
      <c r="G162" s="154">
        <f>A162*10000000+B162*1000000+C162*1000+D162</f>
        <v>20997012</v>
      </c>
      <c r="H162" s="77">
        <v>68575</v>
      </c>
      <c r="I162" s="77">
        <v>68575</v>
      </c>
      <c r="J162" s="77">
        <v>0</v>
      </c>
      <c r="K162" s="77">
        <v>0</v>
      </c>
      <c r="M162" s="301"/>
      <c r="N162" s="301"/>
      <c r="O162" s="301"/>
      <c r="P162" s="301"/>
      <c r="Q162" s="301"/>
      <c r="R162" s="301"/>
      <c r="S162" s="301"/>
    </row>
    <row r="163" spans="1:19" ht="14.25">
      <c r="A163" s="355">
        <f t="shared" si="12"/>
        <v>2</v>
      </c>
      <c r="B163" s="355">
        <v>0</v>
      </c>
      <c r="C163" s="355">
        <v>997</v>
      </c>
      <c r="D163" s="343">
        <v>15</v>
      </c>
      <c r="E163" s="355"/>
      <c r="F163" s="343"/>
      <c r="G163" s="154">
        <f t="shared" si="13"/>
        <v>20997015</v>
      </c>
      <c r="H163" s="77">
        <v>-213596</v>
      </c>
      <c r="I163" s="77">
        <v>-213596</v>
      </c>
      <c r="J163" s="77">
        <v>0</v>
      </c>
      <c r="K163" s="77">
        <v>0</v>
      </c>
      <c r="M163" s="301"/>
      <c r="N163" s="301"/>
      <c r="O163" s="301"/>
      <c r="P163" s="301"/>
      <c r="Q163" s="301"/>
      <c r="R163" s="301"/>
      <c r="S163" s="301"/>
    </row>
    <row r="164" spans="1:19" ht="14.25">
      <c r="A164" s="355">
        <f t="shared" si="12"/>
        <v>2</v>
      </c>
      <c r="B164" s="355">
        <v>0</v>
      </c>
      <c r="C164" s="355">
        <v>997</v>
      </c>
      <c r="D164" s="343">
        <v>16</v>
      </c>
      <c r="E164" s="355"/>
      <c r="F164" s="343"/>
      <c r="G164" s="154">
        <f t="shared" si="13"/>
        <v>20997016</v>
      </c>
      <c r="H164" s="77">
        <v>-3434804</v>
      </c>
      <c r="I164" s="77">
        <v>-3434804</v>
      </c>
      <c r="J164" s="77">
        <v>0</v>
      </c>
      <c r="K164" s="77">
        <v>0</v>
      </c>
      <c r="M164" s="301"/>
      <c r="N164" s="301"/>
      <c r="O164" s="301"/>
      <c r="P164" s="301"/>
      <c r="Q164" s="301"/>
      <c r="R164" s="301"/>
      <c r="S164" s="301"/>
    </row>
    <row r="165" spans="1:19" ht="14.25">
      <c r="A165" s="355">
        <f t="shared" si="12"/>
        <v>2</v>
      </c>
      <c r="B165" s="355">
        <v>0</v>
      </c>
      <c r="C165" s="355">
        <v>997</v>
      </c>
      <c r="D165" s="343">
        <v>17</v>
      </c>
      <c r="E165" s="355"/>
      <c r="F165" s="343"/>
      <c r="G165" s="154">
        <f t="shared" si="13"/>
        <v>20997017</v>
      </c>
      <c r="H165" s="77">
        <v>-2450030</v>
      </c>
      <c r="I165" s="77">
        <v>-2450030</v>
      </c>
      <c r="J165" s="77">
        <v>0</v>
      </c>
      <c r="K165" s="77">
        <v>0</v>
      </c>
      <c r="M165" s="301"/>
      <c r="N165" s="301"/>
      <c r="O165" s="301"/>
      <c r="P165" s="301"/>
      <c r="Q165" s="301"/>
      <c r="R165" s="301"/>
      <c r="S165" s="301"/>
    </row>
    <row r="166" spans="1:19" ht="14.25">
      <c r="A166" s="355">
        <f t="shared" si="12"/>
        <v>2</v>
      </c>
      <c r="B166" s="355">
        <v>0</v>
      </c>
      <c r="C166" s="355">
        <v>997</v>
      </c>
      <c r="D166" s="343">
        <v>18</v>
      </c>
      <c r="E166" s="355"/>
      <c r="F166" s="343"/>
      <c r="G166" s="154">
        <f t="shared" si="13"/>
        <v>20997018</v>
      </c>
      <c r="H166" s="77">
        <v>2414257</v>
      </c>
      <c r="I166" s="77">
        <v>-320000</v>
      </c>
      <c r="J166" s="77">
        <v>1578925</v>
      </c>
      <c r="K166" s="77">
        <v>1155332</v>
      </c>
      <c r="M166" s="301"/>
      <c r="N166" s="301"/>
      <c r="O166" s="301"/>
      <c r="P166" s="301"/>
      <c r="Q166" s="301"/>
      <c r="R166" s="301"/>
      <c r="S166" s="301"/>
    </row>
    <row r="167" spans="1:19" ht="14.25">
      <c r="A167" s="355">
        <f t="shared" si="12"/>
        <v>2</v>
      </c>
      <c r="B167" s="355">
        <v>0</v>
      </c>
      <c r="C167" s="355">
        <v>997</v>
      </c>
      <c r="D167" s="343">
        <v>19</v>
      </c>
      <c r="E167" s="355"/>
      <c r="F167" s="343"/>
      <c r="G167" s="154">
        <f>A167*10000000+B167*1000000+C167*1000+D167</f>
        <v>20997019</v>
      </c>
      <c r="H167" s="77">
        <v>-138890</v>
      </c>
      <c r="I167" s="77">
        <v>0</v>
      </c>
      <c r="J167" s="77">
        <v>-83340</v>
      </c>
      <c r="K167" s="77">
        <v>-55550</v>
      </c>
      <c r="M167" s="301"/>
      <c r="N167" s="301"/>
      <c r="O167" s="301"/>
      <c r="P167" s="301"/>
      <c r="Q167" s="301"/>
      <c r="R167" s="301"/>
      <c r="S167" s="301"/>
    </row>
    <row r="168" spans="1:19" ht="14.25">
      <c r="A168" s="355">
        <f t="shared" si="12"/>
        <v>2</v>
      </c>
      <c r="B168" s="355">
        <v>0</v>
      </c>
      <c r="C168" s="355">
        <v>997</v>
      </c>
      <c r="D168" s="343">
        <v>20</v>
      </c>
      <c r="E168" s="355"/>
      <c r="F168" s="343"/>
      <c r="G168" s="154">
        <f t="shared" si="13"/>
        <v>20997020</v>
      </c>
      <c r="H168" s="77">
        <v>1629179</v>
      </c>
      <c r="I168" s="77">
        <v>1629179</v>
      </c>
      <c r="J168" s="77">
        <v>0</v>
      </c>
      <c r="K168" s="77">
        <v>0</v>
      </c>
      <c r="M168" s="301"/>
      <c r="N168" s="301"/>
      <c r="O168" s="301"/>
      <c r="P168" s="301"/>
      <c r="Q168" s="301"/>
      <c r="R168" s="301"/>
      <c r="S168" s="301"/>
    </row>
    <row r="169" spans="1:19" ht="14.25">
      <c r="A169" s="355">
        <f t="shared" si="12"/>
        <v>2</v>
      </c>
      <c r="B169" s="355">
        <v>0</v>
      </c>
      <c r="C169" s="355">
        <v>997</v>
      </c>
      <c r="D169" s="343">
        <v>21</v>
      </c>
      <c r="E169" s="355"/>
      <c r="F169" s="343"/>
      <c r="G169" s="154">
        <f>A169*10000000+B169*1000000+C169*1000+D169</f>
        <v>20997021</v>
      </c>
      <c r="H169" s="77">
        <v>-1018612</v>
      </c>
      <c r="I169" s="77">
        <v>0</v>
      </c>
      <c r="J169" s="77">
        <v>-785184</v>
      </c>
      <c r="K169" s="77">
        <v>-233428</v>
      </c>
      <c r="M169" s="301"/>
      <c r="N169" s="301"/>
      <c r="O169" s="301"/>
      <c r="P169" s="301"/>
      <c r="Q169" s="301"/>
      <c r="R169" s="301"/>
      <c r="S169" s="301"/>
    </row>
    <row r="170" spans="1:19" ht="14.25">
      <c r="A170" s="355">
        <f t="shared" si="12"/>
        <v>2</v>
      </c>
      <c r="B170" s="355">
        <v>0</v>
      </c>
      <c r="C170" s="355">
        <v>997</v>
      </c>
      <c r="D170" s="343">
        <v>22</v>
      </c>
      <c r="E170" s="355"/>
      <c r="F170" s="343"/>
      <c r="G170" s="154">
        <f t="shared" si="13"/>
        <v>20997022</v>
      </c>
      <c r="H170" s="77"/>
      <c r="I170" s="77"/>
      <c r="J170" s="77"/>
      <c r="K170" s="77"/>
      <c r="M170" s="301"/>
      <c r="N170" s="301"/>
      <c r="O170" s="301"/>
      <c r="P170" s="301"/>
      <c r="Q170" s="301"/>
      <c r="R170" s="301"/>
      <c r="S170" s="301"/>
    </row>
    <row r="171" spans="1:19" ht="14.25">
      <c r="A171" s="355">
        <f t="shared" si="12"/>
        <v>2</v>
      </c>
      <c r="B171" s="355">
        <v>0</v>
      </c>
      <c r="C171" s="355">
        <v>997</v>
      </c>
      <c r="D171" s="343">
        <v>23</v>
      </c>
      <c r="E171" s="355"/>
      <c r="F171" s="343"/>
      <c r="G171" s="154">
        <f t="shared" si="13"/>
        <v>20997023</v>
      </c>
      <c r="H171" s="77"/>
      <c r="I171" s="77"/>
      <c r="J171" s="77"/>
      <c r="K171" s="77"/>
      <c r="M171" s="301"/>
      <c r="N171" s="301"/>
      <c r="O171" s="301"/>
      <c r="P171" s="301"/>
      <c r="Q171" s="301"/>
      <c r="R171" s="301"/>
      <c r="S171" s="301"/>
    </row>
    <row r="172" spans="1:19" ht="14.25">
      <c r="A172" s="355">
        <f t="shared" si="12"/>
        <v>2</v>
      </c>
      <c r="B172" s="355">
        <v>0</v>
      </c>
      <c r="C172" s="355">
        <v>997</v>
      </c>
      <c r="D172" s="343">
        <v>24</v>
      </c>
      <c r="E172" s="355"/>
      <c r="F172" s="343"/>
      <c r="G172" s="154">
        <f>A172*10000000+B172*1000000+C172*1000+D172</f>
        <v>20997024</v>
      </c>
      <c r="H172" s="77">
        <v>135088</v>
      </c>
      <c r="I172" s="77">
        <v>0</v>
      </c>
      <c r="J172" s="77">
        <v>135088</v>
      </c>
      <c r="K172" s="77">
        <v>0</v>
      </c>
      <c r="M172" s="301"/>
      <c r="N172" s="301"/>
      <c r="O172" s="301"/>
      <c r="P172" s="301"/>
      <c r="Q172" s="301"/>
      <c r="R172" s="301"/>
      <c r="S172" s="301"/>
    </row>
    <row r="173" spans="1:19" ht="14.25">
      <c r="A173" s="355">
        <f t="shared" si="12"/>
        <v>2</v>
      </c>
      <c r="B173" s="355">
        <v>0</v>
      </c>
      <c r="C173" s="355">
        <v>997</v>
      </c>
      <c r="D173" s="343">
        <v>25</v>
      </c>
      <c r="E173" s="355"/>
      <c r="F173" s="343"/>
      <c r="G173" s="154">
        <f t="shared" si="13"/>
        <v>20997025</v>
      </c>
      <c r="H173" s="77">
        <v>326610</v>
      </c>
      <c r="I173" s="77">
        <v>326610</v>
      </c>
      <c r="J173" s="77">
        <v>0</v>
      </c>
      <c r="K173" s="77">
        <v>0</v>
      </c>
      <c r="M173" s="301"/>
      <c r="N173" s="301"/>
      <c r="O173" s="301"/>
      <c r="P173" s="301"/>
      <c r="Q173" s="301"/>
      <c r="R173" s="301"/>
      <c r="S173" s="301"/>
    </row>
    <row r="174" spans="1:19" ht="14.25">
      <c r="A174" s="355">
        <f t="shared" si="12"/>
        <v>2</v>
      </c>
      <c r="B174" s="355">
        <v>0</v>
      </c>
      <c r="C174" s="355">
        <v>997</v>
      </c>
      <c r="D174" s="343">
        <v>28</v>
      </c>
      <c r="E174" s="355"/>
      <c r="F174" s="343"/>
      <c r="G174" s="154">
        <f>A174*10000000+B174*1000000+C174*1000+D174</f>
        <v>20997028</v>
      </c>
      <c r="H174" s="77">
        <v>-229014</v>
      </c>
      <c r="I174" s="77">
        <v>0</v>
      </c>
      <c r="J174" s="77">
        <v>-158211</v>
      </c>
      <c r="K174" s="77">
        <v>-70803</v>
      </c>
      <c r="M174" s="301"/>
      <c r="N174" s="301"/>
      <c r="O174" s="301"/>
      <c r="P174" s="301"/>
      <c r="Q174" s="301"/>
      <c r="R174" s="301"/>
      <c r="S174" s="301"/>
    </row>
    <row r="175" spans="1:19" ht="14.25">
      <c r="A175" s="355">
        <f aca="true" t="shared" si="14" ref="A175:A190">IF(months=1,1,2)</f>
        <v>2</v>
      </c>
      <c r="B175" s="355">
        <v>0</v>
      </c>
      <c r="C175" s="355">
        <v>997</v>
      </c>
      <c r="D175" s="343">
        <v>29</v>
      </c>
      <c r="E175" s="355"/>
      <c r="F175" s="343"/>
      <c r="G175" s="154">
        <f t="shared" si="13"/>
        <v>20997029</v>
      </c>
      <c r="H175" s="77">
        <v>-339358</v>
      </c>
      <c r="I175" s="77">
        <v>0</v>
      </c>
      <c r="J175" s="77">
        <v>-250573</v>
      </c>
      <c r="K175" s="77">
        <v>-88785</v>
      </c>
      <c r="M175" s="301"/>
      <c r="N175" s="301"/>
      <c r="O175" s="301"/>
      <c r="P175" s="301"/>
      <c r="Q175" s="301"/>
      <c r="R175" s="301"/>
      <c r="S175" s="301"/>
    </row>
    <row r="176" spans="1:19" ht="14.25">
      <c r="A176" s="355">
        <f t="shared" si="14"/>
        <v>2</v>
      </c>
      <c r="B176" s="355"/>
      <c r="C176" s="355">
        <v>997</v>
      </c>
      <c r="D176" s="343">
        <v>32</v>
      </c>
      <c r="E176" s="355"/>
      <c r="F176" s="343"/>
      <c r="G176" s="154">
        <f t="shared" si="13"/>
        <v>20997032</v>
      </c>
      <c r="H176" s="77">
        <v>11080234</v>
      </c>
      <c r="I176" s="77">
        <v>11080234</v>
      </c>
      <c r="J176" s="77">
        <v>0</v>
      </c>
      <c r="K176" s="77">
        <v>0</v>
      </c>
      <c r="M176" s="301"/>
      <c r="N176" s="301"/>
      <c r="O176" s="301"/>
      <c r="P176" s="301"/>
      <c r="Q176" s="301"/>
      <c r="R176" s="301"/>
      <c r="S176" s="301"/>
    </row>
    <row r="177" spans="1:19" ht="14.25">
      <c r="A177" s="355">
        <f t="shared" si="14"/>
        <v>2</v>
      </c>
      <c r="B177" s="355">
        <v>0</v>
      </c>
      <c r="C177" s="355">
        <v>997</v>
      </c>
      <c r="D177" s="343">
        <v>33</v>
      </c>
      <c r="E177" s="355"/>
      <c r="F177" s="343"/>
      <c r="G177" s="154">
        <f t="shared" si="13"/>
        <v>20997033</v>
      </c>
      <c r="H177" s="77">
        <v>-6016517</v>
      </c>
      <c r="I177" s="77">
        <v>0</v>
      </c>
      <c r="J177" s="77">
        <v>-4145039</v>
      </c>
      <c r="K177" s="77">
        <v>-1871478</v>
      </c>
      <c r="M177" s="301"/>
      <c r="N177" s="301"/>
      <c r="O177" s="301"/>
      <c r="P177" s="301"/>
      <c r="Q177" s="301"/>
      <c r="R177" s="301"/>
      <c r="S177" s="301"/>
    </row>
    <row r="178" spans="1:19" ht="14.25">
      <c r="A178" s="355">
        <f t="shared" si="14"/>
        <v>2</v>
      </c>
      <c r="B178" s="355">
        <v>0</v>
      </c>
      <c r="C178" s="355">
        <v>997</v>
      </c>
      <c r="D178" s="343">
        <v>34</v>
      </c>
      <c r="E178" s="355"/>
      <c r="F178" s="343"/>
      <c r="G178" s="154">
        <f>A178*10000000+B178*1000000+C178*1000+D178</f>
        <v>20997034</v>
      </c>
      <c r="H178" s="77">
        <v>7255782</v>
      </c>
      <c r="I178" s="77">
        <v>0</v>
      </c>
      <c r="J178" s="77">
        <v>4739334</v>
      </c>
      <c r="K178" s="77">
        <v>2516448</v>
      </c>
      <c r="M178" s="301"/>
      <c r="N178" s="301"/>
      <c r="O178" s="301"/>
      <c r="P178" s="301"/>
      <c r="Q178" s="301"/>
      <c r="R178" s="301"/>
      <c r="S178" s="301"/>
    </row>
    <row r="179" spans="1:19" ht="14.25">
      <c r="A179" s="355">
        <f t="shared" si="14"/>
        <v>2</v>
      </c>
      <c r="B179" s="355">
        <v>0</v>
      </c>
      <c r="C179" s="355">
        <v>997</v>
      </c>
      <c r="D179" s="343">
        <v>36</v>
      </c>
      <c r="E179" s="355"/>
      <c r="F179" s="343"/>
      <c r="G179" s="154">
        <f t="shared" si="13"/>
        <v>20997036</v>
      </c>
      <c r="H179" s="77"/>
      <c r="I179" s="77"/>
      <c r="J179" s="77"/>
      <c r="K179" s="77"/>
      <c r="M179" s="301"/>
      <c r="N179" s="301"/>
      <c r="O179" s="301"/>
      <c r="P179" s="301"/>
      <c r="Q179" s="301"/>
      <c r="R179" s="301"/>
      <c r="S179" s="301"/>
    </row>
    <row r="180" spans="1:19" ht="14.25">
      <c r="A180" s="355">
        <f t="shared" si="14"/>
        <v>2</v>
      </c>
      <c r="B180" s="355">
        <v>0</v>
      </c>
      <c r="C180" s="355">
        <v>997</v>
      </c>
      <c r="D180" s="343">
        <v>38</v>
      </c>
      <c r="E180" s="355"/>
      <c r="F180" s="343"/>
      <c r="G180" s="154">
        <f t="shared" si="13"/>
        <v>20997038</v>
      </c>
      <c r="H180" s="77"/>
      <c r="I180" s="77"/>
      <c r="J180" s="77"/>
      <c r="K180" s="77"/>
      <c r="M180" s="301"/>
      <c r="N180" s="301"/>
      <c r="O180" s="301"/>
      <c r="P180" s="301"/>
      <c r="Q180" s="301"/>
      <c r="R180" s="301"/>
      <c r="S180" s="301"/>
    </row>
    <row r="181" spans="1:19" ht="14.25">
      <c r="A181" s="355">
        <f t="shared" si="14"/>
        <v>2</v>
      </c>
      <c r="B181" s="355">
        <v>0</v>
      </c>
      <c r="C181" s="355">
        <v>997</v>
      </c>
      <c r="D181" s="343">
        <v>45</v>
      </c>
      <c r="E181" s="355"/>
      <c r="F181" s="343"/>
      <c r="G181" s="154">
        <f>A181*10000000+B181*1000000+C181*1000+D181</f>
        <v>20997045</v>
      </c>
      <c r="H181" s="77">
        <v>4600498</v>
      </c>
      <c r="I181" s="77">
        <v>4600498</v>
      </c>
      <c r="J181" s="77">
        <v>0</v>
      </c>
      <c r="K181" s="77">
        <v>0</v>
      </c>
      <c r="M181" s="301"/>
      <c r="N181" s="301"/>
      <c r="O181" s="301"/>
      <c r="P181" s="301"/>
      <c r="Q181" s="301"/>
      <c r="R181" s="301"/>
      <c r="S181" s="301"/>
    </row>
    <row r="182" spans="1:19" ht="14.25">
      <c r="A182" s="355">
        <f t="shared" si="14"/>
        <v>2</v>
      </c>
      <c r="B182" s="355">
        <v>0</v>
      </c>
      <c r="C182" s="355">
        <v>997</v>
      </c>
      <c r="D182" s="343">
        <v>40</v>
      </c>
      <c r="E182" s="355"/>
      <c r="F182" s="343"/>
      <c r="G182" s="154">
        <f t="shared" si="13"/>
        <v>20997040</v>
      </c>
      <c r="H182" s="77"/>
      <c r="I182" s="77"/>
      <c r="J182" s="77"/>
      <c r="K182" s="77"/>
      <c r="M182" s="301"/>
      <c r="N182" s="301"/>
      <c r="O182" s="301"/>
      <c r="P182" s="301"/>
      <c r="Q182" s="301"/>
      <c r="R182" s="301"/>
      <c r="S182" s="301"/>
    </row>
    <row r="183" spans="1:19" ht="14.25">
      <c r="A183" s="355">
        <f t="shared" si="14"/>
        <v>2</v>
      </c>
      <c r="B183" s="355">
        <v>0</v>
      </c>
      <c r="C183" s="355">
        <v>997</v>
      </c>
      <c r="D183" s="343">
        <v>41</v>
      </c>
      <c r="E183" s="355"/>
      <c r="F183" s="343"/>
      <c r="G183" s="154">
        <f t="shared" si="13"/>
        <v>20997041</v>
      </c>
      <c r="H183" s="77">
        <v>3839441</v>
      </c>
      <c r="I183" s="77">
        <v>3839441</v>
      </c>
      <c r="J183" s="77">
        <v>0</v>
      </c>
      <c r="K183" s="77">
        <v>0</v>
      </c>
      <c r="M183" s="301"/>
      <c r="N183" s="301"/>
      <c r="O183" s="301"/>
      <c r="P183" s="301"/>
      <c r="Q183" s="301"/>
      <c r="R183" s="301"/>
      <c r="S183" s="301"/>
    </row>
    <row r="184" spans="1:19" ht="14.25">
      <c r="A184" s="355">
        <f t="shared" si="14"/>
        <v>2</v>
      </c>
      <c r="B184" s="355">
        <v>0</v>
      </c>
      <c r="C184" s="355">
        <v>997</v>
      </c>
      <c r="D184" s="343">
        <v>43</v>
      </c>
      <c r="E184" s="355"/>
      <c r="F184" s="343"/>
      <c r="G184" s="154">
        <f t="shared" si="13"/>
        <v>20997043</v>
      </c>
      <c r="H184" s="77">
        <v>-17668384</v>
      </c>
      <c r="I184" s="77">
        <v>0</v>
      </c>
      <c r="J184" s="77">
        <v>-17668384</v>
      </c>
      <c r="K184" s="77">
        <v>0</v>
      </c>
      <c r="M184" s="301"/>
      <c r="N184" s="301"/>
      <c r="O184" s="301"/>
      <c r="P184" s="301"/>
      <c r="Q184" s="301"/>
      <c r="R184" s="301"/>
      <c r="S184" s="301"/>
    </row>
    <row r="185" spans="1:19" ht="14.25">
      <c r="A185" s="355">
        <f t="shared" si="14"/>
        <v>2</v>
      </c>
      <c r="B185" s="355">
        <v>0</v>
      </c>
      <c r="C185" s="355">
        <v>997</v>
      </c>
      <c r="D185" s="343">
        <v>44</v>
      </c>
      <c r="E185" s="355"/>
      <c r="F185" s="343"/>
      <c r="G185" s="154">
        <f t="shared" si="13"/>
        <v>20997044</v>
      </c>
      <c r="H185" s="77">
        <v>242498</v>
      </c>
      <c r="I185" s="77">
        <v>242498</v>
      </c>
      <c r="J185" s="77">
        <v>0</v>
      </c>
      <c r="K185" s="77">
        <v>0</v>
      </c>
      <c r="M185" s="301"/>
      <c r="N185" s="301"/>
      <c r="O185" s="301"/>
      <c r="P185" s="301"/>
      <c r="Q185" s="301"/>
      <c r="R185" s="301"/>
      <c r="S185" s="301"/>
    </row>
    <row r="186" spans="1:19" ht="14.25">
      <c r="A186" s="355">
        <f t="shared" si="14"/>
        <v>2</v>
      </c>
      <c r="B186" s="355">
        <v>0</v>
      </c>
      <c r="C186" s="355">
        <v>997</v>
      </c>
      <c r="D186" s="343">
        <v>46</v>
      </c>
      <c r="E186" s="355"/>
      <c r="F186" s="343"/>
      <c r="G186" s="154">
        <f t="shared" si="13"/>
        <v>20997046</v>
      </c>
      <c r="H186" s="77">
        <v>16796</v>
      </c>
      <c r="I186" s="77">
        <v>-5502</v>
      </c>
      <c r="J186" s="77">
        <v>27510</v>
      </c>
      <c r="K186" s="77">
        <v>-5212</v>
      </c>
      <c r="M186" s="301"/>
      <c r="N186" s="301"/>
      <c r="O186" s="301"/>
      <c r="P186" s="301"/>
      <c r="Q186" s="301"/>
      <c r="R186" s="301"/>
      <c r="S186" s="301"/>
    </row>
    <row r="187" spans="1:19" ht="14.25">
      <c r="A187" s="355">
        <f t="shared" si="14"/>
        <v>2</v>
      </c>
      <c r="B187" s="355">
        <v>0</v>
      </c>
      <c r="C187" s="355">
        <v>997</v>
      </c>
      <c r="D187" s="343">
        <v>47</v>
      </c>
      <c r="E187" s="355"/>
      <c r="F187" s="343"/>
      <c r="G187" s="154">
        <f t="shared" si="13"/>
        <v>20997047</v>
      </c>
      <c r="H187" s="77">
        <v>421455</v>
      </c>
      <c r="I187" s="77">
        <v>421455</v>
      </c>
      <c r="J187" s="77">
        <v>0</v>
      </c>
      <c r="K187" s="77">
        <v>0</v>
      </c>
      <c r="M187" s="301"/>
      <c r="N187" s="301"/>
      <c r="O187" s="301"/>
      <c r="P187" s="301"/>
      <c r="Q187" s="301"/>
      <c r="R187" s="301"/>
      <c r="S187" s="301"/>
    </row>
    <row r="188" spans="1:19" ht="14.25">
      <c r="A188" s="355">
        <f t="shared" si="14"/>
        <v>2</v>
      </c>
      <c r="B188" s="355">
        <v>0</v>
      </c>
      <c r="C188" s="355">
        <v>997</v>
      </c>
      <c r="D188" s="343">
        <v>48</v>
      </c>
      <c r="E188" s="355"/>
      <c r="F188" s="343"/>
      <c r="G188" s="154">
        <f t="shared" si="13"/>
        <v>20997048</v>
      </c>
      <c r="H188" s="77">
        <v>1233453</v>
      </c>
      <c r="I188" s="77">
        <v>1233453</v>
      </c>
      <c r="J188" s="77">
        <v>0</v>
      </c>
      <c r="K188" s="77">
        <v>0</v>
      </c>
      <c r="M188" s="301"/>
      <c r="N188" s="301"/>
      <c r="O188" s="301"/>
      <c r="P188" s="301"/>
      <c r="Q188" s="301"/>
      <c r="R188" s="301"/>
      <c r="S188" s="301"/>
    </row>
    <row r="189" spans="1:19" ht="14.25">
      <c r="A189" s="355">
        <f t="shared" si="14"/>
        <v>2</v>
      </c>
      <c r="B189" s="355">
        <v>0</v>
      </c>
      <c r="C189" s="355">
        <v>997</v>
      </c>
      <c r="D189" s="343">
        <v>49</v>
      </c>
      <c r="E189" s="355"/>
      <c r="F189" s="343"/>
      <c r="G189" s="154">
        <f t="shared" si="13"/>
        <v>20997049</v>
      </c>
      <c r="H189" s="77">
        <v>93843040</v>
      </c>
      <c r="I189" s="77">
        <v>93843040</v>
      </c>
      <c r="J189" s="77">
        <v>0</v>
      </c>
      <c r="K189" s="77">
        <v>0</v>
      </c>
      <c r="M189" s="301"/>
      <c r="N189" s="301"/>
      <c r="O189" s="301"/>
      <c r="P189" s="301"/>
      <c r="Q189" s="301"/>
      <c r="R189" s="301"/>
      <c r="S189" s="301"/>
    </row>
    <row r="190" spans="1:19" ht="14.25">
      <c r="A190" s="355">
        <f t="shared" si="14"/>
        <v>2</v>
      </c>
      <c r="B190" s="355">
        <v>0</v>
      </c>
      <c r="C190" s="355">
        <v>997</v>
      </c>
      <c r="D190" s="343">
        <v>50</v>
      </c>
      <c r="E190" s="355"/>
      <c r="F190" s="343"/>
      <c r="G190" s="154">
        <f>A190*10000000+B190*1000000+C190*1000+D190</f>
        <v>20997050</v>
      </c>
      <c r="H190" s="77">
        <v>201779</v>
      </c>
      <c r="I190" s="77">
        <v>0</v>
      </c>
      <c r="J190" s="77">
        <v>0</v>
      </c>
      <c r="K190" s="77">
        <v>201779</v>
      </c>
      <c r="M190" s="301"/>
      <c r="N190" s="301"/>
      <c r="O190" s="301"/>
      <c r="P190" s="301"/>
      <c r="Q190" s="301"/>
      <c r="R190" s="301"/>
      <c r="S190" s="301"/>
    </row>
    <row r="191" spans="1:19" ht="14.25">
      <c r="A191" s="355">
        <f aca="true" t="shared" si="15" ref="A191:A198">IF(months=1,1,2)</f>
        <v>2</v>
      </c>
      <c r="B191" s="355">
        <v>0</v>
      </c>
      <c r="C191" s="355">
        <v>997</v>
      </c>
      <c r="D191" s="343">
        <v>57</v>
      </c>
      <c r="E191" s="355"/>
      <c r="F191" s="343"/>
      <c r="G191" s="154">
        <f t="shared" si="13"/>
        <v>20997057</v>
      </c>
      <c r="H191" s="77">
        <v>-64205887</v>
      </c>
      <c r="I191" s="77">
        <v>-64205887</v>
      </c>
      <c r="J191" s="77">
        <v>0</v>
      </c>
      <c r="K191" s="77">
        <v>0</v>
      </c>
      <c r="M191" s="301"/>
      <c r="N191" s="301"/>
      <c r="O191" s="301"/>
      <c r="P191" s="301"/>
      <c r="Q191" s="301"/>
      <c r="R191" s="301"/>
      <c r="S191" s="301"/>
    </row>
    <row r="192" spans="1:19" ht="14.25">
      <c r="A192" s="355">
        <f t="shared" si="15"/>
        <v>2</v>
      </c>
      <c r="B192" s="355"/>
      <c r="C192" s="355">
        <v>997</v>
      </c>
      <c r="D192" s="343">
        <v>58</v>
      </c>
      <c r="E192" s="355"/>
      <c r="F192" s="343"/>
      <c r="G192" s="154">
        <f t="shared" si="13"/>
        <v>20997058</v>
      </c>
      <c r="H192" s="77">
        <v>985295</v>
      </c>
      <c r="I192" s="77">
        <v>0</v>
      </c>
      <c r="J192" s="77">
        <v>0</v>
      </c>
      <c r="K192" s="77">
        <v>985295</v>
      </c>
      <c r="M192" s="301"/>
      <c r="N192" s="301"/>
      <c r="O192" s="301"/>
      <c r="P192" s="301"/>
      <c r="Q192" s="301"/>
      <c r="R192" s="301"/>
      <c r="S192" s="301"/>
    </row>
    <row r="193" spans="1:19" ht="14.25">
      <c r="A193" s="355">
        <f t="shared" si="15"/>
        <v>2</v>
      </c>
      <c r="B193" s="355"/>
      <c r="C193" s="355">
        <v>997</v>
      </c>
      <c r="D193" s="343">
        <v>59</v>
      </c>
      <c r="E193" s="355"/>
      <c r="F193" s="343"/>
      <c r="G193" s="154">
        <f t="shared" si="13"/>
        <v>20997059</v>
      </c>
      <c r="H193" s="77">
        <v>1797238</v>
      </c>
      <c r="I193" s="77">
        <v>0</v>
      </c>
      <c r="J193" s="77">
        <v>1797238</v>
      </c>
      <c r="K193" s="77">
        <v>0</v>
      </c>
      <c r="M193" s="301"/>
      <c r="N193" s="301"/>
      <c r="O193" s="301"/>
      <c r="P193" s="301"/>
      <c r="Q193" s="301"/>
      <c r="R193" s="301"/>
      <c r="S193" s="301"/>
    </row>
    <row r="194" spans="1:19" ht="14.25">
      <c r="A194" s="355">
        <f t="shared" si="15"/>
        <v>2</v>
      </c>
      <c r="B194" s="355">
        <v>0</v>
      </c>
      <c r="C194" s="355">
        <v>997</v>
      </c>
      <c r="D194" s="343">
        <v>61</v>
      </c>
      <c r="E194" s="355"/>
      <c r="F194" s="343"/>
      <c r="G194" s="154">
        <f>A194*10000000+B194*1000000+C194*1000+D194</f>
        <v>20997061</v>
      </c>
      <c r="H194" s="77"/>
      <c r="I194" s="77"/>
      <c r="J194" s="77"/>
      <c r="K194" s="77"/>
      <c r="M194" s="301"/>
      <c r="N194" s="301"/>
      <c r="O194" s="301"/>
      <c r="P194" s="301"/>
      <c r="Q194" s="301"/>
      <c r="R194" s="301"/>
      <c r="S194" s="301"/>
    </row>
    <row r="195" spans="1:19" ht="14.25">
      <c r="A195" s="355">
        <f t="shared" si="15"/>
        <v>2</v>
      </c>
      <c r="B195" s="355">
        <v>0</v>
      </c>
      <c r="C195" s="355">
        <v>997</v>
      </c>
      <c r="D195" s="343">
        <v>62</v>
      </c>
      <c r="E195" s="355"/>
      <c r="F195" s="343"/>
      <c r="G195" s="154">
        <f>A195*10000000+B195*1000000+C195*1000+D195</f>
        <v>20997062</v>
      </c>
      <c r="H195" s="77">
        <v>196092</v>
      </c>
      <c r="I195" s="77">
        <v>196092</v>
      </c>
      <c r="J195" s="77">
        <v>0</v>
      </c>
      <c r="K195" s="77">
        <v>0</v>
      </c>
      <c r="M195" s="301"/>
      <c r="N195" s="301"/>
      <c r="O195" s="301"/>
      <c r="P195" s="301"/>
      <c r="Q195" s="301"/>
      <c r="R195" s="301"/>
      <c r="S195" s="301"/>
    </row>
    <row r="196" spans="1:19" ht="14.25">
      <c r="A196" s="355">
        <f t="shared" si="15"/>
        <v>2</v>
      </c>
      <c r="B196" s="355">
        <v>0</v>
      </c>
      <c r="C196" s="355">
        <v>997</v>
      </c>
      <c r="D196" s="343">
        <v>64</v>
      </c>
      <c r="E196" s="355"/>
      <c r="F196" s="343"/>
      <c r="G196" s="154">
        <f>A196*10000000+B196*1000000+C196*1000+D196</f>
        <v>20997064</v>
      </c>
      <c r="H196" s="77"/>
      <c r="I196" s="77"/>
      <c r="J196" s="77"/>
      <c r="K196" s="77"/>
      <c r="M196" s="301"/>
      <c r="N196" s="301"/>
      <c r="O196" s="301"/>
      <c r="P196" s="301"/>
      <c r="Q196" s="301"/>
      <c r="R196" s="301"/>
      <c r="S196" s="301"/>
    </row>
    <row r="197" spans="1:19" ht="14.25">
      <c r="A197" s="355">
        <f t="shared" si="15"/>
        <v>2</v>
      </c>
      <c r="B197" s="355">
        <v>0</v>
      </c>
      <c r="C197" s="355">
        <v>997</v>
      </c>
      <c r="D197" s="343">
        <v>65</v>
      </c>
      <c r="E197" s="355"/>
      <c r="F197" s="343"/>
      <c r="G197" s="154">
        <f>A197*10000000+B197*1000000+C197*1000+D197</f>
        <v>20997065</v>
      </c>
      <c r="H197" s="77">
        <v>107820</v>
      </c>
      <c r="I197" s="77">
        <v>0</v>
      </c>
      <c r="J197" s="77">
        <v>-64349</v>
      </c>
      <c r="K197" s="77">
        <v>172169</v>
      </c>
      <c r="M197" s="301"/>
      <c r="N197" s="301"/>
      <c r="O197" s="301"/>
      <c r="P197" s="301"/>
      <c r="Q197" s="301"/>
      <c r="R197" s="301"/>
      <c r="S197" s="301"/>
    </row>
    <row r="198" spans="1:19" ht="14.25">
      <c r="A198" s="355">
        <f t="shared" si="15"/>
        <v>2</v>
      </c>
      <c r="B198" s="355">
        <v>0</v>
      </c>
      <c r="C198" s="355">
        <v>997</v>
      </c>
      <c r="D198" s="343">
        <v>66</v>
      </c>
      <c r="E198" s="355"/>
      <c r="F198" s="343"/>
      <c r="G198" s="154">
        <f>A198*10000000+B198*1000000+C198*1000+D198</f>
        <v>20997066</v>
      </c>
      <c r="H198" s="77">
        <v>-1377583</v>
      </c>
      <c r="I198" s="77">
        <v>-1377583</v>
      </c>
      <c r="J198" s="77">
        <v>0</v>
      </c>
      <c r="K198" s="77">
        <v>0</v>
      </c>
      <c r="M198" s="301"/>
      <c r="N198" s="301"/>
      <c r="O198" s="301"/>
      <c r="P198" s="301"/>
      <c r="Q198" s="301"/>
      <c r="R198" s="301"/>
      <c r="S198" s="301"/>
    </row>
    <row r="199" spans="1:19" ht="14.25">
      <c r="A199" s="355"/>
      <c r="B199" s="355"/>
      <c r="C199" s="355"/>
      <c r="D199" s="356"/>
      <c r="E199" s="355"/>
      <c r="F199" s="343"/>
      <c r="G199" s="343"/>
      <c r="H199" s="77"/>
      <c r="I199" s="77"/>
      <c r="J199" s="77"/>
      <c r="K199" s="77"/>
      <c r="M199" s="301"/>
      <c r="N199" s="301"/>
      <c r="O199" s="301"/>
      <c r="P199" s="301"/>
      <c r="Q199" s="301"/>
      <c r="R199" s="301"/>
      <c r="S199" s="301"/>
    </row>
    <row r="200" spans="1:19" ht="14.25">
      <c r="A200" s="357" t="s">
        <v>826</v>
      </c>
      <c r="B200" s="355"/>
      <c r="C200" s="355"/>
      <c r="D200" s="356"/>
      <c r="E200" s="355"/>
      <c r="F200" s="343"/>
      <c r="G200" s="343"/>
      <c r="H200" s="77"/>
      <c r="I200" s="77"/>
      <c r="J200" s="77"/>
      <c r="K200" s="77"/>
      <c r="M200" s="301"/>
      <c r="N200" s="301"/>
      <c r="O200" s="301"/>
      <c r="P200" s="301"/>
      <c r="Q200" s="301"/>
      <c r="R200" s="301"/>
      <c r="S200" s="301"/>
    </row>
    <row r="201" spans="1:19" ht="14.25">
      <c r="A201" s="355">
        <f aca="true" t="shared" si="16" ref="A201:A216">IF(months=1,1,2)</f>
        <v>2</v>
      </c>
      <c r="B201" s="355">
        <v>0</v>
      </c>
      <c r="C201" s="355">
        <v>440</v>
      </c>
      <c r="D201" s="343">
        <v>0</v>
      </c>
      <c r="E201" s="355"/>
      <c r="F201" s="343"/>
      <c r="G201" s="154">
        <f>A201*10000000+B201*1000000+C201*1000+D201</f>
        <v>20440000</v>
      </c>
      <c r="H201" s="77">
        <v>-272327519</v>
      </c>
      <c r="I201" s="77">
        <v>0</v>
      </c>
      <c r="J201" s="77">
        <v>-186986591</v>
      </c>
      <c r="K201" s="77">
        <v>-85340929</v>
      </c>
      <c r="M201" s="301"/>
      <c r="N201" s="301"/>
      <c r="O201" s="301"/>
      <c r="P201" s="301"/>
      <c r="Q201" s="301"/>
      <c r="R201" s="301"/>
      <c r="S201" s="301"/>
    </row>
    <row r="202" spans="1:19" ht="14.25">
      <c r="A202" s="355">
        <f t="shared" si="16"/>
        <v>2</v>
      </c>
      <c r="B202" s="355">
        <v>0</v>
      </c>
      <c r="C202" s="355">
        <v>442</v>
      </c>
      <c r="D202" s="343">
        <v>200</v>
      </c>
      <c r="E202" s="355"/>
      <c r="F202" s="343"/>
      <c r="G202" s="154">
        <f>A202*10000000+B202*1000000+C202*1000+D202</f>
        <v>20442200</v>
      </c>
      <c r="H202" s="77">
        <v>-238780110</v>
      </c>
      <c r="I202" s="77">
        <v>0</v>
      </c>
      <c r="J202" s="77">
        <v>-170107963</v>
      </c>
      <c r="K202" s="77">
        <v>-68672147</v>
      </c>
      <c r="M202" s="301"/>
      <c r="N202" s="301"/>
      <c r="O202" s="301"/>
      <c r="P202" s="301"/>
      <c r="Q202" s="301"/>
      <c r="R202" s="301"/>
      <c r="S202" s="301"/>
    </row>
    <row r="203" spans="1:19" ht="14.25">
      <c r="A203" s="355">
        <f t="shared" si="16"/>
        <v>2</v>
      </c>
      <c r="B203" s="355">
        <v>0</v>
      </c>
      <c r="C203" s="355">
        <v>442</v>
      </c>
      <c r="D203" s="343">
        <v>300</v>
      </c>
      <c r="E203" s="355"/>
      <c r="F203" s="343"/>
      <c r="G203" s="154">
        <f>A203*10000000+B203*1000000+C203*1000+D203</f>
        <v>20442300</v>
      </c>
      <c r="H203" s="77">
        <v>-99389699</v>
      </c>
      <c r="I203" s="77">
        <v>0</v>
      </c>
      <c r="J203" s="77">
        <v>-44465378</v>
      </c>
      <c r="K203" s="77">
        <v>-54924321</v>
      </c>
      <c r="M203" s="301"/>
      <c r="N203" s="301"/>
      <c r="O203" s="301"/>
      <c r="P203" s="301"/>
      <c r="Q203" s="301"/>
      <c r="R203" s="301"/>
      <c r="S203" s="301"/>
    </row>
    <row r="204" spans="1:19" ht="14.25">
      <c r="A204" s="355">
        <f t="shared" si="16"/>
        <v>2</v>
      </c>
      <c r="B204" s="355">
        <v>0</v>
      </c>
      <c r="C204" s="355">
        <v>444</v>
      </c>
      <c r="D204" s="343">
        <v>0</v>
      </c>
      <c r="E204" s="355"/>
      <c r="F204" s="343"/>
      <c r="G204" s="154">
        <f>A204*10000000+B204*1000000+C204*1000+D204</f>
        <v>20444000</v>
      </c>
      <c r="H204" s="77">
        <v>-5805643</v>
      </c>
      <c r="I204" s="77">
        <v>0</v>
      </c>
      <c r="J204" s="77">
        <v>-4032361</v>
      </c>
      <c r="K204" s="77">
        <v>-1773282</v>
      </c>
      <c r="M204" s="301"/>
      <c r="N204" s="301"/>
      <c r="O204" s="301"/>
      <c r="P204" s="301"/>
      <c r="Q204" s="301"/>
      <c r="R204" s="301"/>
      <c r="S204" s="301"/>
    </row>
    <row r="205" spans="1:19" ht="14.25">
      <c r="A205" s="355">
        <f t="shared" si="16"/>
        <v>2</v>
      </c>
      <c r="B205" s="355">
        <v>0</v>
      </c>
      <c r="C205" s="355">
        <v>499</v>
      </c>
      <c r="D205" s="356"/>
      <c r="E205" s="355"/>
      <c r="F205" s="343"/>
      <c r="G205" s="154">
        <f>A205*10000000+B205*1000000+C205*1000+D205</f>
        <v>20499000</v>
      </c>
      <c r="H205" s="77">
        <v>-2513996</v>
      </c>
      <c r="I205" s="77">
        <v>0</v>
      </c>
      <c r="J205" s="77">
        <v>-2256609</v>
      </c>
      <c r="K205" s="77">
        <v>-257387</v>
      </c>
      <c r="M205" s="301"/>
      <c r="N205" s="301"/>
      <c r="O205" s="301"/>
      <c r="P205" s="301"/>
      <c r="Q205" s="301"/>
      <c r="R205" s="301"/>
      <c r="S205" s="301"/>
    </row>
    <row r="206" spans="1:19" ht="14.25">
      <c r="A206" s="355">
        <f t="shared" si="16"/>
        <v>2</v>
      </c>
      <c r="B206" s="355">
        <v>0</v>
      </c>
      <c r="C206" s="355">
        <v>447</v>
      </c>
      <c r="D206" s="343"/>
      <c r="E206" s="355"/>
      <c r="F206" s="343"/>
      <c r="G206" s="154">
        <f aca="true" t="shared" si="17" ref="G206:G215">A206*10000000+B206*1000000+C206*1000+D206</f>
        <v>20447000</v>
      </c>
      <c r="H206" s="77">
        <v>-195818801</v>
      </c>
      <c r="I206" s="77">
        <v>-195818801</v>
      </c>
      <c r="J206" s="77">
        <v>0</v>
      </c>
      <c r="K206" s="77">
        <v>0</v>
      </c>
      <c r="M206" s="301"/>
      <c r="N206" s="301"/>
      <c r="O206" s="301"/>
      <c r="P206" s="301"/>
      <c r="Q206" s="301"/>
      <c r="R206" s="301"/>
      <c r="S206" s="301"/>
    </row>
    <row r="207" spans="1:19" ht="14.25">
      <c r="A207" s="355">
        <f t="shared" si="16"/>
        <v>2</v>
      </c>
      <c r="B207" s="355">
        <v>0</v>
      </c>
      <c r="C207" s="355">
        <v>448</v>
      </c>
      <c r="D207" s="343">
        <v>0</v>
      </c>
      <c r="E207" s="355"/>
      <c r="F207" s="343"/>
      <c r="G207" s="154">
        <f t="shared" si="17"/>
        <v>20448000</v>
      </c>
      <c r="H207" s="77">
        <v>-945270</v>
      </c>
      <c r="I207" s="77">
        <v>0</v>
      </c>
      <c r="J207" s="77">
        <v>-800312</v>
      </c>
      <c r="K207" s="77">
        <v>-144958</v>
      </c>
      <c r="M207" s="301"/>
      <c r="N207" s="301"/>
      <c r="O207" s="301"/>
      <c r="P207" s="301"/>
      <c r="Q207" s="301"/>
      <c r="R207" s="301"/>
      <c r="S207" s="301"/>
    </row>
    <row r="208" spans="1:19" ht="14.25">
      <c r="A208" s="355">
        <f t="shared" si="16"/>
        <v>2</v>
      </c>
      <c r="B208" s="355">
        <v>0</v>
      </c>
      <c r="C208" s="355">
        <v>451</v>
      </c>
      <c r="D208" s="343">
        <v>0</v>
      </c>
      <c r="E208" s="355"/>
      <c r="F208" s="343"/>
      <c r="G208" s="154">
        <f t="shared" si="17"/>
        <v>20451000</v>
      </c>
      <c r="H208" s="77">
        <v>-585757</v>
      </c>
      <c r="I208" s="77">
        <v>0</v>
      </c>
      <c r="J208" s="77">
        <v>-370593</v>
      </c>
      <c r="K208" s="77">
        <v>-215164</v>
      </c>
      <c r="M208" s="301"/>
      <c r="N208" s="301"/>
      <c r="O208" s="301"/>
      <c r="P208" s="301"/>
      <c r="Q208" s="301"/>
      <c r="R208" s="301"/>
      <c r="S208" s="301"/>
    </row>
    <row r="209" spans="1:19" ht="14.25">
      <c r="A209" s="355">
        <f t="shared" si="16"/>
        <v>2</v>
      </c>
      <c r="B209" s="355">
        <v>0</v>
      </c>
      <c r="C209" s="355">
        <v>453</v>
      </c>
      <c r="D209" s="343">
        <v>0</v>
      </c>
      <c r="E209" s="355"/>
      <c r="F209" s="343"/>
      <c r="G209" s="154">
        <f t="shared" si="17"/>
        <v>20453000</v>
      </c>
      <c r="H209" s="77">
        <v>-303486</v>
      </c>
      <c r="I209" s="77">
        <v>-303486</v>
      </c>
      <c r="J209" s="77">
        <v>0</v>
      </c>
      <c r="K209" s="77">
        <v>0</v>
      </c>
      <c r="M209" s="301"/>
      <c r="N209" s="301"/>
      <c r="O209" s="301"/>
      <c r="P209" s="301"/>
      <c r="Q209" s="301"/>
      <c r="R209" s="301"/>
      <c r="S209" s="301"/>
    </row>
    <row r="210" spans="1:19" ht="14.25">
      <c r="A210" s="355">
        <f t="shared" si="16"/>
        <v>2</v>
      </c>
      <c r="B210" s="355">
        <v>0</v>
      </c>
      <c r="C210" s="355">
        <v>454</v>
      </c>
      <c r="D210" s="343">
        <v>0</v>
      </c>
      <c r="E210" s="355"/>
      <c r="F210" s="343"/>
      <c r="G210" s="154">
        <f t="shared" si="17"/>
        <v>20454000</v>
      </c>
      <c r="H210" s="77">
        <v>-2778122</v>
      </c>
      <c r="I210" s="77">
        <v>-57264</v>
      </c>
      <c r="J210" s="77">
        <v>-1926028</v>
      </c>
      <c r="K210" s="77">
        <v>-794829</v>
      </c>
      <c r="M210" s="301" t="s">
        <v>422</v>
      </c>
      <c r="N210" s="301"/>
      <c r="O210" s="301"/>
      <c r="P210" s="301"/>
      <c r="Q210" s="301"/>
      <c r="R210" s="301"/>
      <c r="S210" s="301"/>
    </row>
    <row r="211" spans="1:19" ht="14.25">
      <c r="A211" s="355">
        <f t="shared" si="16"/>
        <v>2</v>
      </c>
      <c r="B211" s="355">
        <v>0</v>
      </c>
      <c r="C211" s="355">
        <v>454</v>
      </c>
      <c r="D211" s="356">
        <v>15</v>
      </c>
      <c r="E211" s="355"/>
      <c r="F211" s="343"/>
      <c r="G211" s="154">
        <f t="shared" si="17"/>
        <v>20454015</v>
      </c>
      <c r="H211" s="77"/>
      <c r="I211" s="77"/>
      <c r="J211" s="77"/>
      <c r="K211" s="77"/>
      <c r="M211" s="301" t="s">
        <v>423</v>
      </c>
      <c r="N211" s="301"/>
      <c r="O211" s="301"/>
      <c r="P211" s="301"/>
      <c r="Q211" s="301"/>
      <c r="R211" s="301"/>
      <c r="S211" s="301"/>
    </row>
    <row r="212" spans="1:19" ht="14.25">
      <c r="A212" s="355">
        <f t="shared" si="16"/>
        <v>2</v>
      </c>
      <c r="B212" s="355">
        <v>0</v>
      </c>
      <c r="C212" s="355">
        <v>454</v>
      </c>
      <c r="D212" s="356">
        <v>20</v>
      </c>
      <c r="E212" s="355"/>
      <c r="F212" s="343"/>
      <c r="G212" s="154">
        <f t="shared" si="17"/>
        <v>20454020</v>
      </c>
      <c r="H212" s="77"/>
      <c r="I212" s="77"/>
      <c r="J212" s="77"/>
      <c r="K212" s="77"/>
      <c r="M212" s="301" t="s">
        <v>424</v>
      </c>
      <c r="N212" s="301"/>
      <c r="O212" s="301"/>
      <c r="P212" s="301"/>
      <c r="Q212" s="301"/>
      <c r="R212" s="301"/>
      <c r="S212" s="301"/>
    </row>
    <row r="213" spans="1:19" ht="14.25">
      <c r="A213" s="355">
        <f t="shared" si="16"/>
        <v>2</v>
      </c>
      <c r="B213" s="355">
        <v>0</v>
      </c>
      <c r="C213" s="355">
        <v>454</v>
      </c>
      <c r="D213" s="356">
        <v>48</v>
      </c>
      <c r="E213" s="355"/>
      <c r="F213" s="343"/>
      <c r="G213" s="154">
        <f t="shared" si="17"/>
        <v>20454048</v>
      </c>
      <c r="H213" s="77"/>
      <c r="I213" s="77"/>
      <c r="J213" s="77"/>
      <c r="K213" s="77"/>
      <c r="M213" s="301" t="s">
        <v>421</v>
      </c>
      <c r="N213" s="301"/>
      <c r="O213" s="301"/>
      <c r="P213" s="301"/>
      <c r="Q213" s="301"/>
      <c r="R213" s="301"/>
      <c r="S213" s="301"/>
    </row>
    <row r="214" spans="1:19" ht="14.25">
      <c r="A214" s="355">
        <f t="shared" si="16"/>
        <v>2</v>
      </c>
      <c r="B214" s="355">
        <v>0</v>
      </c>
      <c r="C214" s="355">
        <v>454</v>
      </c>
      <c r="D214" s="356">
        <v>53</v>
      </c>
      <c r="E214" s="355"/>
      <c r="F214" s="343"/>
      <c r="G214" s="154">
        <f t="shared" si="17"/>
        <v>20454053</v>
      </c>
      <c r="H214" s="77"/>
      <c r="I214" s="77"/>
      <c r="J214" s="77"/>
      <c r="K214" s="77"/>
      <c r="M214" s="301" t="s">
        <v>425</v>
      </c>
      <c r="N214" s="301"/>
      <c r="O214" s="301"/>
      <c r="P214" s="301"/>
      <c r="Q214" s="301"/>
      <c r="R214" s="301"/>
      <c r="S214" s="301"/>
    </row>
    <row r="215" spans="1:19" ht="14.25">
      <c r="A215" s="355">
        <f t="shared" si="16"/>
        <v>2</v>
      </c>
      <c r="B215" s="355">
        <v>0</v>
      </c>
      <c r="C215" s="355">
        <v>454</v>
      </c>
      <c r="D215" s="356">
        <v>85</v>
      </c>
      <c r="E215" s="355"/>
      <c r="F215" s="343"/>
      <c r="G215" s="154">
        <f t="shared" si="17"/>
        <v>20454085</v>
      </c>
      <c r="H215" s="77"/>
      <c r="I215" s="77"/>
      <c r="J215" s="77"/>
      <c r="K215" s="77"/>
      <c r="M215" s="301" t="s">
        <v>426</v>
      </c>
      <c r="N215" s="301"/>
      <c r="O215" s="301"/>
      <c r="P215" s="301"/>
      <c r="Q215" s="301"/>
      <c r="R215" s="301"/>
      <c r="S215" s="301"/>
    </row>
    <row r="216" spans="1:19" ht="14.25">
      <c r="A216" s="355">
        <f t="shared" si="16"/>
        <v>2</v>
      </c>
      <c r="B216" s="355">
        <v>0</v>
      </c>
      <c r="C216" s="355">
        <v>456</v>
      </c>
      <c r="D216" s="343"/>
      <c r="E216" s="355"/>
      <c r="F216" s="343"/>
      <c r="G216" s="154">
        <f>A216*10000000+B216*1000000+C216*1000+D216</f>
        <v>20456000</v>
      </c>
      <c r="H216" s="77">
        <v>-52658745</v>
      </c>
      <c r="I216" s="77">
        <v>-52548333</v>
      </c>
      <c r="J216" s="77">
        <v>-101336</v>
      </c>
      <c r="K216" s="77">
        <v>-9076</v>
      </c>
      <c r="M216" s="301"/>
      <c r="N216" s="301"/>
      <c r="O216" s="301"/>
      <c r="P216" s="301"/>
      <c r="Q216" s="301"/>
      <c r="R216" s="301"/>
      <c r="S216" s="301"/>
    </row>
    <row r="217" spans="1:19" ht="14.25">
      <c r="A217" s="355"/>
      <c r="B217" s="355">
        <v>0</v>
      </c>
      <c r="C217" s="355"/>
      <c r="D217" s="356"/>
      <c r="E217" s="355"/>
      <c r="F217" s="343"/>
      <c r="G217" s="147"/>
      <c r="H217" s="77"/>
      <c r="I217" s="77"/>
      <c r="J217" s="77"/>
      <c r="K217" s="77"/>
      <c r="M217" s="301"/>
      <c r="N217" s="301"/>
      <c r="O217" s="301"/>
      <c r="P217" s="301"/>
      <c r="Q217" s="301"/>
      <c r="R217" s="301"/>
      <c r="S217" s="301"/>
    </row>
    <row r="218" spans="1:19" ht="14.25">
      <c r="A218" s="357" t="s">
        <v>827</v>
      </c>
      <c r="B218" s="355"/>
      <c r="C218" s="355"/>
      <c r="D218" s="356"/>
      <c r="E218" s="355"/>
      <c r="F218" s="343"/>
      <c r="G218" s="343"/>
      <c r="H218" s="77"/>
      <c r="I218" s="77"/>
      <c r="J218" s="77"/>
      <c r="K218" s="77"/>
      <c r="M218" s="301"/>
      <c r="N218" s="301"/>
      <c r="O218" s="301"/>
      <c r="P218" s="301"/>
      <c r="Q218" s="301"/>
      <c r="R218" s="301"/>
      <c r="S218" s="301"/>
    </row>
    <row r="219" spans="1:19" ht="14.25">
      <c r="A219" s="355">
        <f aca="true" t="shared" si="18" ref="A219:A250">IF(months=1,1,2)</f>
        <v>2</v>
      </c>
      <c r="B219" s="355">
        <v>0</v>
      </c>
      <c r="C219" s="355">
        <v>500</v>
      </c>
      <c r="D219" s="343">
        <v>0</v>
      </c>
      <c r="E219" s="355"/>
      <c r="F219" s="343"/>
      <c r="G219" s="154">
        <f aca="true" t="shared" si="19" ref="G219:G245">A219*10000000+B219*1000000+C219*1000+D219</f>
        <v>20500000</v>
      </c>
      <c r="H219" s="77">
        <v>326225</v>
      </c>
      <c r="I219" s="77">
        <v>326225</v>
      </c>
      <c r="J219" s="77">
        <v>0</v>
      </c>
      <c r="K219" s="77">
        <v>0</v>
      </c>
      <c r="M219" s="301"/>
      <c r="N219" s="301"/>
      <c r="O219" s="301"/>
      <c r="P219" s="301"/>
      <c r="Q219" s="301"/>
      <c r="R219" s="301"/>
      <c r="S219" s="301"/>
    </row>
    <row r="220" spans="1:19" ht="14.25">
      <c r="A220" s="355">
        <f t="shared" si="18"/>
        <v>2</v>
      </c>
      <c r="B220" s="355">
        <v>0</v>
      </c>
      <c r="C220" s="355">
        <v>501</v>
      </c>
      <c r="D220" s="343">
        <v>0</v>
      </c>
      <c r="E220" s="355"/>
      <c r="F220" s="343"/>
      <c r="G220" s="154">
        <f t="shared" si="19"/>
        <v>20501000</v>
      </c>
      <c r="H220" s="77">
        <v>26579426</v>
      </c>
      <c r="I220" s="77">
        <v>26579426</v>
      </c>
      <c r="J220" s="77">
        <v>0</v>
      </c>
      <c r="K220" s="77">
        <v>0</v>
      </c>
      <c r="M220" s="301"/>
      <c r="N220" s="301"/>
      <c r="O220" s="301"/>
      <c r="P220" s="301"/>
      <c r="Q220" s="301"/>
      <c r="R220" s="301"/>
      <c r="S220" s="301"/>
    </row>
    <row r="221" spans="1:19" ht="14.25">
      <c r="A221" s="355">
        <f t="shared" si="18"/>
        <v>2</v>
      </c>
      <c r="B221" s="355">
        <v>0</v>
      </c>
      <c r="C221" s="355">
        <v>502</v>
      </c>
      <c r="D221" s="343">
        <v>0</v>
      </c>
      <c r="E221" s="355"/>
      <c r="F221" s="343"/>
      <c r="G221" s="154">
        <f t="shared" si="19"/>
        <v>20502000</v>
      </c>
      <c r="H221" s="77">
        <v>1861758</v>
      </c>
      <c r="I221" s="77">
        <v>1861758</v>
      </c>
      <c r="J221" s="77">
        <v>0</v>
      </c>
      <c r="K221" s="77">
        <v>0</v>
      </c>
      <c r="M221" s="301"/>
      <c r="N221" s="301"/>
      <c r="O221" s="301"/>
      <c r="P221" s="301"/>
      <c r="Q221" s="301"/>
      <c r="R221" s="301"/>
      <c r="S221" s="301"/>
    </row>
    <row r="222" spans="1:19" ht="14.25">
      <c r="A222" s="355">
        <f t="shared" si="18"/>
        <v>2</v>
      </c>
      <c r="B222" s="355">
        <v>0</v>
      </c>
      <c r="C222" s="355">
        <v>503</v>
      </c>
      <c r="D222" s="343">
        <v>0</v>
      </c>
      <c r="E222" s="355"/>
      <c r="F222" s="343"/>
      <c r="G222" s="154">
        <f t="shared" si="19"/>
        <v>20503000</v>
      </c>
      <c r="H222" s="77"/>
      <c r="I222" s="77"/>
      <c r="J222" s="77"/>
      <c r="K222" s="77"/>
      <c r="M222" s="301"/>
      <c r="N222" s="301"/>
      <c r="O222" s="301"/>
      <c r="P222" s="301"/>
      <c r="Q222" s="301"/>
      <c r="R222" s="301"/>
      <c r="S222" s="301"/>
    </row>
    <row r="223" spans="1:19" ht="14.25">
      <c r="A223" s="355">
        <f t="shared" si="18"/>
        <v>2</v>
      </c>
      <c r="B223" s="355">
        <v>0</v>
      </c>
      <c r="C223" s="355">
        <v>505</v>
      </c>
      <c r="D223" s="343">
        <v>0</v>
      </c>
      <c r="E223" s="355"/>
      <c r="F223" s="343"/>
      <c r="G223" s="154">
        <f t="shared" si="19"/>
        <v>20505000</v>
      </c>
      <c r="H223" s="77">
        <v>780094</v>
      </c>
      <c r="I223" s="77">
        <v>780094</v>
      </c>
      <c r="J223" s="77">
        <v>0</v>
      </c>
      <c r="K223" s="77">
        <v>0</v>
      </c>
      <c r="M223" s="301"/>
      <c r="N223" s="301"/>
      <c r="O223" s="301"/>
      <c r="P223" s="301"/>
      <c r="Q223" s="301"/>
      <c r="R223" s="301"/>
      <c r="S223" s="301"/>
    </row>
    <row r="224" spans="1:19" ht="14.25">
      <c r="A224" s="355">
        <f t="shared" si="18"/>
        <v>2</v>
      </c>
      <c r="B224" s="355">
        <v>0</v>
      </c>
      <c r="C224" s="355">
        <v>506</v>
      </c>
      <c r="D224" s="343">
        <v>0</v>
      </c>
      <c r="E224" s="355"/>
      <c r="F224" s="343"/>
      <c r="G224" s="154">
        <f t="shared" si="19"/>
        <v>20506000</v>
      </c>
      <c r="H224" s="77">
        <v>2186411</v>
      </c>
      <c r="I224" s="77">
        <v>2186411</v>
      </c>
      <c r="J224" s="77">
        <v>0</v>
      </c>
      <c r="K224" s="77">
        <v>0</v>
      </c>
      <c r="M224" s="301"/>
      <c r="N224" s="301"/>
      <c r="O224" s="301"/>
      <c r="P224" s="301"/>
      <c r="Q224" s="301"/>
      <c r="R224" s="301"/>
      <c r="S224" s="301"/>
    </row>
    <row r="225" spans="1:19" ht="14.25">
      <c r="A225" s="355">
        <f t="shared" si="18"/>
        <v>2</v>
      </c>
      <c r="B225" s="355">
        <v>0</v>
      </c>
      <c r="C225" s="355">
        <v>507</v>
      </c>
      <c r="D225" s="343">
        <v>0</v>
      </c>
      <c r="E225" s="355"/>
      <c r="F225" s="343"/>
      <c r="G225" s="154">
        <f t="shared" si="19"/>
        <v>20507000</v>
      </c>
      <c r="H225" s="77">
        <v>47164</v>
      </c>
      <c r="I225" s="77">
        <v>47164</v>
      </c>
      <c r="J225" s="77">
        <v>0</v>
      </c>
      <c r="K225" s="77">
        <v>0</v>
      </c>
      <c r="M225" s="301"/>
      <c r="N225" s="301"/>
      <c r="O225" s="301"/>
      <c r="P225" s="301"/>
      <c r="Q225" s="301"/>
      <c r="R225" s="301"/>
      <c r="S225" s="301"/>
    </row>
    <row r="226" spans="1:19" ht="14.25">
      <c r="A226" s="355">
        <f t="shared" si="18"/>
        <v>2</v>
      </c>
      <c r="B226" s="355">
        <v>0</v>
      </c>
      <c r="C226" s="355">
        <v>510</v>
      </c>
      <c r="D226" s="343">
        <v>0</v>
      </c>
      <c r="E226" s="355"/>
      <c r="F226" s="343"/>
      <c r="G226" s="154">
        <f t="shared" si="19"/>
        <v>20510000</v>
      </c>
      <c r="H226" s="77">
        <v>454636</v>
      </c>
      <c r="I226" s="77">
        <v>454636</v>
      </c>
      <c r="J226" s="77">
        <v>0</v>
      </c>
      <c r="K226" s="77">
        <v>0</v>
      </c>
      <c r="M226" s="301"/>
      <c r="N226" s="301"/>
      <c r="O226" s="301"/>
      <c r="P226" s="301"/>
      <c r="Q226" s="301"/>
      <c r="R226" s="301"/>
      <c r="S226" s="301"/>
    </row>
    <row r="227" spans="1:19" ht="14.25">
      <c r="A227" s="355">
        <f t="shared" si="18"/>
        <v>2</v>
      </c>
      <c r="B227" s="355">
        <v>0</v>
      </c>
      <c r="C227" s="355">
        <v>511</v>
      </c>
      <c r="D227" s="343">
        <v>0</v>
      </c>
      <c r="E227" s="355"/>
      <c r="F227" s="343"/>
      <c r="G227" s="154">
        <f t="shared" si="19"/>
        <v>20511000</v>
      </c>
      <c r="H227" s="77">
        <v>487026</v>
      </c>
      <c r="I227" s="77">
        <v>487026</v>
      </c>
      <c r="J227" s="77">
        <v>0</v>
      </c>
      <c r="K227" s="77">
        <v>0</v>
      </c>
      <c r="M227" s="301"/>
      <c r="N227" s="301"/>
      <c r="O227" s="301"/>
      <c r="P227" s="301"/>
      <c r="Q227" s="301"/>
      <c r="R227" s="301"/>
      <c r="S227" s="301"/>
    </row>
    <row r="228" spans="1:19" ht="14.25">
      <c r="A228" s="355">
        <f t="shared" si="18"/>
        <v>2</v>
      </c>
      <c r="B228" s="355">
        <v>0</v>
      </c>
      <c r="C228" s="355">
        <v>512</v>
      </c>
      <c r="D228" s="343">
        <v>0</v>
      </c>
      <c r="E228" s="355"/>
      <c r="F228" s="343"/>
      <c r="G228" s="154">
        <f t="shared" si="19"/>
        <v>20512000</v>
      </c>
      <c r="H228" s="77">
        <v>4749833</v>
      </c>
      <c r="I228" s="77">
        <v>4749833</v>
      </c>
      <c r="J228" s="77">
        <v>0</v>
      </c>
      <c r="K228" s="77">
        <v>0</v>
      </c>
      <c r="M228" s="301"/>
      <c r="N228" s="301"/>
      <c r="O228" s="301"/>
      <c r="P228" s="301"/>
      <c r="Q228" s="301"/>
      <c r="R228" s="301"/>
      <c r="S228" s="301"/>
    </row>
    <row r="229" spans="1:19" ht="14.25">
      <c r="A229" s="355">
        <f t="shared" si="18"/>
        <v>2</v>
      </c>
      <c r="B229" s="355">
        <v>0</v>
      </c>
      <c r="C229" s="355">
        <v>513</v>
      </c>
      <c r="D229" s="343">
        <v>0</v>
      </c>
      <c r="E229" s="355"/>
      <c r="F229" s="343"/>
      <c r="G229" s="154">
        <f t="shared" si="19"/>
        <v>20513000</v>
      </c>
      <c r="H229" s="77">
        <v>607955</v>
      </c>
      <c r="I229" s="77">
        <v>607955</v>
      </c>
      <c r="J229" s="77">
        <v>0</v>
      </c>
      <c r="K229" s="77">
        <v>0</v>
      </c>
      <c r="M229" s="301"/>
      <c r="N229" s="301"/>
      <c r="O229" s="301"/>
      <c r="P229" s="301"/>
      <c r="Q229" s="301"/>
      <c r="R229" s="301"/>
      <c r="S229" s="301"/>
    </row>
    <row r="230" spans="1:19" ht="14.25">
      <c r="A230" s="355">
        <f t="shared" si="18"/>
        <v>2</v>
      </c>
      <c r="B230" s="355">
        <v>0</v>
      </c>
      <c r="C230" s="355">
        <v>514</v>
      </c>
      <c r="D230" s="343">
        <v>0</v>
      </c>
      <c r="E230" s="355"/>
      <c r="F230" s="343"/>
      <c r="G230" s="154">
        <f t="shared" si="19"/>
        <v>20514000</v>
      </c>
      <c r="H230" s="77">
        <v>625443</v>
      </c>
      <c r="I230" s="77">
        <v>625443</v>
      </c>
      <c r="J230" s="77">
        <v>0</v>
      </c>
      <c r="K230" s="77">
        <v>0</v>
      </c>
      <c r="M230" s="301"/>
      <c r="N230" s="301"/>
      <c r="O230" s="301"/>
      <c r="P230" s="301"/>
      <c r="Q230" s="301"/>
      <c r="R230" s="301"/>
      <c r="S230" s="301"/>
    </row>
    <row r="231" spans="1:19" ht="14.25">
      <c r="A231" s="355">
        <f t="shared" si="18"/>
        <v>2</v>
      </c>
      <c r="B231" s="355">
        <v>0</v>
      </c>
      <c r="C231" s="355">
        <v>535</v>
      </c>
      <c r="D231" s="343">
        <v>0</v>
      </c>
      <c r="E231" s="355"/>
      <c r="F231" s="343"/>
      <c r="G231" s="154">
        <f t="shared" si="19"/>
        <v>20535000</v>
      </c>
      <c r="H231" s="77">
        <v>1712034</v>
      </c>
      <c r="I231" s="77">
        <v>1712034</v>
      </c>
      <c r="J231" s="77">
        <v>0</v>
      </c>
      <c r="K231" s="77">
        <v>0</v>
      </c>
      <c r="M231" s="301"/>
      <c r="N231" s="301"/>
      <c r="O231" s="301"/>
      <c r="P231" s="301"/>
      <c r="Q231" s="301"/>
      <c r="R231" s="301"/>
      <c r="S231" s="301"/>
    </row>
    <row r="232" spans="1:19" ht="14.25">
      <c r="A232" s="355">
        <f t="shared" si="18"/>
        <v>2</v>
      </c>
      <c r="B232" s="355">
        <v>0</v>
      </c>
      <c r="C232" s="355">
        <v>536</v>
      </c>
      <c r="D232" s="343">
        <v>0</v>
      </c>
      <c r="E232" s="355"/>
      <c r="F232" s="343"/>
      <c r="G232" s="154">
        <f t="shared" si="19"/>
        <v>20536000</v>
      </c>
      <c r="H232" s="77">
        <v>742268</v>
      </c>
      <c r="I232" s="77">
        <v>742268</v>
      </c>
      <c r="J232" s="77">
        <v>0</v>
      </c>
      <c r="K232" s="77">
        <v>0</v>
      </c>
      <c r="M232" s="301"/>
      <c r="N232" s="301"/>
      <c r="O232" s="301"/>
      <c r="P232" s="301"/>
      <c r="Q232" s="301"/>
      <c r="R232" s="301"/>
      <c r="S232" s="301"/>
    </row>
    <row r="233" spans="1:19" ht="14.25">
      <c r="A233" s="355">
        <f t="shared" si="18"/>
        <v>2</v>
      </c>
      <c r="B233" s="355">
        <v>0</v>
      </c>
      <c r="C233" s="355">
        <v>537</v>
      </c>
      <c r="D233" s="343">
        <v>0</v>
      </c>
      <c r="E233" s="355"/>
      <c r="F233" s="343"/>
      <c r="G233" s="154">
        <f t="shared" si="19"/>
        <v>20537000</v>
      </c>
      <c r="H233" s="77">
        <v>2887394</v>
      </c>
      <c r="I233" s="77">
        <v>745839</v>
      </c>
      <c r="J233" s="77">
        <v>1629730</v>
      </c>
      <c r="K233" s="77">
        <v>511824</v>
      </c>
      <c r="M233" s="301"/>
      <c r="N233" s="301"/>
      <c r="O233" s="301"/>
      <c r="P233" s="301"/>
      <c r="Q233" s="301"/>
      <c r="R233" s="301"/>
      <c r="S233" s="301"/>
    </row>
    <row r="234" spans="1:19" ht="14.25">
      <c r="A234" s="355">
        <f t="shared" si="18"/>
        <v>2</v>
      </c>
      <c r="B234" s="355">
        <v>0</v>
      </c>
      <c r="C234" s="355">
        <v>538</v>
      </c>
      <c r="D234" s="343">
        <v>0</v>
      </c>
      <c r="E234" s="355"/>
      <c r="F234" s="343"/>
      <c r="G234" s="154">
        <f t="shared" si="19"/>
        <v>20538000</v>
      </c>
      <c r="H234" s="77">
        <v>4707712</v>
      </c>
      <c r="I234" s="77">
        <v>4707712</v>
      </c>
      <c r="J234" s="77">
        <v>0</v>
      </c>
      <c r="K234" s="77">
        <v>0</v>
      </c>
      <c r="M234" s="301"/>
      <c r="N234" s="301"/>
      <c r="O234" s="301"/>
      <c r="P234" s="301"/>
      <c r="Q234" s="301"/>
      <c r="R234" s="301"/>
      <c r="S234" s="301"/>
    </row>
    <row r="235" spans="1:19" ht="14.25">
      <c r="A235" s="355">
        <f t="shared" si="18"/>
        <v>2</v>
      </c>
      <c r="B235" s="355">
        <v>0</v>
      </c>
      <c r="C235" s="355">
        <v>539</v>
      </c>
      <c r="D235" s="343">
        <v>0</v>
      </c>
      <c r="E235" s="355"/>
      <c r="F235" s="343"/>
      <c r="G235" s="154">
        <f t="shared" si="19"/>
        <v>20539000</v>
      </c>
      <c r="H235" s="77">
        <v>914406</v>
      </c>
      <c r="I235" s="77">
        <v>914406</v>
      </c>
      <c r="J235" s="77">
        <v>0</v>
      </c>
      <c r="K235" s="77">
        <v>0</v>
      </c>
      <c r="M235" s="301"/>
      <c r="N235" s="301"/>
      <c r="O235" s="301"/>
      <c r="P235" s="301"/>
      <c r="Q235" s="301"/>
      <c r="R235" s="301"/>
      <c r="S235" s="301"/>
    </row>
    <row r="236" spans="1:19" ht="14.25">
      <c r="A236" s="355">
        <f t="shared" si="18"/>
        <v>2</v>
      </c>
      <c r="B236" s="355">
        <v>0</v>
      </c>
      <c r="C236" s="355">
        <v>540</v>
      </c>
      <c r="D236" s="343">
        <v>0</v>
      </c>
      <c r="E236" s="355"/>
      <c r="F236" s="343"/>
      <c r="G236" s="154">
        <f t="shared" si="19"/>
        <v>20540000</v>
      </c>
      <c r="H236" s="77">
        <v>723205</v>
      </c>
      <c r="I236" s="77">
        <v>723205</v>
      </c>
      <c r="J236" s="77">
        <v>0</v>
      </c>
      <c r="K236" s="77">
        <v>0</v>
      </c>
      <c r="M236" s="301"/>
      <c r="N236" s="301"/>
      <c r="O236" s="301"/>
      <c r="P236" s="301"/>
      <c r="Q236" s="301"/>
      <c r="R236" s="301"/>
      <c r="S236" s="301"/>
    </row>
    <row r="237" spans="1:19" ht="14.25">
      <c r="A237" s="355">
        <f t="shared" si="18"/>
        <v>2</v>
      </c>
      <c r="B237" s="355">
        <v>0</v>
      </c>
      <c r="C237" s="355">
        <v>541</v>
      </c>
      <c r="D237" s="343">
        <v>0</v>
      </c>
      <c r="E237" s="355"/>
      <c r="F237" s="343"/>
      <c r="G237" s="154">
        <f t="shared" si="19"/>
        <v>20541000</v>
      </c>
      <c r="H237" s="77">
        <v>341396</v>
      </c>
      <c r="I237" s="77">
        <v>341396</v>
      </c>
      <c r="J237" s="77">
        <v>0</v>
      </c>
      <c r="K237" s="77">
        <v>0</v>
      </c>
      <c r="M237" s="301"/>
      <c r="N237" s="301"/>
      <c r="O237" s="301"/>
      <c r="P237" s="301"/>
      <c r="Q237" s="301"/>
      <c r="R237" s="301"/>
      <c r="S237" s="301"/>
    </row>
    <row r="238" spans="1:19" ht="14.25">
      <c r="A238" s="355">
        <f t="shared" si="18"/>
        <v>2</v>
      </c>
      <c r="B238" s="355">
        <v>0</v>
      </c>
      <c r="C238" s="355">
        <v>542</v>
      </c>
      <c r="D238" s="343">
        <v>0</v>
      </c>
      <c r="E238" s="355"/>
      <c r="F238" s="343"/>
      <c r="G238" s="154">
        <f t="shared" si="19"/>
        <v>20542000</v>
      </c>
      <c r="H238" s="77">
        <v>357328</v>
      </c>
      <c r="I238" s="77">
        <v>357328</v>
      </c>
      <c r="J238" s="77">
        <v>0</v>
      </c>
      <c r="K238" s="77">
        <v>0</v>
      </c>
      <c r="M238" s="301"/>
      <c r="N238" s="301"/>
      <c r="O238" s="301"/>
      <c r="P238" s="301"/>
      <c r="Q238" s="301"/>
      <c r="R238" s="301"/>
      <c r="S238" s="301"/>
    </row>
    <row r="239" spans="1:19" ht="14.25">
      <c r="A239" s="355">
        <f t="shared" si="18"/>
        <v>2</v>
      </c>
      <c r="B239" s="355">
        <v>0</v>
      </c>
      <c r="C239" s="355">
        <v>543</v>
      </c>
      <c r="D239" s="343">
        <v>0</v>
      </c>
      <c r="E239" s="355"/>
      <c r="F239" s="343"/>
      <c r="G239" s="154">
        <f t="shared" si="19"/>
        <v>20543000</v>
      </c>
      <c r="H239" s="77">
        <v>1111229</v>
      </c>
      <c r="I239" s="77">
        <v>1111229</v>
      </c>
      <c r="J239" s="77">
        <v>0</v>
      </c>
      <c r="K239" s="77">
        <v>0</v>
      </c>
      <c r="M239" s="301"/>
      <c r="N239" s="301"/>
      <c r="O239" s="301"/>
      <c r="P239" s="301"/>
      <c r="Q239" s="301"/>
      <c r="R239" s="301"/>
      <c r="S239" s="301"/>
    </row>
    <row r="240" spans="1:19" ht="14.25">
      <c r="A240" s="355">
        <f t="shared" si="18"/>
        <v>2</v>
      </c>
      <c r="B240" s="355">
        <v>0</v>
      </c>
      <c r="C240" s="355">
        <v>544</v>
      </c>
      <c r="D240" s="343">
        <v>0</v>
      </c>
      <c r="E240" s="355"/>
      <c r="F240" s="343"/>
      <c r="G240" s="154">
        <f t="shared" si="19"/>
        <v>20544000</v>
      </c>
      <c r="H240" s="77">
        <v>2212155</v>
      </c>
      <c r="I240" s="77">
        <v>2212155</v>
      </c>
      <c r="J240" s="77">
        <v>0</v>
      </c>
      <c r="K240" s="77">
        <v>0</v>
      </c>
      <c r="M240" s="301"/>
      <c r="N240" s="301"/>
      <c r="O240" s="301"/>
      <c r="P240" s="301"/>
      <c r="Q240" s="301"/>
      <c r="R240" s="301"/>
      <c r="S240" s="301"/>
    </row>
    <row r="241" spans="1:19" ht="14.25">
      <c r="A241" s="355">
        <f t="shared" si="18"/>
        <v>2</v>
      </c>
      <c r="B241" s="355">
        <v>0</v>
      </c>
      <c r="C241" s="355">
        <v>545</v>
      </c>
      <c r="D241" s="343">
        <v>0</v>
      </c>
      <c r="E241" s="355"/>
      <c r="F241" s="343"/>
      <c r="G241" s="154">
        <f t="shared" si="19"/>
        <v>20545000</v>
      </c>
      <c r="H241" s="77">
        <v>252791</v>
      </c>
      <c r="I241" s="77">
        <v>252791</v>
      </c>
      <c r="J241" s="77">
        <v>0</v>
      </c>
      <c r="K241" s="77">
        <v>0</v>
      </c>
      <c r="M241" s="301"/>
      <c r="N241" s="301"/>
      <c r="O241" s="301"/>
      <c r="P241" s="301"/>
      <c r="Q241" s="301"/>
      <c r="R241" s="301"/>
      <c r="S241" s="301"/>
    </row>
    <row r="242" spans="1:19" ht="14.25">
      <c r="A242" s="355">
        <f t="shared" si="18"/>
        <v>2</v>
      </c>
      <c r="B242" s="355">
        <v>0</v>
      </c>
      <c r="C242" s="355">
        <v>546</v>
      </c>
      <c r="D242" s="343">
        <v>0</v>
      </c>
      <c r="E242" s="355"/>
      <c r="F242" s="343"/>
      <c r="G242" s="154">
        <f t="shared" si="19"/>
        <v>20546000</v>
      </c>
      <c r="H242" s="77">
        <v>1501501</v>
      </c>
      <c r="I242" s="77">
        <v>1501501</v>
      </c>
      <c r="J242" s="77">
        <v>0</v>
      </c>
      <c r="K242" s="77">
        <v>0</v>
      </c>
      <c r="M242" s="301"/>
      <c r="N242" s="301"/>
      <c r="O242" s="301"/>
      <c r="P242" s="301"/>
      <c r="Q242" s="301"/>
      <c r="R242" s="301"/>
      <c r="S242" s="301"/>
    </row>
    <row r="243" spans="1:19" ht="14.25">
      <c r="A243" s="355">
        <f t="shared" si="18"/>
        <v>2</v>
      </c>
      <c r="B243" s="355">
        <v>0</v>
      </c>
      <c r="C243" s="355">
        <v>547</v>
      </c>
      <c r="D243" s="343">
        <v>0</v>
      </c>
      <c r="E243" s="355"/>
      <c r="F243" s="343"/>
      <c r="G243" s="154">
        <f t="shared" si="19"/>
        <v>20547000</v>
      </c>
      <c r="H243" s="77">
        <v>108398844</v>
      </c>
      <c r="I243" s="77">
        <v>108398844</v>
      </c>
      <c r="J243" s="77">
        <v>0</v>
      </c>
      <c r="K243" s="77">
        <v>0</v>
      </c>
      <c r="M243" s="301"/>
      <c r="N243" s="301"/>
      <c r="O243" s="301"/>
      <c r="P243" s="301"/>
      <c r="Q243" s="301"/>
      <c r="R243" s="301"/>
      <c r="S243" s="301"/>
    </row>
    <row r="244" spans="1:19" ht="14.25">
      <c r="A244" s="355">
        <f t="shared" si="18"/>
        <v>2</v>
      </c>
      <c r="B244" s="355">
        <v>0</v>
      </c>
      <c r="C244" s="355">
        <v>548</v>
      </c>
      <c r="D244" s="343">
        <v>0</v>
      </c>
      <c r="E244" s="355"/>
      <c r="F244" s="343"/>
      <c r="G244" s="154">
        <f t="shared" si="19"/>
        <v>20548000</v>
      </c>
      <c r="H244" s="77">
        <v>1552809</v>
      </c>
      <c r="I244" s="77">
        <v>1552809</v>
      </c>
      <c r="J244" s="77">
        <v>0</v>
      </c>
      <c r="K244" s="77">
        <v>0</v>
      </c>
      <c r="M244" s="301"/>
      <c r="N244" s="301"/>
      <c r="O244" s="301"/>
      <c r="P244" s="301"/>
      <c r="Q244" s="301"/>
      <c r="R244" s="301"/>
      <c r="S244" s="301"/>
    </row>
    <row r="245" spans="1:19" ht="14.25">
      <c r="A245" s="355">
        <f t="shared" si="18"/>
        <v>2</v>
      </c>
      <c r="B245" s="355">
        <v>0</v>
      </c>
      <c r="C245" s="355">
        <v>549</v>
      </c>
      <c r="D245" s="343">
        <v>0</v>
      </c>
      <c r="E245" s="355"/>
      <c r="F245" s="343"/>
      <c r="G245" s="154">
        <f t="shared" si="19"/>
        <v>20549000</v>
      </c>
      <c r="H245" s="77">
        <v>409371</v>
      </c>
      <c r="I245" s="77">
        <v>409371</v>
      </c>
      <c r="J245" s="77">
        <v>0</v>
      </c>
      <c r="K245" s="77">
        <v>0</v>
      </c>
      <c r="M245" s="301"/>
      <c r="N245" s="301"/>
      <c r="O245" s="301"/>
      <c r="P245" s="301"/>
      <c r="Q245" s="301"/>
      <c r="R245" s="301"/>
      <c r="S245" s="301"/>
    </row>
    <row r="246" spans="1:19" ht="14.25">
      <c r="A246" s="355">
        <f t="shared" si="18"/>
        <v>2</v>
      </c>
      <c r="B246" s="355">
        <v>0</v>
      </c>
      <c r="C246" s="355">
        <v>550</v>
      </c>
      <c r="D246" s="343">
        <v>0</v>
      </c>
      <c r="E246" s="355"/>
      <c r="F246" s="343"/>
      <c r="G246" s="154">
        <f>A246*10000000+B246*1000000+C246*1000+D246</f>
        <v>20550000</v>
      </c>
      <c r="H246" s="77">
        <v>27108</v>
      </c>
      <c r="I246" s="77">
        <v>27108</v>
      </c>
      <c r="J246" s="77">
        <v>0</v>
      </c>
      <c r="K246" s="77">
        <v>0</v>
      </c>
      <c r="M246" s="301"/>
      <c r="N246" s="301"/>
      <c r="O246" s="301"/>
      <c r="P246" s="301"/>
      <c r="Q246" s="301"/>
      <c r="R246" s="301"/>
      <c r="S246" s="301"/>
    </row>
    <row r="247" spans="1:19" ht="14.25">
      <c r="A247" s="355">
        <f t="shared" si="18"/>
        <v>2</v>
      </c>
      <c r="B247" s="355">
        <v>0</v>
      </c>
      <c r="C247" s="355">
        <v>551</v>
      </c>
      <c r="D247" s="343">
        <v>0</v>
      </c>
      <c r="E247" s="355"/>
      <c r="F247" s="343"/>
      <c r="G247" s="154">
        <f aca="true" t="shared" si="20" ref="G247:G257">A247*10000000+B247*1000000+C247*1000+D247</f>
        <v>20551000</v>
      </c>
      <c r="H247" s="77">
        <v>618767</v>
      </c>
      <c r="I247" s="77">
        <v>618767</v>
      </c>
      <c r="J247" s="77">
        <v>0</v>
      </c>
      <c r="K247" s="77">
        <v>0</v>
      </c>
      <c r="M247" s="301"/>
      <c r="N247" s="301"/>
      <c r="O247" s="301"/>
      <c r="P247" s="301"/>
      <c r="Q247" s="301"/>
      <c r="R247" s="301"/>
      <c r="S247" s="301"/>
    </row>
    <row r="248" spans="1:19" ht="14.25">
      <c r="A248" s="355">
        <f t="shared" si="18"/>
        <v>2</v>
      </c>
      <c r="B248" s="355">
        <v>0</v>
      </c>
      <c r="C248" s="355">
        <v>552</v>
      </c>
      <c r="D248" s="343">
        <v>0</v>
      </c>
      <c r="E248" s="355"/>
      <c r="F248" s="343"/>
      <c r="G248" s="154">
        <f t="shared" si="20"/>
        <v>20552000</v>
      </c>
      <c r="H248" s="77">
        <v>4418</v>
      </c>
      <c r="I248" s="77">
        <v>4418</v>
      </c>
      <c r="J248" s="77">
        <v>0</v>
      </c>
      <c r="K248" s="77">
        <v>0</v>
      </c>
      <c r="M248" s="301"/>
      <c r="N248" s="301"/>
      <c r="O248" s="301"/>
      <c r="P248" s="301"/>
      <c r="Q248" s="301"/>
      <c r="R248" s="301"/>
      <c r="S248" s="301"/>
    </row>
    <row r="249" spans="1:19" ht="14.25">
      <c r="A249" s="355">
        <f t="shared" si="18"/>
        <v>2</v>
      </c>
      <c r="B249" s="355">
        <v>0</v>
      </c>
      <c r="C249" s="355">
        <v>553</v>
      </c>
      <c r="D249" s="343">
        <v>0</v>
      </c>
      <c r="E249" s="355"/>
      <c r="F249" s="343"/>
      <c r="G249" s="154">
        <f t="shared" si="20"/>
        <v>20553000</v>
      </c>
      <c r="H249" s="77">
        <v>4697846</v>
      </c>
      <c r="I249" s="77">
        <v>4697846</v>
      </c>
      <c r="J249" s="77">
        <v>0</v>
      </c>
      <c r="K249" s="77">
        <v>0</v>
      </c>
      <c r="M249" s="301"/>
      <c r="N249" s="301"/>
      <c r="O249" s="301"/>
      <c r="P249" s="301"/>
      <c r="Q249" s="301"/>
      <c r="R249" s="301"/>
      <c r="S249" s="301"/>
    </row>
    <row r="250" spans="1:19" ht="14.25">
      <c r="A250" s="355">
        <f t="shared" si="18"/>
        <v>2</v>
      </c>
      <c r="B250" s="355">
        <v>0</v>
      </c>
      <c r="C250" s="355">
        <v>554</v>
      </c>
      <c r="D250" s="343">
        <v>0</v>
      </c>
      <c r="E250" s="355"/>
      <c r="F250" s="343"/>
      <c r="G250" s="154">
        <f t="shared" si="20"/>
        <v>20554000</v>
      </c>
      <c r="H250" s="77">
        <v>138998</v>
      </c>
      <c r="I250" s="77">
        <v>138998</v>
      </c>
      <c r="J250" s="77">
        <v>0</v>
      </c>
      <c r="K250" s="77">
        <v>0</v>
      </c>
      <c r="M250" s="301"/>
      <c r="N250" s="301"/>
      <c r="O250" s="301"/>
      <c r="P250" s="301"/>
      <c r="Q250" s="301"/>
      <c r="R250" s="301"/>
      <c r="S250" s="301"/>
    </row>
    <row r="251" spans="1:19" ht="14.25">
      <c r="A251" s="355">
        <f aca="true" t="shared" si="21" ref="A251:A301">IF(months=1,1,2)</f>
        <v>2</v>
      </c>
      <c r="B251" s="355">
        <v>0</v>
      </c>
      <c r="C251" s="355">
        <v>555</v>
      </c>
      <c r="D251" s="343">
        <v>0</v>
      </c>
      <c r="E251" s="355"/>
      <c r="F251" s="343"/>
      <c r="G251" s="154">
        <f t="shared" si="20"/>
        <v>20555000</v>
      </c>
      <c r="H251" s="77">
        <v>166057598</v>
      </c>
      <c r="I251" s="77">
        <v>166057598</v>
      </c>
      <c r="J251" s="77">
        <v>0</v>
      </c>
      <c r="K251" s="77">
        <v>0</v>
      </c>
      <c r="M251" s="301"/>
      <c r="N251" s="301"/>
      <c r="O251" s="301"/>
      <c r="P251" s="301"/>
      <c r="Q251" s="301"/>
      <c r="R251" s="301"/>
      <c r="S251" s="301"/>
    </row>
    <row r="252" spans="1:19" ht="14.25">
      <c r="A252" s="355">
        <f t="shared" si="21"/>
        <v>2</v>
      </c>
      <c r="B252" s="355">
        <v>0</v>
      </c>
      <c r="C252" s="355">
        <v>555</v>
      </c>
      <c r="D252" s="356">
        <v>750</v>
      </c>
      <c r="E252" s="355"/>
      <c r="F252" s="343"/>
      <c r="G252" s="154">
        <f t="shared" si="20"/>
        <v>20555750</v>
      </c>
      <c r="H252" s="77"/>
      <c r="I252" s="77"/>
      <c r="J252" s="77"/>
      <c r="K252" s="77"/>
      <c r="M252" s="301"/>
      <c r="N252" s="301"/>
      <c r="O252" s="301"/>
      <c r="P252" s="301"/>
      <c r="Q252" s="301"/>
      <c r="R252" s="301"/>
      <c r="S252" s="301"/>
    </row>
    <row r="253" spans="1:19" ht="14.25">
      <c r="A253" s="355">
        <f t="shared" si="21"/>
        <v>2</v>
      </c>
      <c r="B253" s="355">
        <v>0</v>
      </c>
      <c r="C253" s="355">
        <v>555</v>
      </c>
      <c r="D253" s="356">
        <v>380</v>
      </c>
      <c r="E253" s="355"/>
      <c r="F253" s="343"/>
      <c r="G253" s="154">
        <f t="shared" si="20"/>
        <v>20555380</v>
      </c>
      <c r="H253" s="77">
        <v>18439119</v>
      </c>
      <c r="I253" s="77">
        <v>18439119</v>
      </c>
      <c r="J253" s="77">
        <v>0</v>
      </c>
      <c r="K253" s="77">
        <v>0</v>
      </c>
      <c r="M253" s="301"/>
      <c r="N253" s="301"/>
      <c r="O253" s="301"/>
      <c r="P253" s="301"/>
      <c r="Q253" s="301"/>
      <c r="R253" s="301"/>
      <c r="S253" s="301"/>
    </row>
    <row r="254" spans="1:19" ht="14.25">
      <c r="A254" s="355">
        <f t="shared" si="21"/>
        <v>2</v>
      </c>
      <c r="B254" s="355">
        <v>0</v>
      </c>
      <c r="C254" s="355">
        <v>555</v>
      </c>
      <c r="D254" s="356">
        <v>550</v>
      </c>
      <c r="E254" s="355"/>
      <c r="F254" s="343"/>
      <c r="G254" s="154">
        <f t="shared" si="20"/>
        <v>20555550</v>
      </c>
      <c r="H254" s="77">
        <v>-242497</v>
      </c>
      <c r="I254" s="77">
        <v>-242497</v>
      </c>
      <c r="J254" s="77">
        <v>0</v>
      </c>
      <c r="K254" s="77">
        <v>0</v>
      </c>
      <c r="M254" s="301"/>
      <c r="N254" s="301"/>
      <c r="O254" s="301"/>
      <c r="P254" s="301"/>
      <c r="Q254" s="301"/>
      <c r="R254" s="301"/>
      <c r="S254" s="301"/>
    </row>
    <row r="255" spans="1:19" ht="14.25">
      <c r="A255" s="355">
        <f t="shared" si="21"/>
        <v>2</v>
      </c>
      <c r="B255" s="355">
        <v>0</v>
      </c>
      <c r="C255" s="355">
        <v>555</v>
      </c>
      <c r="D255" s="356">
        <v>700</v>
      </c>
      <c r="E255" s="355"/>
      <c r="F255" s="343"/>
      <c r="G255" s="154">
        <f t="shared" si="20"/>
        <v>20555700</v>
      </c>
      <c r="H255" s="77">
        <v>61222672</v>
      </c>
      <c r="I255" s="77">
        <v>61222672</v>
      </c>
      <c r="J255" s="77">
        <v>0</v>
      </c>
      <c r="K255" s="77">
        <v>0</v>
      </c>
      <c r="M255" s="301"/>
      <c r="N255" s="301"/>
      <c r="O255" s="301"/>
      <c r="P255" s="301"/>
      <c r="Q255" s="301"/>
      <c r="R255" s="301"/>
      <c r="S255" s="301"/>
    </row>
    <row r="256" spans="1:19" ht="14.25">
      <c r="A256" s="355">
        <f t="shared" si="21"/>
        <v>2</v>
      </c>
      <c r="B256" s="355">
        <v>0</v>
      </c>
      <c r="C256" s="355">
        <v>555</v>
      </c>
      <c r="D256" s="356">
        <v>710</v>
      </c>
      <c r="E256" s="355"/>
      <c r="F256" s="343"/>
      <c r="G256" s="154">
        <f t="shared" si="20"/>
        <v>20555710</v>
      </c>
      <c r="H256" s="77">
        <v>670389</v>
      </c>
      <c r="I256" s="77">
        <v>670389</v>
      </c>
      <c r="J256" s="77">
        <v>0</v>
      </c>
      <c r="K256" s="77">
        <v>0</v>
      </c>
      <c r="M256" s="301"/>
      <c r="N256" s="301"/>
      <c r="O256" s="301"/>
      <c r="P256" s="301"/>
      <c r="Q256" s="301"/>
      <c r="R256" s="301"/>
      <c r="S256" s="301"/>
    </row>
    <row r="257" spans="1:19" ht="14.25">
      <c r="A257" s="355">
        <f t="shared" si="21"/>
        <v>2</v>
      </c>
      <c r="B257" s="355">
        <v>0</v>
      </c>
      <c r="C257" s="355">
        <v>555</v>
      </c>
      <c r="D257" s="356">
        <v>750</v>
      </c>
      <c r="E257" s="355"/>
      <c r="F257" s="343"/>
      <c r="G257" s="154">
        <f t="shared" si="20"/>
        <v>20555750</v>
      </c>
      <c r="H257" s="77"/>
      <c r="I257" s="77"/>
      <c r="J257" s="77"/>
      <c r="K257" s="77"/>
      <c r="M257" s="301"/>
      <c r="N257" s="301"/>
      <c r="O257" s="301"/>
      <c r="P257" s="301"/>
      <c r="Q257" s="301"/>
      <c r="R257" s="301"/>
      <c r="S257" s="301"/>
    </row>
    <row r="258" spans="1:19" ht="14.25">
      <c r="A258" s="355">
        <f t="shared" si="21"/>
        <v>2</v>
      </c>
      <c r="B258" s="355">
        <v>0</v>
      </c>
      <c r="C258" s="355">
        <v>556</v>
      </c>
      <c r="D258" s="343">
        <v>0</v>
      </c>
      <c r="E258" s="355"/>
      <c r="F258" s="343"/>
      <c r="G258" s="154">
        <f>A258*10000000+B258*1000000+C258*1000+D258</f>
        <v>20556000</v>
      </c>
      <c r="H258" s="77">
        <v>508132</v>
      </c>
      <c r="I258" s="77">
        <v>508132</v>
      </c>
      <c r="J258" s="77">
        <v>0</v>
      </c>
      <c r="K258" s="77">
        <v>0</v>
      </c>
      <c r="M258" s="301"/>
      <c r="N258" s="301"/>
      <c r="O258" s="301"/>
      <c r="P258" s="301"/>
      <c r="Q258" s="301"/>
      <c r="R258" s="301"/>
      <c r="S258" s="301"/>
    </row>
    <row r="259" spans="1:19" ht="14.25">
      <c r="A259" s="355">
        <f t="shared" si="21"/>
        <v>2</v>
      </c>
      <c r="B259" s="355">
        <v>0</v>
      </c>
      <c r="C259" s="355">
        <v>557</v>
      </c>
      <c r="D259" s="343">
        <v>0</v>
      </c>
      <c r="E259" s="355"/>
      <c r="F259" s="343"/>
      <c r="G259" s="154">
        <f aca="true" t="shared" si="22" ref="G259:G308">A259*10000000+B259*1000000+C259*1000+D259</f>
        <v>20557000</v>
      </c>
      <c r="H259" s="77">
        <v>5310863</v>
      </c>
      <c r="I259" s="77">
        <v>5310863</v>
      </c>
      <c r="J259" s="77">
        <v>0</v>
      </c>
      <c r="K259" s="77">
        <v>0</v>
      </c>
      <c r="M259" s="301"/>
      <c r="N259" s="301"/>
      <c r="O259" s="301"/>
      <c r="P259" s="301"/>
      <c r="Q259" s="301"/>
      <c r="R259" s="301"/>
      <c r="S259" s="301"/>
    </row>
    <row r="260" spans="1:19" ht="14.25">
      <c r="A260" s="355">
        <f t="shared" si="21"/>
        <v>2</v>
      </c>
      <c r="B260" s="355">
        <v>0</v>
      </c>
      <c r="C260" s="355">
        <v>557</v>
      </c>
      <c r="D260" s="343">
        <v>10</v>
      </c>
      <c r="E260" s="355"/>
      <c r="F260" s="343"/>
      <c r="G260" s="154">
        <f>A260*10000000+B260*1000000+C260*1000+D260</f>
        <v>20557010</v>
      </c>
      <c r="H260" s="77"/>
      <c r="I260" s="77"/>
      <c r="J260" s="77"/>
      <c r="K260" s="77"/>
      <c r="M260" s="301"/>
      <c r="N260" s="301"/>
      <c r="O260" s="301"/>
      <c r="P260" s="301"/>
      <c r="Q260" s="301"/>
      <c r="R260" s="301"/>
      <c r="S260" s="301"/>
    </row>
    <row r="261" spans="1:19" ht="14.25">
      <c r="A261" s="355">
        <f t="shared" si="21"/>
        <v>2</v>
      </c>
      <c r="B261" s="355">
        <v>0</v>
      </c>
      <c r="C261" s="355">
        <v>557</v>
      </c>
      <c r="D261" s="356">
        <v>150</v>
      </c>
      <c r="E261" s="355"/>
      <c r="F261" s="343"/>
      <c r="G261" s="154">
        <f t="shared" si="22"/>
        <v>20557150</v>
      </c>
      <c r="H261" s="77">
        <v>39075403</v>
      </c>
      <c r="I261" s="77">
        <v>39075403</v>
      </c>
      <c r="J261" s="77">
        <v>0</v>
      </c>
      <c r="K261" s="77">
        <v>0</v>
      </c>
      <c r="M261" s="301"/>
      <c r="N261" s="301"/>
      <c r="O261" s="301"/>
      <c r="P261" s="301"/>
      <c r="Q261" s="301"/>
      <c r="R261" s="301"/>
      <c r="S261" s="301"/>
    </row>
    <row r="262" spans="1:19" ht="14.25">
      <c r="A262" s="355">
        <f t="shared" si="21"/>
        <v>2</v>
      </c>
      <c r="B262" s="355">
        <v>0</v>
      </c>
      <c r="C262" s="355">
        <v>557</v>
      </c>
      <c r="D262" s="356">
        <v>160</v>
      </c>
      <c r="E262" s="355"/>
      <c r="F262" s="343"/>
      <c r="G262" s="154">
        <f t="shared" si="22"/>
        <v>20557160</v>
      </c>
      <c r="H262" s="77">
        <v>3091513</v>
      </c>
      <c r="I262" s="77">
        <v>3091513</v>
      </c>
      <c r="J262" s="77">
        <v>0</v>
      </c>
      <c r="K262" s="77">
        <v>0</v>
      </c>
      <c r="M262" s="301"/>
      <c r="N262" s="301"/>
      <c r="O262" s="301"/>
      <c r="P262" s="301"/>
      <c r="Q262" s="301"/>
      <c r="R262" s="301"/>
      <c r="S262" s="301"/>
    </row>
    <row r="263" spans="1:19" ht="14.25">
      <c r="A263" s="355">
        <f t="shared" si="21"/>
        <v>2</v>
      </c>
      <c r="B263" s="355">
        <v>0</v>
      </c>
      <c r="C263" s="355">
        <v>557</v>
      </c>
      <c r="D263" s="356">
        <v>161</v>
      </c>
      <c r="E263" s="355"/>
      <c r="F263" s="343"/>
      <c r="G263" s="154">
        <f>A263*10000000+B263*1000000+C263*1000+D263</f>
        <v>20557161</v>
      </c>
      <c r="H263" s="77">
        <v>226409</v>
      </c>
      <c r="I263" s="77">
        <v>0</v>
      </c>
      <c r="J263" s="77">
        <v>69535</v>
      </c>
      <c r="K263" s="77">
        <v>156874</v>
      </c>
      <c r="M263" s="301"/>
      <c r="N263" s="301"/>
      <c r="O263" s="301"/>
      <c r="P263" s="301"/>
      <c r="Q263" s="301"/>
      <c r="R263" s="301"/>
      <c r="S263" s="301"/>
    </row>
    <row r="264" spans="1:19" ht="14.25">
      <c r="A264" s="355">
        <f t="shared" si="21"/>
        <v>2</v>
      </c>
      <c r="B264" s="355">
        <v>0</v>
      </c>
      <c r="C264" s="355">
        <v>557</v>
      </c>
      <c r="D264" s="356">
        <v>162</v>
      </c>
      <c r="E264" s="355"/>
      <c r="F264" s="343"/>
      <c r="G264" s="154">
        <f>A264*10000000+B264*1000000+C264*1000+D264</f>
        <v>20557162</v>
      </c>
      <c r="H264" s="77"/>
      <c r="I264" s="77"/>
      <c r="J264" s="77"/>
      <c r="K264" s="77"/>
      <c r="M264" s="301"/>
      <c r="N264" s="301"/>
      <c r="O264" s="301"/>
      <c r="P264" s="301"/>
      <c r="Q264" s="301"/>
      <c r="R264" s="301"/>
      <c r="S264" s="301"/>
    </row>
    <row r="265" spans="1:19" ht="14.25">
      <c r="A265" s="355">
        <f t="shared" si="21"/>
        <v>2</v>
      </c>
      <c r="B265" s="355">
        <v>0</v>
      </c>
      <c r="C265" s="355">
        <v>557</v>
      </c>
      <c r="D265" s="356">
        <v>170</v>
      </c>
      <c r="E265" s="355"/>
      <c r="F265" s="343"/>
      <c r="G265" s="154">
        <f>A265*10000000+B265*1000000+C265*1000+D265</f>
        <v>20557170</v>
      </c>
      <c r="H265" s="77">
        <v>104104</v>
      </c>
      <c r="I265" s="77">
        <v>104104</v>
      </c>
      <c r="J265" s="77">
        <v>0</v>
      </c>
      <c r="K265" s="77">
        <v>0</v>
      </c>
      <c r="M265" s="301"/>
      <c r="N265" s="301"/>
      <c r="O265" s="301"/>
      <c r="P265" s="301"/>
      <c r="Q265" s="301"/>
      <c r="R265" s="301"/>
      <c r="S265" s="301"/>
    </row>
    <row r="266" spans="1:19" ht="14.25">
      <c r="A266" s="355">
        <f t="shared" si="21"/>
        <v>2</v>
      </c>
      <c r="B266" s="355">
        <v>0</v>
      </c>
      <c r="C266" s="355">
        <v>557</v>
      </c>
      <c r="D266" s="356">
        <v>200</v>
      </c>
      <c r="E266" s="355"/>
      <c r="F266" s="343"/>
      <c r="G266" s="154">
        <f t="shared" si="22"/>
        <v>20557200</v>
      </c>
      <c r="H266" s="77">
        <v>818702</v>
      </c>
      <c r="I266" s="77">
        <v>0</v>
      </c>
      <c r="J266" s="77">
        <v>497498</v>
      </c>
      <c r="K266" s="77">
        <v>321204</v>
      </c>
      <c r="M266" s="301"/>
      <c r="N266" s="301"/>
      <c r="O266" s="301"/>
      <c r="P266" s="301"/>
      <c r="Q266" s="301"/>
      <c r="R266" s="301"/>
      <c r="S266" s="301"/>
    </row>
    <row r="267" spans="1:19" ht="14.25">
      <c r="A267" s="355">
        <f t="shared" si="21"/>
        <v>2</v>
      </c>
      <c r="B267" s="355">
        <v>0</v>
      </c>
      <c r="C267" s="355">
        <v>557</v>
      </c>
      <c r="D267" s="356">
        <v>280</v>
      </c>
      <c r="E267" s="355"/>
      <c r="F267" s="343"/>
      <c r="G267" s="154">
        <f t="shared" si="22"/>
        <v>20557280</v>
      </c>
      <c r="H267" s="77">
        <v>-13605771</v>
      </c>
      <c r="I267" s="77">
        <v>0</v>
      </c>
      <c r="J267" s="77">
        <v>-13605771</v>
      </c>
      <c r="K267" s="77">
        <v>0</v>
      </c>
      <c r="M267" s="301"/>
      <c r="N267" s="301"/>
      <c r="O267" s="301"/>
      <c r="P267" s="301"/>
      <c r="Q267" s="301"/>
      <c r="R267" s="301"/>
      <c r="S267" s="301"/>
    </row>
    <row r="268" spans="1:19" ht="14.25">
      <c r="A268" s="355">
        <f t="shared" si="21"/>
        <v>2</v>
      </c>
      <c r="B268" s="355">
        <v>0</v>
      </c>
      <c r="C268" s="355">
        <v>557</v>
      </c>
      <c r="D268" s="356">
        <v>290</v>
      </c>
      <c r="E268" s="355"/>
      <c r="F268" s="343"/>
      <c r="G268" s="154">
        <f t="shared" si="22"/>
        <v>20557290</v>
      </c>
      <c r="H268" s="77">
        <v>31274155</v>
      </c>
      <c r="I268" s="77">
        <v>0</v>
      </c>
      <c r="J268" s="77">
        <v>31274155</v>
      </c>
      <c r="K268" s="77">
        <v>0</v>
      </c>
      <c r="M268" s="301"/>
      <c r="N268" s="301"/>
      <c r="O268" s="301"/>
      <c r="P268" s="301"/>
      <c r="Q268" s="301"/>
      <c r="R268" s="301"/>
      <c r="S268" s="301"/>
    </row>
    <row r="269" spans="1:19" ht="14.25">
      <c r="A269" s="355">
        <f t="shared" si="21"/>
        <v>2</v>
      </c>
      <c r="B269" s="355">
        <v>0</v>
      </c>
      <c r="C269" s="355">
        <v>557</v>
      </c>
      <c r="D269" s="356">
        <v>380</v>
      </c>
      <c r="E269" s="355"/>
      <c r="F269" s="343"/>
      <c r="G269" s="154">
        <f t="shared" si="22"/>
        <v>20557380</v>
      </c>
      <c r="H269" s="77">
        <v>-14756822</v>
      </c>
      <c r="I269" s="77">
        <v>0</v>
      </c>
      <c r="J269" s="77">
        <v>0</v>
      </c>
      <c r="K269" s="77">
        <v>-14756822</v>
      </c>
      <c r="M269" s="301"/>
      <c r="N269" s="301"/>
      <c r="O269" s="301"/>
      <c r="P269" s="301"/>
      <c r="Q269" s="301"/>
      <c r="R269" s="301"/>
      <c r="S269" s="301"/>
    </row>
    <row r="270" spans="1:19" ht="14.25">
      <c r="A270" s="355">
        <f t="shared" si="21"/>
        <v>2</v>
      </c>
      <c r="B270" s="355">
        <v>0</v>
      </c>
      <c r="C270" s="355">
        <v>557</v>
      </c>
      <c r="D270" s="356">
        <v>390</v>
      </c>
      <c r="E270" s="355"/>
      <c r="F270" s="343"/>
      <c r="G270" s="154">
        <f t="shared" si="22"/>
        <v>20557390</v>
      </c>
      <c r="H270" s="77">
        <v>9153380</v>
      </c>
      <c r="I270" s="77">
        <v>0</v>
      </c>
      <c r="J270" s="77">
        <v>0</v>
      </c>
      <c r="K270" s="77">
        <v>9153380</v>
      </c>
      <c r="M270" s="301"/>
      <c r="N270" s="301"/>
      <c r="O270" s="301"/>
      <c r="P270" s="301"/>
      <c r="Q270" s="301"/>
      <c r="R270" s="301"/>
      <c r="S270" s="301"/>
    </row>
    <row r="271" spans="1:19" ht="14.25">
      <c r="A271" s="355">
        <f t="shared" si="21"/>
        <v>2</v>
      </c>
      <c r="B271" s="355">
        <v>0</v>
      </c>
      <c r="C271" s="355">
        <v>557</v>
      </c>
      <c r="D271" s="356">
        <v>610</v>
      </c>
      <c r="E271" s="355"/>
      <c r="F271" s="343"/>
      <c r="G271" s="154">
        <f>A271*10000000+B271*1000000+C271*1000+D271</f>
        <v>20557610</v>
      </c>
      <c r="H271" s="77">
        <v>4684</v>
      </c>
      <c r="I271" s="77">
        <v>4684</v>
      </c>
      <c r="J271" s="77">
        <v>0</v>
      </c>
      <c r="K271" s="77">
        <v>0</v>
      </c>
      <c r="M271" s="301"/>
      <c r="N271" s="301"/>
      <c r="O271" s="301"/>
      <c r="P271" s="301"/>
      <c r="Q271" s="301"/>
      <c r="R271" s="301"/>
      <c r="S271" s="301"/>
    </row>
    <row r="272" spans="1:19" ht="14.25">
      <c r="A272" s="355">
        <f t="shared" si="21"/>
        <v>2</v>
      </c>
      <c r="B272" s="355">
        <v>0</v>
      </c>
      <c r="C272" s="355">
        <v>557</v>
      </c>
      <c r="D272" s="356">
        <v>700</v>
      </c>
      <c r="E272" s="355"/>
      <c r="F272" s="343"/>
      <c r="G272" s="154">
        <f>A272*10000000+B272*1000000+C272*1000+D272</f>
        <v>20557700</v>
      </c>
      <c r="H272" s="77"/>
      <c r="I272" s="77"/>
      <c r="J272" s="77"/>
      <c r="K272" s="77"/>
      <c r="M272" s="301"/>
      <c r="N272" s="301"/>
      <c r="O272" s="301"/>
      <c r="P272" s="301"/>
      <c r="Q272" s="301"/>
      <c r="R272" s="301"/>
      <c r="S272" s="301"/>
    </row>
    <row r="273" spans="1:19" ht="14.25">
      <c r="A273" s="355">
        <f t="shared" si="21"/>
        <v>2</v>
      </c>
      <c r="B273" s="355">
        <v>0</v>
      </c>
      <c r="C273" s="355">
        <v>557</v>
      </c>
      <c r="D273" s="356">
        <v>990</v>
      </c>
      <c r="E273" s="355"/>
      <c r="F273" s="343"/>
      <c r="G273" s="154">
        <f t="shared" si="22"/>
        <v>20557990</v>
      </c>
      <c r="H273" s="77"/>
      <c r="I273" s="77"/>
      <c r="J273" s="77"/>
      <c r="K273" s="77"/>
      <c r="M273" s="301"/>
      <c r="N273" s="301"/>
      <c r="O273" s="301"/>
      <c r="P273" s="301"/>
      <c r="Q273" s="301"/>
      <c r="R273" s="301"/>
      <c r="S273" s="301"/>
    </row>
    <row r="274" spans="1:19" ht="14.25">
      <c r="A274" s="355">
        <f t="shared" si="21"/>
        <v>2</v>
      </c>
      <c r="B274" s="355">
        <v>0</v>
      </c>
      <c r="C274" s="355">
        <v>560</v>
      </c>
      <c r="D274" s="343">
        <v>0</v>
      </c>
      <c r="E274" s="355"/>
      <c r="F274" s="343"/>
      <c r="G274" s="154">
        <f t="shared" si="22"/>
        <v>20560000</v>
      </c>
      <c r="H274" s="77">
        <v>2101580</v>
      </c>
      <c r="I274" s="77">
        <v>2101580</v>
      </c>
      <c r="J274" s="77">
        <v>0</v>
      </c>
      <c r="K274" s="77">
        <v>0</v>
      </c>
      <c r="M274" s="301"/>
      <c r="N274" s="301"/>
      <c r="O274" s="301"/>
      <c r="P274" s="301"/>
      <c r="Q274" s="301"/>
      <c r="R274" s="301"/>
      <c r="S274" s="301"/>
    </row>
    <row r="275" spans="1:19" ht="14.25">
      <c r="A275" s="355">
        <f t="shared" si="21"/>
        <v>2</v>
      </c>
      <c r="B275" s="355">
        <v>0</v>
      </c>
      <c r="C275" s="355">
        <v>560</v>
      </c>
      <c r="D275" s="343">
        <v>350</v>
      </c>
      <c r="E275" s="355"/>
      <c r="F275" s="343"/>
      <c r="G275" s="154">
        <f>A275*10000000+B275*1000000+C275*1000+D275</f>
        <v>20560350</v>
      </c>
      <c r="H275" s="77">
        <v>229019</v>
      </c>
      <c r="I275" s="77">
        <v>0</v>
      </c>
      <c r="J275" s="77">
        <v>158213</v>
      </c>
      <c r="K275" s="77">
        <v>70806</v>
      </c>
      <c r="M275" s="301"/>
      <c r="N275" s="301"/>
      <c r="O275" s="301"/>
      <c r="P275" s="301"/>
      <c r="Q275" s="301"/>
      <c r="R275" s="301"/>
      <c r="S275" s="301"/>
    </row>
    <row r="276" spans="1:19" ht="14.25">
      <c r="A276" s="355">
        <f t="shared" si="21"/>
        <v>2</v>
      </c>
      <c r="B276" s="355">
        <v>0</v>
      </c>
      <c r="C276" s="355">
        <v>561</v>
      </c>
      <c r="D276" s="343">
        <v>0</v>
      </c>
      <c r="E276" s="355"/>
      <c r="F276" s="343"/>
      <c r="G276" s="154">
        <f t="shared" si="22"/>
        <v>20561000</v>
      </c>
      <c r="H276" s="77">
        <v>1971924</v>
      </c>
      <c r="I276" s="77">
        <v>1971924</v>
      </c>
      <c r="J276" s="77">
        <v>0</v>
      </c>
      <c r="K276" s="77">
        <v>0</v>
      </c>
      <c r="M276" s="301"/>
      <c r="N276" s="301"/>
      <c r="O276" s="301"/>
      <c r="P276" s="301"/>
      <c r="Q276" s="301"/>
      <c r="R276" s="301"/>
      <c r="S276" s="301"/>
    </row>
    <row r="277" spans="1:19" ht="14.25">
      <c r="A277" s="355">
        <f t="shared" si="21"/>
        <v>2</v>
      </c>
      <c r="B277" s="355">
        <v>0</v>
      </c>
      <c r="C277" s="355">
        <v>562</v>
      </c>
      <c r="D277" s="343">
        <v>0</v>
      </c>
      <c r="E277" s="355"/>
      <c r="F277" s="343"/>
      <c r="G277" s="154">
        <f t="shared" si="22"/>
        <v>20562000</v>
      </c>
      <c r="H277" s="77">
        <v>262556</v>
      </c>
      <c r="I277" s="77">
        <v>262556</v>
      </c>
      <c r="J277" s="77">
        <v>0</v>
      </c>
      <c r="K277" s="77">
        <v>0</v>
      </c>
      <c r="M277" s="301"/>
      <c r="N277" s="301"/>
      <c r="O277" s="301"/>
      <c r="P277" s="301"/>
      <c r="Q277" s="301"/>
      <c r="R277" s="301"/>
      <c r="S277" s="301"/>
    </row>
    <row r="278" spans="1:19" ht="14.25">
      <c r="A278" s="355">
        <f t="shared" si="21"/>
        <v>2</v>
      </c>
      <c r="B278" s="355">
        <v>0</v>
      </c>
      <c r="C278" s="355">
        <v>563</v>
      </c>
      <c r="D278" s="343">
        <v>0</v>
      </c>
      <c r="E278" s="355"/>
      <c r="F278" s="343"/>
      <c r="G278" s="154">
        <f t="shared" si="22"/>
        <v>20563000</v>
      </c>
      <c r="H278" s="77">
        <v>415834</v>
      </c>
      <c r="I278" s="77">
        <v>415834</v>
      </c>
      <c r="J278" s="77">
        <v>0</v>
      </c>
      <c r="K278" s="77">
        <v>0</v>
      </c>
      <c r="M278" s="301"/>
      <c r="N278" s="301"/>
      <c r="O278" s="301"/>
      <c r="P278" s="301"/>
      <c r="Q278" s="301"/>
      <c r="R278" s="301"/>
      <c r="S278" s="301"/>
    </row>
    <row r="279" spans="1:19" ht="12.75">
      <c r="A279" s="355">
        <f t="shared" si="21"/>
        <v>2</v>
      </c>
      <c r="B279" s="355">
        <v>0</v>
      </c>
      <c r="C279" s="355">
        <v>565</v>
      </c>
      <c r="D279" s="343">
        <v>0</v>
      </c>
      <c r="E279" s="355"/>
      <c r="F279" s="343"/>
      <c r="G279" s="154">
        <f t="shared" si="22"/>
        <v>20565000</v>
      </c>
      <c r="H279" s="77">
        <v>13733426</v>
      </c>
      <c r="I279" s="77">
        <v>13733426</v>
      </c>
      <c r="J279" s="77">
        <v>0</v>
      </c>
      <c r="K279" s="77">
        <v>0</v>
      </c>
      <c r="M279" s="301"/>
      <c r="N279" s="301"/>
      <c r="O279" s="301"/>
      <c r="P279" s="301"/>
      <c r="Q279" s="301"/>
      <c r="R279" s="301"/>
      <c r="S279" s="301"/>
    </row>
    <row r="280" spans="1:19" ht="12.75">
      <c r="A280" s="355">
        <f t="shared" si="21"/>
        <v>2</v>
      </c>
      <c r="B280" s="355">
        <v>0</v>
      </c>
      <c r="C280" s="355">
        <v>566</v>
      </c>
      <c r="D280" s="343">
        <v>0</v>
      </c>
      <c r="E280" s="355"/>
      <c r="F280" s="343"/>
      <c r="G280" s="154">
        <f t="shared" si="22"/>
        <v>20566000</v>
      </c>
      <c r="H280" s="77">
        <v>1250025</v>
      </c>
      <c r="I280" s="77">
        <v>1250025</v>
      </c>
      <c r="J280" s="77">
        <v>0</v>
      </c>
      <c r="K280" s="77">
        <v>0</v>
      </c>
      <c r="M280" s="301"/>
      <c r="N280" s="301"/>
      <c r="O280" s="301"/>
      <c r="P280" s="301"/>
      <c r="Q280" s="301"/>
      <c r="R280" s="301"/>
      <c r="S280" s="301"/>
    </row>
    <row r="281" spans="1:19" ht="12.75">
      <c r="A281" s="355">
        <f t="shared" si="21"/>
        <v>2</v>
      </c>
      <c r="B281" s="355">
        <v>0</v>
      </c>
      <c r="C281" s="355">
        <v>567</v>
      </c>
      <c r="D281" s="343">
        <v>0</v>
      </c>
      <c r="E281" s="355"/>
      <c r="F281" s="343"/>
      <c r="G281" s="154">
        <f t="shared" si="22"/>
        <v>20567000</v>
      </c>
      <c r="H281" s="77">
        <v>88491</v>
      </c>
      <c r="I281" s="77">
        <v>88491</v>
      </c>
      <c r="J281" s="77">
        <v>0</v>
      </c>
      <c r="K281" s="77">
        <v>0</v>
      </c>
      <c r="M281" s="301"/>
      <c r="N281" s="301"/>
      <c r="O281" s="301"/>
      <c r="P281" s="301"/>
      <c r="Q281" s="301"/>
      <c r="R281" s="301"/>
      <c r="S281" s="301"/>
    </row>
    <row r="282" spans="1:19" ht="12.75">
      <c r="A282" s="355">
        <f t="shared" si="21"/>
        <v>2</v>
      </c>
      <c r="B282" s="355">
        <v>0</v>
      </c>
      <c r="C282" s="355">
        <v>568</v>
      </c>
      <c r="D282" s="343">
        <v>0</v>
      </c>
      <c r="E282" s="355"/>
      <c r="F282" s="343"/>
      <c r="G282" s="154">
        <f t="shared" si="22"/>
        <v>20568000</v>
      </c>
      <c r="H282" s="77">
        <v>539369</v>
      </c>
      <c r="I282" s="77">
        <v>539369</v>
      </c>
      <c r="J282" s="77">
        <v>0</v>
      </c>
      <c r="K282" s="77">
        <v>0</v>
      </c>
      <c r="M282" s="301"/>
      <c r="N282" s="301"/>
      <c r="O282" s="301"/>
      <c r="P282" s="301"/>
      <c r="Q282" s="301"/>
      <c r="R282" s="301"/>
      <c r="S282" s="301"/>
    </row>
    <row r="283" spans="1:19" ht="12.75">
      <c r="A283" s="355">
        <f t="shared" si="21"/>
        <v>2</v>
      </c>
      <c r="B283" s="355">
        <v>0</v>
      </c>
      <c r="C283" s="355">
        <v>569</v>
      </c>
      <c r="D283" s="343">
        <v>0</v>
      </c>
      <c r="E283" s="355"/>
      <c r="F283" s="343"/>
      <c r="G283" s="154">
        <f t="shared" si="22"/>
        <v>20569000</v>
      </c>
      <c r="H283" s="77">
        <v>331225</v>
      </c>
      <c r="I283" s="77">
        <v>331225</v>
      </c>
      <c r="J283" s="77">
        <v>0</v>
      </c>
      <c r="K283" s="77">
        <v>0</v>
      </c>
      <c r="M283" s="301"/>
      <c r="N283" s="301"/>
      <c r="O283" s="301"/>
      <c r="P283" s="301"/>
      <c r="Q283" s="301"/>
      <c r="R283" s="301"/>
      <c r="S283" s="301"/>
    </row>
    <row r="284" spans="1:19" ht="12.75">
      <c r="A284" s="355">
        <f t="shared" si="21"/>
        <v>2</v>
      </c>
      <c r="B284" s="355">
        <v>0</v>
      </c>
      <c r="C284" s="355">
        <v>570</v>
      </c>
      <c r="D284" s="343">
        <v>0</v>
      </c>
      <c r="E284" s="355"/>
      <c r="F284" s="343"/>
      <c r="G284" s="154">
        <f t="shared" si="22"/>
        <v>20570000</v>
      </c>
      <c r="H284" s="77">
        <v>1191392</v>
      </c>
      <c r="I284" s="77">
        <v>1191392</v>
      </c>
      <c r="J284" s="77">
        <v>0</v>
      </c>
      <c r="K284" s="77">
        <v>0</v>
      </c>
      <c r="M284" s="301"/>
      <c r="N284" s="301"/>
      <c r="O284" s="301"/>
      <c r="P284" s="301"/>
      <c r="Q284" s="301"/>
      <c r="R284" s="301"/>
      <c r="S284" s="301"/>
    </row>
    <row r="285" spans="1:19" ht="12.75">
      <c r="A285" s="355">
        <f t="shared" si="21"/>
        <v>2</v>
      </c>
      <c r="B285" s="355">
        <v>0</v>
      </c>
      <c r="C285" s="355">
        <v>571</v>
      </c>
      <c r="D285" s="343">
        <v>0</v>
      </c>
      <c r="E285" s="355"/>
      <c r="F285" s="343"/>
      <c r="G285" s="154">
        <f t="shared" si="22"/>
        <v>20571000</v>
      </c>
      <c r="H285" s="77">
        <v>1288518</v>
      </c>
      <c r="I285" s="77">
        <v>1288518</v>
      </c>
      <c r="J285" s="77">
        <v>0</v>
      </c>
      <c r="K285" s="77">
        <v>0</v>
      </c>
      <c r="M285" s="301"/>
      <c r="N285" s="301"/>
      <c r="O285" s="301"/>
      <c r="P285" s="301"/>
      <c r="Q285" s="301"/>
      <c r="R285" s="301"/>
      <c r="S285" s="301"/>
    </row>
    <row r="286" spans="1:19" ht="12.75">
      <c r="A286" s="355">
        <f t="shared" si="21"/>
        <v>2</v>
      </c>
      <c r="B286" s="355">
        <v>0</v>
      </c>
      <c r="C286" s="355">
        <v>572</v>
      </c>
      <c r="D286" s="343">
        <v>0</v>
      </c>
      <c r="E286" s="355"/>
      <c r="F286" s="343"/>
      <c r="G286" s="154">
        <f t="shared" si="22"/>
        <v>20572000</v>
      </c>
      <c r="H286" s="77">
        <v>6021</v>
      </c>
      <c r="I286" s="77">
        <v>6021</v>
      </c>
      <c r="J286" s="77">
        <v>0</v>
      </c>
      <c r="K286" s="77">
        <v>0</v>
      </c>
      <c r="M286" s="301"/>
      <c r="N286" s="301"/>
      <c r="O286" s="301"/>
      <c r="P286" s="301"/>
      <c r="Q286" s="301"/>
      <c r="R286" s="301"/>
      <c r="S286" s="301"/>
    </row>
    <row r="287" spans="1:19" ht="12.75">
      <c r="A287" s="355">
        <f t="shared" si="21"/>
        <v>2</v>
      </c>
      <c r="B287" s="355">
        <v>0</v>
      </c>
      <c r="C287" s="355">
        <v>573</v>
      </c>
      <c r="D287" s="343">
        <v>0</v>
      </c>
      <c r="E287" s="355"/>
      <c r="F287" s="343"/>
      <c r="G287" s="154">
        <f>A287*10000000+B287*1000000+C287*1000+D287</f>
        <v>20573000</v>
      </c>
      <c r="H287" s="77">
        <v>27120</v>
      </c>
      <c r="I287" s="77">
        <v>27120</v>
      </c>
      <c r="J287" s="77">
        <v>0</v>
      </c>
      <c r="K287" s="77">
        <v>0</v>
      </c>
      <c r="M287" s="301"/>
      <c r="N287" s="301"/>
      <c r="O287" s="301"/>
      <c r="P287" s="301"/>
      <c r="Q287" s="301"/>
      <c r="R287" s="301"/>
      <c r="S287" s="301"/>
    </row>
    <row r="288" spans="1:19" ht="12.75">
      <c r="A288" s="355">
        <f t="shared" si="21"/>
        <v>2</v>
      </c>
      <c r="B288" s="355">
        <v>0</v>
      </c>
      <c r="C288" s="355">
        <v>580</v>
      </c>
      <c r="D288" s="343">
        <v>0</v>
      </c>
      <c r="E288" s="355"/>
      <c r="F288" s="343"/>
      <c r="G288" s="154">
        <f t="shared" si="22"/>
        <v>20580000</v>
      </c>
      <c r="H288" s="77">
        <v>1349296</v>
      </c>
      <c r="I288" s="77">
        <v>1049171</v>
      </c>
      <c r="J288" s="77">
        <v>201587</v>
      </c>
      <c r="K288" s="77">
        <v>98539</v>
      </c>
      <c r="M288" s="301"/>
      <c r="N288" s="301"/>
      <c r="O288" s="301"/>
      <c r="P288" s="301"/>
      <c r="Q288" s="301"/>
      <c r="R288" s="301"/>
      <c r="S288" s="301"/>
    </row>
    <row r="289" spans="1:19" ht="12.75">
      <c r="A289" s="355">
        <f t="shared" si="21"/>
        <v>2</v>
      </c>
      <c r="B289" s="355">
        <v>0</v>
      </c>
      <c r="C289" s="355">
        <v>582</v>
      </c>
      <c r="D289" s="343">
        <v>0</v>
      </c>
      <c r="E289" s="355"/>
      <c r="F289" s="343"/>
      <c r="G289" s="154">
        <f t="shared" si="22"/>
        <v>20582000</v>
      </c>
      <c r="H289" s="77">
        <v>614734</v>
      </c>
      <c r="I289" s="77">
        <v>3228</v>
      </c>
      <c r="J289" s="77">
        <v>354155</v>
      </c>
      <c r="K289" s="77">
        <v>257351</v>
      </c>
      <c r="M289" s="301"/>
      <c r="N289" s="301"/>
      <c r="O289" s="301"/>
      <c r="P289" s="301"/>
      <c r="Q289" s="301"/>
      <c r="R289" s="301"/>
      <c r="S289" s="301"/>
    </row>
    <row r="290" spans="1:19" ht="12.75">
      <c r="A290" s="355">
        <f t="shared" si="21"/>
        <v>2</v>
      </c>
      <c r="B290" s="355">
        <v>0</v>
      </c>
      <c r="C290" s="355">
        <v>583</v>
      </c>
      <c r="D290" s="343">
        <v>0</v>
      </c>
      <c r="E290" s="355"/>
      <c r="F290" s="343"/>
      <c r="G290" s="154">
        <f t="shared" si="22"/>
        <v>20583000</v>
      </c>
      <c r="H290" s="77">
        <v>1755830</v>
      </c>
      <c r="I290" s="77">
        <v>1014229</v>
      </c>
      <c r="J290" s="77">
        <v>590246</v>
      </c>
      <c r="K290" s="77">
        <v>151355</v>
      </c>
      <c r="M290" s="301"/>
      <c r="N290" s="301"/>
      <c r="O290" s="301"/>
      <c r="P290" s="301"/>
      <c r="Q290" s="301"/>
      <c r="R290" s="301"/>
      <c r="S290" s="301"/>
    </row>
    <row r="291" spans="1:19" ht="12.75">
      <c r="A291" s="355">
        <f t="shared" si="21"/>
        <v>2</v>
      </c>
      <c r="B291" s="355">
        <v>0</v>
      </c>
      <c r="C291" s="355">
        <v>584</v>
      </c>
      <c r="D291" s="343">
        <v>0</v>
      </c>
      <c r="E291" s="355"/>
      <c r="F291" s="343"/>
      <c r="G291" s="154">
        <f t="shared" si="22"/>
        <v>20584000</v>
      </c>
      <c r="H291" s="77">
        <v>1114275</v>
      </c>
      <c r="I291" s="77">
        <v>0</v>
      </c>
      <c r="J291" s="77">
        <v>743851</v>
      </c>
      <c r="K291" s="77">
        <v>370423</v>
      </c>
      <c r="M291" s="301"/>
      <c r="N291" s="301"/>
      <c r="O291" s="301"/>
      <c r="P291" s="301"/>
      <c r="Q291" s="301"/>
      <c r="R291" s="301"/>
      <c r="S291" s="301"/>
    </row>
    <row r="292" spans="1:19" ht="12.75">
      <c r="A292" s="355">
        <f t="shared" si="21"/>
        <v>2</v>
      </c>
      <c r="B292" s="355">
        <v>0</v>
      </c>
      <c r="C292" s="355">
        <v>585</v>
      </c>
      <c r="D292" s="343">
        <v>0</v>
      </c>
      <c r="E292" s="355"/>
      <c r="F292" s="343"/>
      <c r="G292" s="154">
        <f t="shared" si="22"/>
        <v>20585000</v>
      </c>
      <c r="H292" s="77">
        <v>211145</v>
      </c>
      <c r="I292" s="77">
        <v>0</v>
      </c>
      <c r="J292" s="77">
        <v>46425</v>
      </c>
      <c r="K292" s="77">
        <v>164720</v>
      </c>
      <c r="M292" s="301"/>
      <c r="N292" s="301"/>
      <c r="O292" s="301"/>
      <c r="P292" s="301"/>
      <c r="Q292" s="301"/>
      <c r="R292" s="301"/>
      <c r="S292" s="301"/>
    </row>
    <row r="293" spans="1:19" ht="12.75">
      <c r="A293" s="355">
        <f t="shared" si="21"/>
        <v>2</v>
      </c>
      <c r="B293" s="355">
        <v>0</v>
      </c>
      <c r="C293" s="355">
        <v>586</v>
      </c>
      <c r="D293" s="343">
        <v>0</v>
      </c>
      <c r="E293" s="355"/>
      <c r="F293" s="343"/>
      <c r="G293" s="154">
        <f t="shared" si="22"/>
        <v>20586000</v>
      </c>
      <c r="H293" s="77">
        <v>1254657</v>
      </c>
      <c r="I293" s="77">
        <v>7342</v>
      </c>
      <c r="J293" s="77">
        <v>1267734</v>
      </c>
      <c r="K293" s="77">
        <v>-20419</v>
      </c>
      <c r="M293" s="301"/>
      <c r="N293" s="301"/>
      <c r="O293" s="301"/>
      <c r="P293" s="301"/>
      <c r="Q293" s="301"/>
      <c r="R293" s="301"/>
      <c r="S293" s="301"/>
    </row>
    <row r="294" spans="1:19" ht="12.75">
      <c r="A294" s="355">
        <f t="shared" si="21"/>
        <v>2</v>
      </c>
      <c r="B294" s="355">
        <v>0</v>
      </c>
      <c r="C294" s="355">
        <v>587</v>
      </c>
      <c r="D294" s="343">
        <v>0</v>
      </c>
      <c r="E294" s="355"/>
      <c r="F294" s="343"/>
      <c r="G294" s="154">
        <f t="shared" si="22"/>
        <v>20587000</v>
      </c>
      <c r="H294" s="77">
        <v>850392</v>
      </c>
      <c r="I294" s="77">
        <v>9862</v>
      </c>
      <c r="J294" s="77">
        <v>387168</v>
      </c>
      <c r="K294" s="77">
        <v>453362</v>
      </c>
      <c r="M294" s="301"/>
      <c r="N294" s="301"/>
      <c r="O294" s="301"/>
      <c r="P294" s="301"/>
      <c r="Q294" s="301"/>
      <c r="R294" s="301"/>
      <c r="S294" s="301"/>
    </row>
    <row r="295" spans="1:19" ht="12.75">
      <c r="A295" s="355">
        <f t="shared" si="21"/>
        <v>2</v>
      </c>
      <c r="B295" s="355">
        <v>0</v>
      </c>
      <c r="C295" s="355">
        <v>588</v>
      </c>
      <c r="D295" s="343">
        <v>0</v>
      </c>
      <c r="E295" s="355"/>
      <c r="F295" s="343"/>
      <c r="G295" s="154">
        <f t="shared" si="22"/>
        <v>20588000</v>
      </c>
      <c r="H295" s="77">
        <v>5276081</v>
      </c>
      <c r="I295" s="77">
        <v>2507648</v>
      </c>
      <c r="J295" s="77">
        <v>1852096</v>
      </c>
      <c r="K295" s="77">
        <v>916337</v>
      </c>
      <c r="M295" s="301"/>
      <c r="N295" s="301"/>
      <c r="O295" s="301"/>
      <c r="P295" s="301"/>
      <c r="Q295" s="301"/>
      <c r="R295" s="301"/>
      <c r="S295" s="301"/>
    </row>
    <row r="296" spans="1:19" ht="12.75">
      <c r="A296" s="355">
        <f t="shared" si="21"/>
        <v>2</v>
      </c>
      <c r="B296" s="355">
        <v>0</v>
      </c>
      <c r="C296" s="355">
        <v>589</v>
      </c>
      <c r="D296" s="343">
        <v>0</v>
      </c>
      <c r="E296" s="355"/>
      <c r="F296" s="343"/>
      <c r="G296" s="154">
        <f t="shared" si="22"/>
        <v>20589000</v>
      </c>
      <c r="H296" s="77">
        <v>148761</v>
      </c>
      <c r="I296" s="77">
        <v>146311</v>
      </c>
      <c r="J296" s="77">
        <v>2187</v>
      </c>
      <c r="K296" s="77">
        <v>263</v>
      </c>
      <c r="M296" s="301"/>
      <c r="N296" s="301"/>
      <c r="O296" s="301"/>
      <c r="P296" s="301"/>
      <c r="Q296" s="301"/>
      <c r="R296" s="301"/>
      <c r="S296" s="301"/>
    </row>
    <row r="297" spans="1:19" ht="12.75">
      <c r="A297" s="355">
        <f t="shared" si="21"/>
        <v>2</v>
      </c>
      <c r="B297" s="355">
        <v>0</v>
      </c>
      <c r="C297" s="355">
        <v>590</v>
      </c>
      <c r="D297" s="343">
        <v>0</v>
      </c>
      <c r="E297" s="355"/>
      <c r="F297" s="343"/>
      <c r="G297" s="154">
        <f t="shared" si="22"/>
        <v>20590000</v>
      </c>
      <c r="H297" s="77">
        <v>1349003</v>
      </c>
      <c r="I297" s="77">
        <v>825051</v>
      </c>
      <c r="J297" s="77">
        <v>352040</v>
      </c>
      <c r="K297" s="77">
        <v>171912</v>
      </c>
      <c r="M297" s="301"/>
      <c r="N297" s="301"/>
      <c r="O297" s="301"/>
      <c r="P297" s="301"/>
      <c r="Q297" s="301"/>
      <c r="R297" s="301"/>
      <c r="S297" s="301"/>
    </row>
    <row r="298" spans="1:19" ht="12.75">
      <c r="A298" s="355">
        <f t="shared" si="21"/>
        <v>2</v>
      </c>
      <c r="B298" s="355">
        <v>0</v>
      </c>
      <c r="C298" s="355">
        <v>591</v>
      </c>
      <c r="D298" s="343">
        <v>0</v>
      </c>
      <c r="E298" s="355"/>
      <c r="F298" s="343"/>
      <c r="G298" s="154">
        <f t="shared" si="22"/>
        <v>20591000</v>
      </c>
      <c r="H298" s="77">
        <v>242464</v>
      </c>
      <c r="I298" s="77">
        <v>605</v>
      </c>
      <c r="J298" s="77">
        <v>192997</v>
      </c>
      <c r="K298" s="77">
        <v>48861</v>
      </c>
      <c r="M298" s="301"/>
      <c r="N298" s="301"/>
      <c r="O298" s="301"/>
      <c r="P298" s="301"/>
      <c r="Q298" s="301"/>
      <c r="R298" s="301"/>
      <c r="S298" s="301"/>
    </row>
    <row r="299" spans="1:19" ht="12.75">
      <c r="A299" s="355">
        <f t="shared" si="21"/>
        <v>2</v>
      </c>
      <c r="B299" s="355">
        <v>0</v>
      </c>
      <c r="C299" s="355">
        <v>592</v>
      </c>
      <c r="D299" s="343">
        <v>0</v>
      </c>
      <c r="E299" s="355"/>
      <c r="F299" s="343"/>
      <c r="G299" s="154">
        <f t="shared" si="22"/>
        <v>20592000</v>
      </c>
      <c r="H299" s="77">
        <v>721346</v>
      </c>
      <c r="I299" s="77">
        <v>4241</v>
      </c>
      <c r="J299" s="77">
        <v>577835</v>
      </c>
      <c r="K299" s="77">
        <v>139270</v>
      </c>
      <c r="M299" s="301"/>
      <c r="N299" s="301"/>
      <c r="O299" s="301"/>
      <c r="P299" s="301"/>
      <c r="Q299" s="301"/>
      <c r="R299" s="301"/>
      <c r="S299" s="301"/>
    </row>
    <row r="300" spans="1:19" ht="12.75">
      <c r="A300" s="355">
        <f t="shared" si="21"/>
        <v>2</v>
      </c>
      <c r="B300" s="355">
        <v>0</v>
      </c>
      <c r="C300" s="355">
        <v>593</v>
      </c>
      <c r="D300" s="343">
        <v>0</v>
      </c>
      <c r="E300" s="355"/>
      <c r="F300" s="343"/>
      <c r="G300" s="154">
        <f t="shared" si="22"/>
        <v>20593000</v>
      </c>
      <c r="H300" s="77">
        <v>8032085</v>
      </c>
      <c r="I300" s="77">
        <v>4820</v>
      </c>
      <c r="J300" s="77">
        <v>4843880</v>
      </c>
      <c r="K300" s="77">
        <v>3183385</v>
      </c>
      <c r="M300" s="301"/>
      <c r="N300" s="301"/>
      <c r="O300" s="301"/>
      <c r="P300" s="301"/>
      <c r="Q300" s="301"/>
      <c r="R300" s="301"/>
      <c r="S300" s="301"/>
    </row>
    <row r="301" spans="1:19" ht="12.75">
      <c r="A301" s="355">
        <f t="shared" si="21"/>
        <v>2</v>
      </c>
      <c r="B301" s="355">
        <v>0</v>
      </c>
      <c r="C301" s="355">
        <v>594</v>
      </c>
      <c r="D301" s="343">
        <v>0</v>
      </c>
      <c r="E301" s="355"/>
      <c r="F301" s="343"/>
      <c r="G301" s="154">
        <f t="shared" si="22"/>
        <v>20594000</v>
      </c>
      <c r="H301" s="77">
        <v>1062818</v>
      </c>
      <c r="I301" s="77">
        <v>0</v>
      </c>
      <c r="J301" s="77">
        <v>777402</v>
      </c>
      <c r="K301" s="77">
        <v>285416</v>
      </c>
      <c r="M301" s="301"/>
      <c r="N301" s="301"/>
      <c r="O301" s="301"/>
      <c r="P301" s="301"/>
      <c r="Q301" s="301"/>
      <c r="R301" s="301"/>
      <c r="S301" s="301"/>
    </row>
    <row r="302" spans="1:19" ht="12.75">
      <c r="A302" s="355">
        <f aca="true" t="shared" si="23" ref="A302:A313">IF(months=1,1,2)</f>
        <v>2</v>
      </c>
      <c r="B302" s="355">
        <v>0</v>
      </c>
      <c r="C302" s="355">
        <v>595</v>
      </c>
      <c r="D302" s="343">
        <v>0</v>
      </c>
      <c r="E302" s="355"/>
      <c r="F302" s="343"/>
      <c r="G302" s="154">
        <f t="shared" si="22"/>
        <v>20595000</v>
      </c>
      <c r="H302" s="77">
        <v>647409</v>
      </c>
      <c r="I302" s="77">
        <v>148815</v>
      </c>
      <c r="J302" s="77">
        <v>449078</v>
      </c>
      <c r="K302" s="77">
        <v>49516</v>
      </c>
      <c r="M302" s="301"/>
      <c r="N302" s="301"/>
      <c r="O302" s="301"/>
      <c r="P302" s="301"/>
      <c r="Q302" s="301"/>
      <c r="R302" s="301"/>
      <c r="S302" s="301"/>
    </row>
    <row r="303" spans="1:19" ht="12.75">
      <c r="A303" s="355">
        <f t="shared" si="23"/>
        <v>2</v>
      </c>
      <c r="B303" s="355">
        <v>0</v>
      </c>
      <c r="C303" s="355">
        <v>596</v>
      </c>
      <c r="D303" s="343">
        <v>0</v>
      </c>
      <c r="E303" s="355"/>
      <c r="F303" s="343"/>
      <c r="G303" s="154">
        <f t="shared" si="22"/>
        <v>20596000</v>
      </c>
      <c r="H303" s="77">
        <v>597273</v>
      </c>
      <c r="I303" s="77">
        <v>0</v>
      </c>
      <c r="J303" s="77">
        <v>446086</v>
      </c>
      <c r="K303" s="77">
        <v>151187</v>
      </c>
      <c r="M303" s="301"/>
      <c r="N303" s="301"/>
      <c r="O303" s="301"/>
      <c r="P303" s="301"/>
      <c r="Q303" s="301"/>
      <c r="R303" s="301"/>
      <c r="S303" s="301"/>
    </row>
    <row r="304" spans="1:19" ht="12.75">
      <c r="A304" s="355">
        <f t="shared" si="23"/>
        <v>2</v>
      </c>
      <c r="B304" s="355">
        <v>0</v>
      </c>
      <c r="C304" s="355">
        <v>597</v>
      </c>
      <c r="D304" s="343">
        <v>0</v>
      </c>
      <c r="E304" s="355"/>
      <c r="F304" s="343"/>
      <c r="G304" s="154">
        <f t="shared" si="22"/>
        <v>20597000</v>
      </c>
      <c r="H304" s="77">
        <v>154331</v>
      </c>
      <c r="I304" s="77">
        <v>0</v>
      </c>
      <c r="J304" s="77">
        <v>100526</v>
      </c>
      <c r="K304" s="77">
        <v>53805</v>
      </c>
      <c r="M304" s="301"/>
      <c r="N304" s="301"/>
      <c r="O304" s="301"/>
      <c r="P304" s="301"/>
      <c r="Q304" s="301"/>
      <c r="R304" s="301"/>
      <c r="S304" s="301"/>
    </row>
    <row r="305" spans="1:19" ht="12.75">
      <c r="A305" s="355">
        <f t="shared" si="23"/>
        <v>2</v>
      </c>
      <c r="B305" s="355">
        <v>0</v>
      </c>
      <c r="C305" s="355">
        <v>598</v>
      </c>
      <c r="D305" s="343">
        <v>0</v>
      </c>
      <c r="E305" s="355"/>
      <c r="F305" s="343"/>
      <c r="G305" s="154">
        <f t="shared" si="22"/>
        <v>20598000</v>
      </c>
      <c r="H305" s="77">
        <v>477481</v>
      </c>
      <c r="I305" s="77">
        <v>-8199</v>
      </c>
      <c r="J305" s="77">
        <v>276593</v>
      </c>
      <c r="K305" s="77">
        <v>209086</v>
      </c>
      <c r="M305" s="301"/>
      <c r="N305" s="301"/>
      <c r="O305" s="301"/>
      <c r="P305" s="301"/>
      <c r="Q305" s="301"/>
      <c r="R305" s="301"/>
      <c r="S305" s="301"/>
    </row>
    <row r="306" spans="1:19" ht="12.75">
      <c r="A306" s="355">
        <f t="shared" si="23"/>
        <v>2</v>
      </c>
      <c r="B306" s="355">
        <v>0</v>
      </c>
      <c r="C306" s="355">
        <v>901</v>
      </c>
      <c r="D306" s="343">
        <v>0</v>
      </c>
      <c r="E306" s="355"/>
      <c r="F306" s="343"/>
      <c r="G306" s="154">
        <f t="shared" si="22"/>
        <v>20901000</v>
      </c>
      <c r="H306" s="77">
        <v>502956</v>
      </c>
      <c r="I306" s="77">
        <v>502956</v>
      </c>
      <c r="J306" s="77">
        <v>0</v>
      </c>
      <c r="K306" s="77">
        <v>0</v>
      </c>
      <c r="M306" s="301"/>
      <c r="N306" s="301"/>
      <c r="O306" s="301"/>
      <c r="P306" s="301"/>
      <c r="Q306" s="301"/>
      <c r="R306" s="301"/>
      <c r="S306" s="301"/>
    </row>
    <row r="307" spans="1:19" ht="12.75">
      <c r="A307" s="355">
        <f t="shared" si="23"/>
        <v>2</v>
      </c>
      <c r="B307" s="355">
        <v>0</v>
      </c>
      <c r="C307" s="355">
        <v>902</v>
      </c>
      <c r="D307" s="343">
        <v>0</v>
      </c>
      <c r="E307" s="355"/>
      <c r="F307" s="343"/>
      <c r="G307" s="154">
        <f t="shared" si="22"/>
        <v>20902000</v>
      </c>
      <c r="H307" s="77">
        <v>2297250</v>
      </c>
      <c r="I307" s="77">
        <v>0</v>
      </c>
      <c r="J307" s="77">
        <v>2003832</v>
      </c>
      <c r="K307" s="77">
        <v>293418</v>
      </c>
      <c r="M307" s="301"/>
      <c r="N307" s="301"/>
      <c r="O307" s="301"/>
      <c r="P307" s="301"/>
      <c r="Q307" s="301"/>
      <c r="R307" s="301"/>
      <c r="S307" s="301"/>
    </row>
    <row r="308" spans="1:19" ht="12.75">
      <c r="A308" s="355">
        <f t="shared" si="23"/>
        <v>2</v>
      </c>
      <c r="B308" s="355">
        <v>0</v>
      </c>
      <c r="C308" s="355">
        <v>903</v>
      </c>
      <c r="D308" s="343">
        <v>0</v>
      </c>
      <c r="E308" s="355"/>
      <c r="F308" s="343"/>
      <c r="G308" s="154">
        <f t="shared" si="22"/>
        <v>20903000</v>
      </c>
      <c r="H308" s="77">
        <v>6701636</v>
      </c>
      <c r="I308" s="77">
        <v>5158250</v>
      </c>
      <c r="J308" s="77">
        <v>1074987</v>
      </c>
      <c r="K308" s="77">
        <v>468399</v>
      </c>
      <c r="M308" s="301"/>
      <c r="N308" s="301"/>
      <c r="O308" s="301"/>
      <c r="P308" s="301"/>
      <c r="Q308" s="301"/>
      <c r="R308" s="301"/>
      <c r="S308" s="301"/>
    </row>
    <row r="309" spans="1:19" ht="12.75">
      <c r="A309" s="355">
        <f t="shared" si="23"/>
        <v>2</v>
      </c>
      <c r="B309" s="355">
        <v>0</v>
      </c>
      <c r="C309" s="355">
        <v>903</v>
      </c>
      <c r="D309" s="343">
        <v>920</v>
      </c>
      <c r="E309" s="355"/>
      <c r="F309" s="343"/>
      <c r="G309" s="154">
        <f>A309*10000000+B309*1000000+C309*1000+D309</f>
        <v>20903920</v>
      </c>
      <c r="H309" s="77">
        <v>151658</v>
      </c>
      <c r="I309" s="77">
        <v>151658</v>
      </c>
      <c r="J309" s="77">
        <v>0</v>
      </c>
      <c r="K309" s="77">
        <v>0</v>
      </c>
      <c r="M309" s="301"/>
      <c r="N309" s="301"/>
      <c r="O309" s="301"/>
      <c r="P309" s="301"/>
      <c r="Q309" s="301"/>
      <c r="R309" s="301"/>
      <c r="S309" s="301"/>
    </row>
    <row r="310" spans="1:19" ht="12.75">
      <c r="A310" s="355">
        <f t="shared" si="23"/>
        <v>2</v>
      </c>
      <c r="B310" s="355">
        <v>0</v>
      </c>
      <c r="C310" s="355">
        <v>903</v>
      </c>
      <c r="D310" s="343">
        <v>930</v>
      </c>
      <c r="E310" s="355"/>
      <c r="F310" s="343"/>
      <c r="G310" s="154">
        <f>A310*10000000+B310*1000000+C310*1000+D310</f>
        <v>20903930</v>
      </c>
      <c r="H310" s="77">
        <v>660002</v>
      </c>
      <c r="I310" s="77">
        <v>660002</v>
      </c>
      <c r="J310" s="77">
        <v>0</v>
      </c>
      <c r="K310" s="77">
        <v>0</v>
      </c>
      <c r="M310" s="301"/>
      <c r="N310" s="301"/>
      <c r="O310" s="301"/>
      <c r="P310" s="301"/>
      <c r="Q310" s="301"/>
      <c r="R310" s="301"/>
      <c r="S310" s="301"/>
    </row>
    <row r="311" spans="1:19" ht="12.75">
      <c r="A311" s="355">
        <f t="shared" si="23"/>
        <v>2</v>
      </c>
      <c r="B311" s="355">
        <v>0</v>
      </c>
      <c r="C311" s="355">
        <v>904</v>
      </c>
      <c r="D311" s="343">
        <v>0</v>
      </c>
      <c r="E311" s="355"/>
      <c r="F311" s="343"/>
      <c r="G311" s="154">
        <f aca="true" t="shared" si="24" ref="G311:G335">A311*10000000+B311*1000000+C311*1000+D311</f>
        <v>20904000</v>
      </c>
      <c r="H311" s="77">
        <v>1729177</v>
      </c>
      <c r="I311" s="77">
        <v>1729177</v>
      </c>
      <c r="J311" s="77">
        <v>0</v>
      </c>
      <c r="K311" s="77">
        <v>0</v>
      </c>
      <c r="M311" s="301"/>
      <c r="N311" s="301"/>
      <c r="O311" s="301"/>
      <c r="P311" s="301"/>
      <c r="Q311" s="301"/>
      <c r="R311" s="301"/>
      <c r="S311" s="301"/>
    </row>
    <row r="312" spans="1:19" ht="12.75">
      <c r="A312" s="355">
        <f t="shared" si="23"/>
        <v>2</v>
      </c>
      <c r="B312" s="355">
        <v>0</v>
      </c>
      <c r="C312" s="355">
        <v>905</v>
      </c>
      <c r="D312" s="343">
        <v>0</v>
      </c>
      <c r="E312" s="355"/>
      <c r="F312" s="343"/>
      <c r="G312" s="154">
        <f t="shared" si="24"/>
        <v>20905000</v>
      </c>
      <c r="H312" s="77">
        <v>159270</v>
      </c>
      <c r="I312" s="77">
        <v>159270</v>
      </c>
      <c r="J312" s="77">
        <v>0</v>
      </c>
      <c r="K312" s="77">
        <v>0</v>
      </c>
      <c r="M312" s="301"/>
      <c r="N312" s="301"/>
      <c r="O312" s="301"/>
      <c r="P312" s="301"/>
      <c r="Q312" s="301"/>
      <c r="R312" s="301"/>
      <c r="S312" s="301"/>
    </row>
    <row r="313" spans="1:19" ht="12.75">
      <c r="A313" s="355">
        <f t="shared" si="23"/>
        <v>2</v>
      </c>
      <c r="B313" s="355">
        <v>0</v>
      </c>
      <c r="C313" s="355">
        <v>908</v>
      </c>
      <c r="D313" s="343">
        <v>0</v>
      </c>
      <c r="E313" s="355"/>
      <c r="F313" s="343"/>
      <c r="G313" s="154">
        <f t="shared" si="24"/>
        <v>20908000</v>
      </c>
      <c r="H313" s="77">
        <v>499861</v>
      </c>
      <c r="I313" s="77">
        <v>499480</v>
      </c>
      <c r="J313" s="77">
        <v>0</v>
      </c>
      <c r="K313" s="77">
        <v>381</v>
      </c>
      <c r="M313" s="301"/>
      <c r="N313" s="301"/>
      <c r="O313" s="301"/>
      <c r="P313" s="301"/>
      <c r="Q313" s="301"/>
      <c r="R313" s="301"/>
      <c r="S313" s="301"/>
    </row>
    <row r="314" spans="1:19" ht="12.75">
      <c r="A314" s="355">
        <f aca="true" t="shared" si="25" ref="A314:A332">IF(months=1,1,2)</f>
        <v>2</v>
      </c>
      <c r="B314" s="355">
        <v>0</v>
      </c>
      <c r="C314" s="355">
        <v>908</v>
      </c>
      <c r="D314" s="356">
        <v>600</v>
      </c>
      <c r="E314" s="355"/>
      <c r="F314" s="343"/>
      <c r="G314" s="154">
        <f t="shared" si="24"/>
        <v>20908600</v>
      </c>
      <c r="H314" s="77">
        <v>12810340</v>
      </c>
      <c r="I314" s="77">
        <v>0</v>
      </c>
      <c r="J314" s="77">
        <v>10388728</v>
      </c>
      <c r="K314" s="77">
        <v>2421611</v>
      </c>
      <c r="M314" s="301"/>
      <c r="N314" s="301"/>
      <c r="O314" s="301"/>
      <c r="P314" s="301"/>
      <c r="Q314" s="301"/>
      <c r="R314" s="301"/>
      <c r="S314" s="301"/>
    </row>
    <row r="315" spans="1:19" ht="12.75">
      <c r="A315" s="355">
        <f t="shared" si="25"/>
        <v>2</v>
      </c>
      <c r="B315" s="355">
        <v>0</v>
      </c>
      <c r="C315" s="355">
        <v>908</v>
      </c>
      <c r="D315" s="356">
        <v>610</v>
      </c>
      <c r="E315" s="355"/>
      <c r="F315" s="343"/>
      <c r="G315" s="154">
        <f t="shared" si="24"/>
        <v>20908610</v>
      </c>
      <c r="H315" s="77">
        <v>170833</v>
      </c>
      <c r="I315" s="77">
        <v>0</v>
      </c>
      <c r="J315" s="77">
        <v>170833</v>
      </c>
      <c r="K315" s="77">
        <v>0</v>
      </c>
      <c r="M315" s="301"/>
      <c r="N315" s="301"/>
      <c r="O315" s="301"/>
      <c r="P315" s="301"/>
      <c r="Q315" s="301"/>
      <c r="R315" s="301"/>
      <c r="S315" s="301"/>
    </row>
    <row r="316" spans="1:19" ht="12.75">
      <c r="A316" s="355">
        <f t="shared" si="25"/>
        <v>2</v>
      </c>
      <c r="B316" s="355">
        <v>0</v>
      </c>
      <c r="C316" s="355">
        <v>908</v>
      </c>
      <c r="D316" s="356">
        <v>690</v>
      </c>
      <c r="E316" s="355"/>
      <c r="F316" s="343"/>
      <c r="G316" s="154">
        <f t="shared" si="24"/>
        <v>20908690</v>
      </c>
      <c r="H316" s="77">
        <v>304346</v>
      </c>
      <c r="I316" s="77">
        <v>0</v>
      </c>
      <c r="J316" s="77">
        <v>298941</v>
      </c>
      <c r="K316" s="77">
        <v>5405</v>
      </c>
      <c r="M316" s="301" t="s">
        <v>599</v>
      </c>
      <c r="N316" s="301"/>
      <c r="O316" s="301"/>
      <c r="P316" s="301"/>
      <c r="Q316" s="301"/>
      <c r="R316" s="301"/>
      <c r="S316" s="301"/>
    </row>
    <row r="317" spans="1:19" ht="12.75">
      <c r="A317" s="355">
        <f t="shared" si="25"/>
        <v>2</v>
      </c>
      <c r="B317" s="355">
        <v>0</v>
      </c>
      <c r="C317" s="355">
        <v>908</v>
      </c>
      <c r="D317" s="356">
        <v>990</v>
      </c>
      <c r="E317" s="355"/>
      <c r="F317" s="343"/>
      <c r="G317" s="154">
        <f t="shared" si="24"/>
        <v>20908990</v>
      </c>
      <c r="H317" s="77">
        <v>1280293</v>
      </c>
      <c r="I317" s="77">
        <v>0</v>
      </c>
      <c r="J317" s="77">
        <v>0</v>
      </c>
      <c r="K317" s="77">
        <v>1280293</v>
      </c>
      <c r="M317" s="301"/>
      <c r="N317" s="301"/>
      <c r="O317" s="301"/>
      <c r="P317" s="301"/>
      <c r="Q317" s="301"/>
      <c r="R317" s="301"/>
      <c r="S317" s="301"/>
    </row>
    <row r="318" spans="1:19" ht="12.75">
      <c r="A318" s="355">
        <f t="shared" si="25"/>
        <v>2</v>
      </c>
      <c r="B318" s="355">
        <v>0</v>
      </c>
      <c r="C318" s="355">
        <v>909</v>
      </c>
      <c r="D318" s="343">
        <v>0</v>
      </c>
      <c r="E318" s="355"/>
      <c r="F318" s="343"/>
      <c r="G318" s="154">
        <f t="shared" si="24"/>
        <v>20909000</v>
      </c>
      <c r="H318" s="77">
        <v>109386</v>
      </c>
      <c r="I318" s="77">
        <v>46185</v>
      </c>
      <c r="J318" s="77">
        <v>47095</v>
      </c>
      <c r="K318" s="77">
        <v>16106</v>
      </c>
      <c r="M318" s="301"/>
      <c r="N318" s="301"/>
      <c r="O318" s="301"/>
      <c r="P318" s="301"/>
      <c r="Q318" s="301"/>
      <c r="R318" s="301"/>
      <c r="S318" s="301"/>
    </row>
    <row r="319" spans="1:19" ht="12.75">
      <c r="A319" s="355">
        <f t="shared" si="25"/>
        <v>2</v>
      </c>
      <c r="B319" s="355">
        <v>0</v>
      </c>
      <c r="C319" s="355">
        <v>910</v>
      </c>
      <c r="D319" s="343">
        <v>0</v>
      </c>
      <c r="E319" s="355"/>
      <c r="F319" s="343"/>
      <c r="G319" s="154">
        <f t="shared" si="24"/>
        <v>20910000</v>
      </c>
      <c r="H319" s="77">
        <v>144735</v>
      </c>
      <c r="I319" s="77">
        <v>144735</v>
      </c>
      <c r="J319" s="77">
        <v>0</v>
      </c>
      <c r="K319" s="77">
        <v>0</v>
      </c>
      <c r="M319" s="301"/>
      <c r="N319" s="301"/>
      <c r="O319" s="301"/>
      <c r="P319" s="301"/>
      <c r="Q319" s="301"/>
      <c r="R319" s="301"/>
      <c r="S319" s="301"/>
    </row>
    <row r="320" spans="1:19" ht="12.75">
      <c r="A320" s="355">
        <f t="shared" si="25"/>
        <v>2</v>
      </c>
      <c r="B320" s="355">
        <v>0</v>
      </c>
      <c r="C320" s="355">
        <v>911</v>
      </c>
      <c r="D320" s="343">
        <v>0</v>
      </c>
      <c r="E320" s="355"/>
      <c r="F320" s="343"/>
      <c r="G320" s="154">
        <f t="shared" si="24"/>
        <v>20911000</v>
      </c>
      <c r="H320" s="77"/>
      <c r="I320" s="77"/>
      <c r="J320" s="77"/>
      <c r="K320" s="77"/>
      <c r="M320" s="301"/>
      <c r="N320" s="301"/>
      <c r="O320" s="301"/>
      <c r="P320" s="301"/>
      <c r="Q320" s="301"/>
      <c r="R320" s="301"/>
      <c r="S320" s="301"/>
    </row>
    <row r="321" spans="1:19" ht="12.75">
      <c r="A321" s="355">
        <f t="shared" si="25"/>
        <v>2</v>
      </c>
      <c r="B321" s="355">
        <v>0</v>
      </c>
      <c r="C321" s="355">
        <v>912</v>
      </c>
      <c r="D321" s="343">
        <v>0</v>
      </c>
      <c r="E321" s="355"/>
      <c r="F321" s="343"/>
      <c r="G321" s="154">
        <f t="shared" si="24"/>
        <v>20912000</v>
      </c>
      <c r="H321" s="77">
        <v>513130</v>
      </c>
      <c r="I321" s="77">
        <v>498790</v>
      </c>
      <c r="J321" s="77">
        <v>0</v>
      </c>
      <c r="K321" s="77">
        <v>14340</v>
      </c>
      <c r="M321" s="301"/>
      <c r="N321" s="301"/>
      <c r="O321" s="301"/>
      <c r="P321" s="301"/>
      <c r="Q321" s="301"/>
      <c r="R321" s="301"/>
      <c r="S321" s="301"/>
    </row>
    <row r="322" spans="1:19" ht="12.75">
      <c r="A322" s="355">
        <f t="shared" si="25"/>
        <v>2</v>
      </c>
      <c r="B322" s="355">
        <v>0</v>
      </c>
      <c r="C322" s="355">
        <v>913</v>
      </c>
      <c r="D322" s="343">
        <v>0</v>
      </c>
      <c r="E322" s="355"/>
      <c r="F322" s="343"/>
      <c r="G322" s="154">
        <f t="shared" si="24"/>
        <v>20913000</v>
      </c>
      <c r="H322" s="77">
        <v>235015</v>
      </c>
      <c r="I322" s="77">
        <v>222624</v>
      </c>
      <c r="J322" s="77">
        <v>12390</v>
      </c>
      <c r="K322" s="77">
        <v>0</v>
      </c>
      <c r="M322" s="301"/>
      <c r="N322" s="301"/>
      <c r="O322" s="301"/>
      <c r="P322" s="301"/>
      <c r="Q322" s="301"/>
      <c r="R322" s="301"/>
      <c r="S322" s="301"/>
    </row>
    <row r="323" spans="1:19" ht="12.75">
      <c r="A323" s="355">
        <f t="shared" si="25"/>
        <v>2</v>
      </c>
      <c r="B323" s="355">
        <v>0</v>
      </c>
      <c r="C323" s="355">
        <v>916</v>
      </c>
      <c r="D323" s="343">
        <v>0</v>
      </c>
      <c r="E323" s="355"/>
      <c r="F323" s="343"/>
      <c r="G323" s="154">
        <f t="shared" si="24"/>
        <v>20916000</v>
      </c>
      <c r="H323" s="77">
        <v>209041</v>
      </c>
      <c r="I323" s="77">
        <v>61</v>
      </c>
      <c r="J323" s="77">
        <v>208980</v>
      </c>
      <c r="K323" s="77">
        <v>0</v>
      </c>
      <c r="M323" s="301"/>
      <c r="N323" s="301"/>
      <c r="O323" s="301"/>
      <c r="P323" s="301"/>
      <c r="Q323" s="301"/>
      <c r="R323" s="301"/>
      <c r="S323" s="301"/>
    </row>
    <row r="324" spans="1:19" ht="12.75">
      <c r="A324" s="355">
        <f t="shared" si="25"/>
        <v>2</v>
      </c>
      <c r="B324" s="355">
        <v>0</v>
      </c>
      <c r="C324" s="355">
        <v>920</v>
      </c>
      <c r="D324" s="343">
        <v>0</v>
      </c>
      <c r="E324" s="355"/>
      <c r="F324" s="343"/>
      <c r="G324" s="154">
        <f t="shared" si="24"/>
        <v>20920000</v>
      </c>
      <c r="H324" s="77">
        <v>18777218</v>
      </c>
      <c r="I324" s="77">
        <v>18539127</v>
      </c>
      <c r="J324" s="77">
        <v>164740</v>
      </c>
      <c r="K324" s="77">
        <v>73350</v>
      </c>
      <c r="M324" s="301"/>
      <c r="N324" s="301"/>
      <c r="O324" s="301"/>
      <c r="P324" s="301"/>
      <c r="Q324" s="301"/>
      <c r="R324" s="301"/>
      <c r="S324" s="301"/>
    </row>
    <row r="325" spans="1:19" ht="12.75">
      <c r="A325" s="355">
        <f t="shared" si="25"/>
        <v>2</v>
      </c>
      <c r="B325" s="355">
        <v>0</v>
      </c>
      <c r="C325" s="355">
        <v>921</v>
      </c>
      <c r="D325" s="343">
        <v>0</v>
      </c>
      <c r="E325" s="355"/>
      <c r="F325" s="343"/>
      <c r="G325" s="154">
        <f t="shared" si="24"/>
        <v>20921000</v>
      </c>
      <c r="H325" s="77">
        <v>3704463</v>
      </c>
      <c r="I325" s="77">
        <v>3703495</v>
      </c>
      <c r="J325" s="77">
        <v>456</v>
      </c>
      <c r="K325" s="77">
        <v>512</v>
      </c>
      <c r="M325" s="301"/>
      <c r="N325" s="301"/>
      <c r="O325" s="301"/>
      <c r="P325" s="301"/>
      <c r="Q325" s="301"/>
      <c r="R325" s="301"/>
      <c r="S325" s="301"/>
    </row>
    <row r="326" spans="1:19" ht="12.75">
      <c r="A326" s="355">
        <f t="shared" si="25"/>
        <v>2</v>
      </c>
      <c r="B326" s="355">
        <v>0</v>
      </c>
      <c r="C326" s="355">
        <v>922</v>
      </c>
      <c r="D326" s="343">
        <v>0</v>
      </c>
      <c r="E326" s="355"/>
      <c r="F326" s="343"/>
      <c r="G326" s="154">
        <f t="shared" si="24"/>
        <v>20922000</v>
      </c>
      <c r="H326" s="77">
        <v>-35937</v>
      </c>
      <c r="I326" s="77">
        <v>-35937</v>
      </c>
      <c r="J326" s="77">
        <v>0</v>
      </c>
      <c r="K326" s="77">
        <v>0</v>
      </c>
      <c r="M326" s="301"/>
      <c r="N326" s="301"/>
      <c r="O326" s="301"/>
      <c r="P326" s="301"/>
      <c r="Q326" s="301"/>
      <c r="R326" s="301"/>
      <c r="S326" s="301"/>
    </row>
    <row r="327" spans="1:19" ht="12.75">
      <c r="A327" s="355">
        <f t="shared" si="25"/>
        <v>2</v>
      </c>
      <c r="B327" s="355">
        <v>0</v>
      </c>
      <c r="C327" s="355">
        <v>923</v>
      </c>
      <c r="D327" s="343">
        <v>0</v>
      </c>
      <c r="E327" s="355"/>
      <c r="F327" s="343"/>
      <c r="G327" s="154">
        <f t="shared" si="24"/>
        <v>20923000</v>
      </c>
      <c r="H327" s="77">
        <v>11001736</v>
      </c>
      <c r="I327" s="77">
        <v>11001571</v>
      </c>
      <c r="J327" s="77">
        <v>0</v>
      </c>
      <c r="K327" s="77">
        <v>165</v>
      </c>
      <c r="M327" s="301"/>
      <c r="N327" s="301"/>
      <c r="O327" s="301"/>
      <c r="P327" s="301"/>
      <c r="Q327" s="301"/>
      <c r="R327" s="301"/>
      <c r="S327" s="301"/>
    </row>
    <row r="328" spans="1:19" ht="12.75">
      <c r="A328" s="355">
        <f t="shared" si="25"/>
        <v>2</v>
      </c>
      <c r="B328" s="355">
        <v>0</v>
      </c>
      <c r="C328" s="355">
        <v>924</v>
      </c>
      <c r="D328" s="343">
        <v>0</v>
      </c>
      <c r="E328" s="355"/>
      <c r="F328" s="343"/>
      <c r="G328" s="154">
        <f t="shared" si="24"/>
        <v>20924000</v>
      </c>
      <c r="H328" s="77">
        <v>1037522</v>
      </c>
      <c r="I328" s="77">
        <v>1037522</v>
      </c>
      <c r="J328" s="77">
        <v>0</v>
      </c>
      <c r="K328" s="77">
        <v>0</v>
      </c>
      <c r="M328" s="301"/>
      <c r="N328" s="301"/>
      <c r="O328" s="301"/>
      <c r="P328" s="301"/>
      <c r="Q328" s="301"/>
      <c r="R328" s="301"/>
      <c r="S328" s="301"/>
    </row>
    <row r="329" spans="1:19" ht="12.75">
      <c r="A329" s="355">
        <f t="shared" si="25"/>
        <v>2</v>
      </c>
      <c r="B329" s="355">
        <v>0</v>
      </c>
      <c r="C329" s="355">
        <v>925</v>
      </c>
      <c r="D329" s="343">
        <v>0</v>
      </c>
      <c r="E329" s="355"/>
      <c r="F329" s="343"/>
      <c r="G329" s="154">
        <f t="shared" si="24"/>
        <v>20925000</v>
      </c>
      <c r="H329" s="77">
        <v>2901357</v>
      </c>
      <c r="I329" s="77">
        <v>2909637</v>
      </c>
      <c r="J329" s="77">
        <v>-8280</v>
      </c>
      <c r="K329" s="77">
        <v>0</v>
      </c>
      <c r="M329" s="301"/>
      <c r="N329" s="301"/>
      <c r="O329" s="301"/>
      <c r="P329" s="301"/>
      <c r="Q329" s="301"/>
      <c r="R329" s="301"/>
      <c r="S329" s="301"/>
    </row>
    <row r="330" spans="1:19" ht="12.75">
      <c r="A330" s="355">
        <f t="shared" si="25"/>
        <v>2</v>
      </c>
      <c r="B330" s="355">
        <v>0</v>
      </c>
      <c r="C330" s="355">
        <v>926</v>
      </c>
      <c r="D330" s="343">
        <v>0</v>
      </c>
      <c r="E330" s="355"/>
      <c r="F330" s="343"/>
      <c r="G330" s="154">
        <f t="shared" si="24"/>
        <v>20926000</v>
      </c>
      <c r="H330" s="77">
        <v>1130845</v>
      </c>
      <c r="I330" s="77">
        <v>784413</v>
      </c>
      <c r="J330" s="77">
        <v>257650</v>
      </c>
      <c r="K330" s="77">
        <v>88782</v>
      </c>
      <c r="M330" s="301"/>
      <c r="N330" s="301"/>
      <c r="O330" s="301"/>
      <c r="P330" s="301"/>
      <c r="Q330" s="301"/>
      <c r="R330" s="301"/>
      <c r="S330" s="301"/>
    </row>
    <row r="331" spans="1:19" ht="12.75">
      <c r="A331" s="355">
        <f t="shared" si="25"/>
        <v>2</v>
      </c>
      <c r="B331" s="355">
        <v>0</v>
      </c>
      <c r="C331" s="355">
        <v>927</v>
      </c>
      <c r="D331" s="343">
        <v>0</v>
      </c>
      <c r="E331" s="355"/>
      <c r="F331" s="343"/>
      <c r="G331" s="154">
        <f t="shared" si="24"/>
        <v>20927000</v>
      </c>
      <c r="H331" s="77">
        <v>6327</v>
      </c>
      <c r="I331" s="77">
        <v>0</v>
      </c>
      <c r="J331" s="77">
        <v>0</v>
      </c>
      <c r="K331" s="77">
        <v>6327</v>
      </c>
      <c r="M331" s="301"/>
      <c r="N331" s="301"/>
      <c r="O331" s="301"/>
      <c r="P331" s="301"/>
      <c r="Q331" s="301"/>
      <c r="R331" s="301"/>
      <c r="S331" s="301"/>
    </row>
    <row r="332" spans="1:19" ht="12.75">
      <c r="A332" s="355">
        <f t="shared" si="25"/>
        <v>2</v>
      </c>
      <c r="B332" s="355">
        <v>0</v>
      </c>
      <c r="C332" s="355">
        <v>928</v>
      </c>
      <c r="D332" s="343">
        <v>0</v>
      </c>
      <c r="E332" s="356"/>
      <c r="F332" s="343"/>
      <c r="G332" s="154">
        <f t="shared" si="24"/>
        <v>20928000</v>
      </c>
      <c r="H332" s="77">
        <v>4657414</v>
      </c>
      <c r="I332" s="77">
        <v>2908577</v>
      </c>
      <c r="J332" s="77">
        <v>1043967</v>
      </c>
      <c r="K332" s="77">
        <v>704870</v>
      </c>
      <c r="M332" s="301"/>
      <c r="N332" s="301"/>
      <c r="O332" s="301"/>
      <c r="P332" s="301"/>
      <c r="Q332" s="301"/>
      <c r="R332" s="301"/>
      <c r="S332" s="301"/>
    </row>
    <row r="333" spans="1:19" ht="12.75">
      <c r="A333" s="355">
        <f>IF(months=1,1,2)</f>
        <v>2</v>
      </c>
      <c r="B333" s="355">
        <v>0</v>
      </c>
      <c r="C333" s="355">
        <v>930</v>
      </c>
      <c r="D333" s="343">
        <v>0</v>
      </c>
      <c r="E333" s="355"/>
      <c r="F333" s="343"/>
      <c r="G333" s="154">
        <f t="shared" si="24"/>
        <v>20930000</v>
      </c>
      <c r="H333" s="77">
        <v>3188544</v>
      </c>
      <c r="I333" s="77">
        <v>2870307</v>
      </c>
      <c r="J333" s="77">
        <v>265195</v>
      </c>
      <c r="K333" s="77">
        <v>53042</v>
      </c>
      <c r="M333" s="301"/>
      <c r="N333" s="301"/>
      <c r="O333" s="301"/>
      <c r="P333" s="301"/>
      <c r="Q333" s="301"/>
      <c r="R333" s="301"/>
      <c r="S333" s="301"/>
    </row>
    <row r="334" spans="1:19" ht="12.75">
      <c r="A334" s="355">
        <f>IF(months=1,1,2)</f>
        <v>2</v>
      </c>
      <c r="B334" s="355">
        <v>0</v>
      </c>
      <c r="C334" s="355">
        <v>931</v>
      </c>
      <c r="D334" s="343">
        <v>0</v>
      </c>
      <c r="E334" s="355"/>
      <c r="F334" s="343"/>
      <c r="G334" s="154">
        <f t="shared" si="24"/>
        <v>20931000</v>
      </c>
      <c r="H334" s="77">
        <v>628482</v>
      </c>
      <c r="I334" s="77">
        <v>574003</v>
      </c>
      <c r="J334" s="77">
        <v>45212</v>
      </c>
      <c r="K334" s="77">
        <v>9268</v>
      </c>
      <c r="M334" s="301"/>
      <c r="N334" s="301"/>
      <c r="O334" s="301"/>
      <c r="P334" s="301"/>
      <c r="Q334" s="301"/>
      <c r="R334" s="301"/>
      <c r="S334" s="301"/>
    </row>
    <row r="335" spans="1:19" ht="12.75">
      <c r="A335" s="355">
        <f>IF(months=1,1,2)</f>
        <v>2</v>
      </c>
      <c r="B335" s="355">
        <v>0</v>
      </c>
      <c r="C335" s="355">
        <v>935</v>
      </c>
      <c r="D335" s="343">
        <v>0</v>
      </c>
      <c r="E335" s="355"/>
      <c r="F335" s="343"/>
      <c r="G335" s="154">
        <f t="shared" si="24"/>
        <v>20935000</v>
      </c>
      <c r="H335" s="77">
        <v>7409406</v>
      </c>
      <c r="I335" s="77">
        <v>6676426</v>
      </c>
      <c r="J335" s="77">
        <v>213025</v>
      </c>
      <c r="K335" s="77">
        <v>519955</v>
      </c>
      <c r="M335" s="301"/>
      <c r="N335" s="301"/>
      <c r="O335" s="301"/>
      <c r="P335" s="301"/>
      <c r="Q335" s="301"/>
      <c r="R335" s="301"/>
      <c r="S335" s="301"/>
    </row>
    <row r="336" spans="1:19" ht="12.75">
      <c r="A336" s="355"/>
      <c r="B336" s="355"/>
      <c r="C336" s="355"/>
      <c r="D336" s="356"/>
      <c r="E336" s="355"/>
      <c r="F336" s="343"/>
      <c r="G336" s="343"/>
      <c r="H336" s="77"/>
      <c r="I336" s="77"/>
      <c r="J336" s="77"/>
      <c r="K336" s="77"/>
      <c r="M336" s="301"/>
      <c r="N336" s="301"/>
      <c r="O336" s="301"/>
      <c r="P336" s="301"/>
      <c r="Q336" s="301"/>
      <c r="R336" s="301"/>
      <c r="S336" s="301"/>
    </row>
    <row r="337" spans="1:19" ht="12.75">
      <c r="A337" s="357" t="s">
        <v>828</v>
      </c>
      <c r="B337" s="355"/>
      <c r="C337" s="355"/>
      <c r="D337" s="356"/>
      <c r="E337" s="355"/>
      <c r="F337" s="343"/>
      <c r="G337" s="343"/>
      <c r="H337" s="77"/>
      <c r="I337" s="77"/>
      <c r="J337" s="77"/>
      <c r="K337" s="77"/>
      <c r="M337" s="301"/>
      <c r="N337" s="301"/>
      <c r="O337" s="301"/>
      <c r="P337" s="301"/>
      <c r="Q337" s="301"/>
      <c r="R337" s="301"/>
      <c r="S337" s="301"/>
    </row>
    <row r="338" spans="1:19" ht="12.75">
      <c r="A338" s="355">
        <f aca="true" t="shared" si="26" ref="A338:A383">IF(rbcalc="e",3,IF(months=1,5,4))</f>
        <v>4</v>
      </c>
      <c r="B338" s="355">
        <v>0</v>
      </c>
      <c r="C338" s="355">
        <v>108</v>
      </c>
      <c r="D338" s="356" t="s">
        <v>113</v>
      </c>
      <c r="E338" s="355"/>
      <c r="F338" s="343"/>
      <c r="G338" s="147" t="str">
        <f aca="true" t="shared" si="27" ref="G338:G383">+A338&amp;B338&amp;C338&amp;D338&amp;E338&amp;F338</f>
        <v>40108X01</v>
      </c>
      <c r="H338" s="77">
        <v>-238667520</v>
      </c>
      <c r="I338" s="77">
        <v>-238667520</v>
      </c>
      <c r="J338" s="77">
        <v>0</v>
      </c>
      <c r="K338" s="77">
        <v>0</v>
      </c>
      <c r="M338" s="301"/>
      <c r="N338" s="301"/>
      <c r="O338" s="301"/>
      <c r="P338" s="301"/>
      <c r="Q338" s="301"/>
      <c r="R338" s="301"/>
      <c r="S338" s="301"/>
    </row>
    <row r="339" spans="1:19" ht="12.75">
      <c r="A339" s="355">
        <f t="shared" si="26"/>
        <v>4</v>
      </c>
      <c r="B339" s="355">
        <v>0</v>
      </c>
      <c r="C339" s="355">
        <v>108</v>
      </c>
      <c r="D339" s="356" t="s">
        <v>114</v>
      </c>
      <c r="E339" s="355"/>
      <c r="F339" s="343"/>
      <c r="G339" s="147" t="str">
        <f t="shared" si="27"/>
        <v>40108X02</v>
      </c>
      <c r="H339" s="77">
        <v>-85713330</v>
      </c>
      <c r="I339" s="77">
        <v>-85713330</v>
      </c>
      <c r="J339" s="77">
        <v>0</v>
      </c>
      <c r="K339" s="77">
        <v>0</v>
      </c>
      <c r="M339" s="301" t="s">
        <v>770</v>
      </c>
      <c r="N339" s="301"/>
      <c r="O339" s="301"/>
      <c r="P339" s="301"/>
      <c r="Q339" s="301"/>
      <c r="R339" s="301"/>
      <c r="S339" s="301"/>
    </row>
    <row r="340" spans="1:19" ht="12.75">
      <c r="A340" s="355">
        <f t="shared" si="26"/>
        <v>4</v>
      </c>
      <c r="B340" s="355">
        <v>0</v>
      </c>
      <c r="C340" s="355">
        <v>108</v>
      </c>
      <c r="D340" s="356" t="s">
        <v>115</v>
      </c>
      <c r="E340" s="355"/>
      <c r="F340" s="343"/>
      <c r="G340" s="147" t="str">
        <f t="shared" si="27"/>
        <v>40108X03</v>
      </c>
      <c r="H340" s="77">
        <v>-49210082</v>
      </c>
      <c r="I340" s="77">
        <v>-49210082</v>
      </c>
      <c r="J340" s="77">
        <v>0</v>
      </c>
      <c r="K340" s="77">
        <v>0</v>
      </c>
      <c r="M340" s="301"/>
      <c r="N340" s="301"/>
      <c r="O340" s="301"/>
      <c r="P340" s="301"/>
      <c r="Q340" s="301"/>
      <c r="R340" s="301"/>
      <c r="S340" s="301"/>
    </row>
    <row r="341" spans="1:19" ht="12.75">
      <c r="A341" s="355">
        <f t="shared" si="26"/>
        <v>4</v>
      </c>
      <c r="B341" s="355">
        <v>0</v>
      </c>
      <c r="C341" s="355">
        <v>108</v>
      </c>
      <c r="D341" s="356" t="s">
        <v>116</v>
      </c>
      <c r="E341" s="355"/>
      <c r="F341" s="343"/>
      <c r="G341" s="147" t="str">
        <f t="shared" si="27"/>
        <v>40108X04</v>
      </c>
      <c r="H341" s="77">
        <v>-145607403</v>
      </c>
      <c r="I341" s="77">
        <v>-145607403</v>
      </c>
      <c r="J341" s="77">
        <v>0</v>
      </c>
      <c r="K341" s="77">
        <v>0</v>
      </c>
      <c r="M341" s="301"/>
      <c r="N341" s="301"/>
      <c r="O341" s="301"/>
      <c r="P341" s="301"/>
      <c r="Q341" s="301"/>
      <c r="R341" s="301"/>
      <c r="S341" s="301"/>
    </row>
    <row r="342" spans="1:19" ht="12.75">
      <c r="A342" s="355">
        <f t="shared" si="26"/>
        <v>4</v>
      </c>
      <c r="B342" s="355">
        <v>0</v>
      </c>
      <c r="C342" s="355">
        <v>108</v>
      </c>
      <c r="D342" s="356" t="s">
        <v>117</v>
      </c>
      <c r="E342" s="355"/>
      <c r="F342" s="343"/>
      <c r="G342" s="147" t="str">
        <f t="shared" si="27"/>
        <v>40108X05</v>
      </c>
      <c r="H342" s="77">
        <v>-273815109</v>
      </c>
      <c r="I342" s="77">
        <v>0</v>
      </c>
      <c r="J342" s="77">
        <v>-165694143</v>
      </c>
      <c r="K342" s="77">
        <v>-108120966</v>
      </c>
      <c r="M342" s="301"/>
      <c r="N342" s="301"/>
      <c r="O342" s="301"/>
      <c r="P342" s="301"/>
      <c r="Q342" s="301"/>
      <c r="R342" s="301"/>
      <c r="S342" s="301"/>
    </row>
    <row r="343" spans="1:19" ht="12.75">
      <c r="A343" s="355">
        <f t="shared" si="26"/>
        <v>4</v>
      </c>
      <c r="B343" s="355">
        <v>0</v>
      </c>
      <c r="C343" s="355">
        <v>108</v>
      </c>
      <c r="D343" s="356" t="s">
        <v>118</v>
      </c>
      <c r="E343" s="355"/>
      <c r="F343" s="343"/>
      <c r="G343" s="147" t="str">
        <f t="shared" si="27"/>
        <v>40108X06</v>
      </c>
      <c r="H343" s="77">
        <v>-37696213</v>
      </c>
      <c r="I343" s="77">
        <v>-23673439</v>
      </c>
      <c r="J343" s="77">
        <v>-9090251</v>
      </c>
      <c r="K343" s="77">
        <v>-4932523</v>
      </c>
      <c r="M343" s="301"/>
      <c r="N343" s="301"/>
      <c r="O343" s="301"/>
      <c r="P343" s="301"/>
      <c r="Q343" s="301"/>
      <c r="R343" s="301"/>
      <c r="S343" s="301"/>
    </row>
    <row r="344" spans="1:19" ht="12.75">
      <c r="A344" s="355">
        <f t="shared" si="26"/>
        <v>4</v>
      </c>
      <c r="B344" s="355">
        <v>0</v>
      </c>
      <c r="C344" s="355">
        <v>108</v>
      </c>
      <c r="D344" s="356" t="s">
        <v>119</v>
      </c>
      <c r="E344" s="355"/>
      <c r="F344" s="343"/>
      <c r="G344" s="147" t="str">
        <f t="shared" si="27"/>
        <v>40108X07</v>
      </c>
      <c r="H344" s="77">
        <v>-5730926</v>
      </c>
      <c r="I344" s="77">
        <v>-2999795</v>
      </c>
      <c r="J344" s="77">
        <v>-1843066</v>
      </c>
      <c r="K344" s="77">
        <v>-888065</v>
      </c>
      <c r="M344" s="301"/>
      <c r="N344" s="301"/>
      <c r="O344" s="301"/>
      <c r="P344" s="301"/>
      <c r="Q344" s="301"/>
      <c r="R344" s="301"/>
      <c r="S344" s="301"/>
    </row>
    <row r="345" spans="1:19" ht="12.75">
      <c r="A345" s="355">
        <f t="shared" si="26"/>
        <v>4</v>
      </c>
      <c r="B345" s="355">
        <v>1</v>
      </c>
      <c r="C345" s="355">
        <v>108</v>
      </c>
      <c r="D345" s="356" t="s">
        <v>120</v>
      </c>
      <c r="E345" s="355"/>
      <c r="F345" s="343"/>
      <c r="G345" s="147" t="str">
        <f t="shared" si="27"/>
        <v>41108X08</v>
      </c>
      <c r="H345" s="77">
        <v>-10358424</v>
      </c>
      <c r="I345" s="77">
        <v>-10358424</v>
      </c>
      <c r="J345" s="77">
        <v>0</v>
      </c>
      <c r="K345" s="77">
        <v>0</v>
      </c>
      <c r="M345" s="301"/>
      <c r="N345" s="301"/>
      <c r="O345" s="301"/>
      <c r="P345" s="301"/>
      <c r="Q345" s="301"/>
      <c r="R345" s="301"/>
      <c r="S345" s="301"/>
    </row>
    <row r="346" spans="1:19" ht="12.75">
      <c r="A346" s="355">
        <f t="shared" si="26"/>
        <v>4</v>
      </c>
      <c r="B346" s="355">
        <v>1</v>
      </c>
      <c r="C346" s="355">
        <v>119</v>
      </c>
      <c r="D346" s="356" t="s">
        <v>830</v>
      </c>
      <c r="E346" s="355"/>
      <c r="F346" s="343"/>
      <c r="G346" s="147" t="str">
        <f t="shared" si="27"/>
        <v>41119X2</v>
      </c>
      <c r="H346" s="77"/>
      <c r="I346" s="77"/>
      <c r="J346" s="77"/>
      <c r="K346" s="77"/>
      <c r="M346" s="301"/>
      <c r="N346" s="301"/>
      <c r="O346" s="301"/>
      <c r="P346" s="301"/>
      <c r="Q346" s="301"/>
      <c r="R346" s="301"/>
      <c r="S346" s="301"/>
    </row>
    <row r="347" spans="1:19" ht="12.75">
      <c r="A347" s="355">
        <f t="shared" si="26"/>
        <v>4</v>
      </c>
      <c r="B347" s="355">
        <v>1</v>
      </c>
      <c r="C347" s="355">
        <v>119</v>
      </c>
      <c r="D347" s="356" t="s">
        <v>831</v>
      </c>
      <c r="E347" s="355"/>
      <c r="F347" s="343"/>
      <c r="G347" s="147" t="str">
        <f t="shared" si="27"/>
        <v>41119X3</v>
      </c>
      <c r="H347" s="77"/>
      <c r="I347" s="77"/>
      <c r="J347" s="77"/>
      <c r="K347" s="77"/>
      <c r="M347" s="301"/>
      <c r="N347" s="301"/>
      <c r="O347" s="301"/>
      <c r="P347" s="301"/>
      <c r="Q347" s="301"/>
      <c r="R347" s="301"/>
      <c r="S347" s="301"/>
    </row>
    <row r="348" spans="1:19" ht="12.75">
      <c r="A348" s="355">
        <f t="shared" si="26"/>
        <v>4</v>
      </c>
      <c r="B348" s="355">
        <v>1</v>
      </c>
      <c r="C348" s="355">
        <v>119</v>
      </c>
      <c r="D348" s="356" t="s">
        <v>832</v>
      </c>
      <c r="E348" s="355"/>
      <c r="F348" s="343"/>
      <c r="G348" s="147" t="str">
        <f t="shared" si="27"/>
        <v>41119X4</v>
      </c>
      <c r="H348" s="77"/>
      <c r="I348" s="77"/>
      <c r="J348" s="77"/>
      <c r="K348" s="77"/>
      <c r="M348" s="301"/>
      <c r="N348" s="301"/>
      <c r="O348" s="301"/>
      <c r="P348" s="301"/>
      <c r="Q348" s="301"/>
      <c r="R348" s="301"/>
      <c r="S348" s="301"/>
    </row>
    <row r="349" spans="1:19" ht="12.75">
      <c r="A349" s="355">
        <f t="shared" si="26"/>
        <v>4</v>
      </c>
      <c r="B349" s="355">
        <v>1</v>
      </c>
      <c r="C349" s="355">
        <v>108</v>
      </c>
      <c r="D349" s="356" t="s">
        <v>117</v>
      </c>
      <c r="E349" s="355"/>
      <c r="F349" s="343"/>
      <c r="G349" s="147" t="str">
        <f t="shared" si="27"/>
        <v>41108X05</v>
      </c>
      <c r="H349" s="77">
        <v>-120558391</v>
      </c>
      <c r="I349" s="77">
        <v>-1240042</v>
      </c>
      <c r="J349" s="77">
        <v>-80477831</v>
      </c>
      <c r="K349" s="77">
        <v>-38840518</v>
      </c>
      <c r="M349" s="301"/>
      <c r="N349" s="301"/>
      <c r="O349" s="301"/>
      <c r="P349" s="301"/>
      <c r="Q349" s="301"/>
      <c r="R349" s="301"/>
      <c r="S349" s="301"/>
    </row>
    <row r="350" spans="1:19" ht="12.75">
      <c r="A350" s="355">
        <f t="shared" si="26"/>
        <v>4</v>
      </c>
      <c r="B350" s="355">
        <v>1</v>
      </c>
      <c r="C350" s="355">
        <v>108</v>
      </c>
      <c r="D350" s="356" t="s">
        <v>118</v>
      </c>
      <c r="E350" s="355"/>
      <c r="F350" s="343"/>
      <c r="G350" s="147" t="str">
        <f t="shared" si="27"/>
        <v>41108X06</v>
      </c>
      <c r="H350" s="77">
        <v>-3810493</v>
      </c>
      <c r="I350" s="77">
        <v>-709321</v>
      </c>
      <c r="J350" s="77">
        <v>-2310005</v>
      </c>
      <c r="K350" s="77">
        <v>-791166</v>
      </c>
      <c r="M350" s="301"/>
      <c r="N350" s="301"/>
      <c r="O350" s="301"/>
      <c r="P350" s="301"/>
      <c r="Q350" s="301"/>
      <c r="R350" s="301"/>
      <c r="S350" s="301"/>
    </row>
    <row r="351" spans="1:19" ht="12.75">
      <c r="A351" s="355">
        <f t="shared" si="26"/>
        <v>4</v>
      </c>
      <c r="B351" s="355">
        <v>1</v>
      </c>
      <c r="C351" s="355">
        <v>108</v>
      </c>
      <c r="D351" s="356" t="s">
        <v>119</v>
      </c>
      <c r="E351" s="355"/>
      <c r="F351" s="343"/>
      <c r="G351" s="147" t="str">
        <f t="shared" si="27"/>
        <v>41108X07</v>
      </c>
      <c r="H351" s="77">
        <v>-601852</v>
      </c>
      <c r="I351" s="77">
        <v>-136006</v>
      </c>
      <c r="J351" s="77">
        <v>-365456</v>
      </c>
      <c r="K351" s="77">
        <v>-100390</v>
      </c>
      <c r="M351" s="301"/>
      <c r="N351" s="301"/>
      <c r="O351" s="301"/>
      <c r="P351" s="301"/>
      <c r="Q351" s="301"/>
      <c r="R351" s="301"/>
      <c r="S351" s="301"/>
    </row>
    <row r="352" spans="1:19" ht="12.75">
      <c r="A352" s="355">
        <f t="shared" si="26"/>
        <v>4</v>
      </c>
      <c r="B352" s="355">
        <v>1</v>
      </c>
      <c r="C352" s="355">
        <v>119</v>
      </c>
      <c r="D352" s="356" t="s">
        <v>75</v>
      </c>
      <c r="E352" s="355"/>
      <c r="F352" s="343"/>
      <c r="G352" s="147" t="str">
        <f t="shared" si="27"/>
        <v>41119X8</v>
      </c>
      <c r="H352" s="77"/>
      <c r="I352" s="77"/>
      <c r="J352" s="77"/>
      <c r="K352" s="77"/>
      <c r="M352" s="301"/>
      <c r="N352" s="301"/>
      <c r="O352" s="301"/>
      <c r="P352" s="301"/>
      <c r="Q352" s="301"/>
      <c r="R352" s="301"/>
      <c r="S352" s="301"/>
    </row>
    <row r="353" spans="1:19" ht="12.75">
      <c r="A353" s="355">
        <f t="shared" si="26"/>
        <v>4</v>
      </c>
      <c r="B353" s="355">
        <v>2</v>
      </c>
      <c r="C353" s="355">
        <v>119</v>
      </c>
      <c r="D353" s="356" t="s">
        <v>829</v>
      </c>
      <c r="E353" s="355"/>
      <c r="F353" s="343"/>
      <c r="G353" s="147" t="str">
        <f t="shared" si="27"/>
        <v>42119X1</v>
      </c>
      <c r="H353" s="77"/>
      <c r="I353" s="77"/>
      <c r="J353" s="77"/>
      <c r="K353" s="77"/>
      <c r="M353" s="301"/>
      <c r="N353" s="301"/>
      <c r="O353" s="301"/>
      <c r="P353" s="301"/>
      <c r="Q353" s="301"/>
      <c r="R353" s="301"/>
      <c r="S353" s="301"/>
    </row>
    <row r="354" spans="1:19" ht="12.75">
      <c r="A354" s="355">
        <f t="shared" si="26"/>
        <v>4</v>
      </c>
      <c r="B354" s="355">
        <v>2</v>
      </c>
      <c r="C354" s="355">
        <v>108</v>
      </c>
      <c r="D354" s="356" t="s">
        <v>121</v>
      </c>
      <c r="E354" s="355"/>
      <c r="F354" s="343"/>
      <c r="G354" s="147" t="str">
        <f t="shared" si="27"/>
        <v>42108X09</v>
      </c>
      <c r="H354" s="77">
        <v>110885</v>
      </c>
      <c r="I354" s="77">
        <v>0</v>
      </c>
      <c r="J354" s="77">
        <v>110885</v>
      </c>
      <c r="K354" s="77">
        <v>0</v>
      </c>
      <c r="M354" s="301"/>
      <c r="N354" s="301"/>
      <c r="O354" s="301"/>
      <c r="P354" s="301"/>
      <c r="Q354" s="301"/>
      <c r="R354" s="301"/>
      <c r="S354" s="301"/>
    </row>
    <row r="355" spans="1:19" ht="12.75">
      <c r="A355" s="355">
        <f t="shared" si="26"/>
        <v>4</v>
      </c>
      <c r="B355" s="355">
        <v>2</v>
      </c>
      <c r="C355" s="355">
        <v>119</v>
      </c>
      <c r="D355" s="356" t="s">
        <v>831</v>
      </c>
      <c r="E355" s="355"/>
      <c r="F355" s="343"/>
      <c r="G355" s="147" t="str">
        <f t="shared" si="27"/>
        <v>42119X3</v>
      </c>
      <c r="H355" s="77"/>
      <c r="I355" s="77"/>
      <c r="J355" s="77"/>
      <c r="K355" s="77"/>
      <c r="M355" s="301"/>
      <c r="N355" s="301"/>
      <c r="O355" s="301"/>
      <c r="P355" s="301"/>
      <c r="Q355" s="301"/>
      <c r="R355" s="301"/>
      <c r="S355" s="301"/>
    </row>
    <row r="356" spans="1:19" ht="12.75">
      <c r="A356" s="355">
        <f t="shared" si="26"/>
        <v>4</v>
      </c>
      <c r="B356" s="355">
        <v>2</v>
      </c>
      <c r="C356" s="355">
        <v>108</v>
      </c>
      <c r="D356" s="356" t="s">
        <v>116</v>
      </c>
      <c r="E356" s="355"/>
      <c r="F356" s="343"/>
      <c r="G356" s="147" t="str">
        <f t="shared" si="27"/>
        <v>42108X04</v>
      </c>
      <c r="H356" s="77"/>
      <c r="I356" s="77"/>
      <c r="J356" s="77"/>
      <c r="K356" s="77"/>
      <c r="M356" s="301"/>
      <c r="N356" s="301"/>
      <c r="O356" s="301"/>
      <c r="P356" s="301"/>
      <c r="Q356" s="301"/>
      <c r="R356" s="301"/>
      <c r="S356" s="301"/>
    </row>
    <row r="357" spans="1:19" ht="12.75">
      <c r="A357" s="355">
        <f t="shared" si="26"/>
        <v>4</v>
      </c>
      <c r="B357" s="355">
        <v>2</v>
      </c>
      <c r="C357" s="355">
        <v>108</v>
      </c>
      <c r="D357" s="356" t="s">
        <v>117</v>
      </c>
      <c r="E357" s="355"/>
      <c r="F357" s="343"/>
      <c r="G357" s="147" t="str">
        <f t="shared" si="27"/>
        <v>42108X05</v>
      </c>
      <c r="H357" s="77">
        <v>-69400912</v>
      </c>
      <c r="I357" s="77">
        <v>0</v>
      </c>
      <c r="J357" s="77">
        <v>-82114811</v>
      </c>
      <c r="K357" s="77">
        <v>12713900</v>
      </c>
      <c r="M357" s="301"/>
      <c r="N357" s="301"/>
      <c r="O357" s="301"/>
      <c r="P357" s="301"/>
      <c r="Q357" s="301"/>
      <c r="R357" s="301"/>
      <c r="S357" s="301"/>
    </row>
    <row r="358" spans="1:19" ht="12.75">
      <c r="A358" s="355">
        <f t="shared" si="26"/>
        <v>4</v>
      </c>
      <c r="B358" s="355">
        <v>2</v>
      </c>
      <c r="C358" s="355">
        <v>108</v>
      </c>
      <c r="D358" s="356" t="s">
        <v>118</v>
      </c>
      <c r="E358" s="355"/>
      <c r="F358" s="343"/>
      <c r="G358" s="147" t="str">
        <f t="shared" si="27"/>
        <v>42108X06</v>
      </c>
      <c r="H358" s="77">
        <v>-1739066</v>
      </c>
      <c r="I358" s="77">
        <v>416</v>
      </c>
      <c r="J358" s="77">
        <v>-2113714</v>
      </c>
      <c r="K358" s="77">
        <v>374232</v>
      </c>
      <c r="M358" s="301"/>
      <c r="N358" s="301"/>
      <c r="O358" s="301"/>
      <c r="P358" s="301"/>
      <c r="Q358" s="301"/>
      <c r="R358" s="301"/>
      <c r="S358" s="301"/>
    </row>
    <row r="359" spans="1:19" ht="12.75">
      <c r="A359" s="355">
        <f t="shared" si="26"/>
        <v>4</v>
      </c>
      <c r="B359" s="355">
        <v>2</v>
      </c>
      <c r="C359" s="355">
        <v>108</v>
      </c>
      <c r="D359" s="356" t="s">
        <v>119</v>
      </c>
      <c r="E359" s="355"/>
      <c r="F359" s="343"/>
      <c r="G359" s="147" t="str">
        <f t="shared" si="27"/>
        <v>42108X07</v>
      </c>
      <c r="H359" s="77">
        <v>-836219</v>
      </c>
      <c r="I359" s="77">
        <v>0</v>
      </c>
      <c r="J359" s="77">
        <v>-905600</v>
      </c>
      <c r="K359" s="77">
        <v>69382</v>
      </c>
      <c r="M359" s="301"/>
      <c r="N359" s="301"/>
      <c r="O359" s="301"/>
      <c r="P359" s="301"/>
      <c r="Q359" s="301"/>
      <c r="R359" s="301"/>
      <c r="S359" s="301"/>
    </row>
    <row r="360" spans="1:19" ht="12.75">
      <c r="A360" s="355">
        <f t="shared" si="26"/>
        <v>4</v>
      </c>
      <c r="B360" s="355">
        <v>7</v>
      </c>
      <c r="C360" s="355">
        <v>119</v>
      </c>
      <c r="D360" s="356" t="s">
        <v>829</v>
      </c>
      <c r="E360" s="355"/>
      <c r="F360" s="343"/>
      <c r="G360" s="147" t="str">
        <f t="shared" si="27"/>
        <v>47119X1</v>
      </c>
      <c r="H360" s="77"/>
      <c r="I360" s="77"/>
      <c r="J360" s="77"/>
      <c r="K360" s="77"/>
      <c r="M360" s="301"/>
      <c r="N360" s="301"/>
      <c r="O360" s="301"/>
      <c r="P360" s="301"/>
      <c r="Q360" s="301"/>
      <c r="R360" s="301"/>
      <c r="S360" s="301"/>
    </row>
    <row r="361" spans="1:19" ht="12.75">
      <c r="A361" s="355">
        <f t="shared" si="26"/>
        <v>4</v>
      </c>
      <c r="B361" s="355">
        <v>7</v>
      </c>
      <c r="C361" s="355">
        <v>119</v>
      </c>
      <c r="D361" s="356" t="s">
        <v>830</v>
      </c>
      <c r="E361" s="355"/>
      <c r="F361" s="343"/>
      <c r="G361" s="147" t="str">
        <f t="shared" si="27"/>
        <v>47119X2</v>
      </c>
      <c r="H361" s="77"/>
      <c r="I361" s="77"/>
      <c r="J361" s="77"/>
      <c r="K361" s="77"/>
      <c r="M361" s="301"/>
      <c r="N361" s="301"/>
      <c r="O361" s="301"/>
      <c r="P361" s="301"/>
      <c r="Q361" s="301"/>
      <c r="R361" s="301"/>
      <c r="S361" s="301"/>
    </row>
    <row r="362" spans="1:19" ht="12.75">
      <c r="A362" s="355">
        <f t="shared" si="26"/>
        <v>4</v>
      </c>
      <c r="B362" s="355">
        <v>7</v>
      </c>
      <c r="C362" s="355">
        <v>119</v>
      </c>
      <c r="D362" s="356" t="s">
        <v>831</v>
      </c>
      <c r="E362" s="355"/>
      <c r="F362" s="343"/>
      <c r="G362" s="147" t="str">
        <f t="shared" si="27"/>
        <v>47119X3</v>
      </c>
      <c r="H362" s="77"/>
      <c r="I362" s="77"/>
      <c r="J362" s="77"/>
      <c r="K362" s="77"/>
      <c r="M362" s="301"/>
      <c r="N362" s="301"/>
      <c r="O362" s="301"/>
      <c r="P362" s="301"/>
      <c r="Q362" s="301"/>
      <c r="R362" s="301"/>
      <c r="S362" s="301"/>
    </row>
    <row r="363" spans="1:19" ht="12.75">
      <c r="A363" s="355">
        <f t="shared" si="26"/>
        <v>4</v>
      </c>
      <c r="B363" s="355">
        <v>7</v>
      </c>
      <c r="C363" s="355">
        <v>119</v>
      </c>
      <c r="D363" s="356" t="s">
        <v>832</v>
      </c>
      <c r="E363" s="355"/>
      <c r="F363" s="343"/>
      <c r="G363" s="147" t="str">
        <f t="shared" si="27"/>
        <v>47119X4</v>
      </c>
      <c r="H363" s="77"/>
      <c r="I363" s="77"/>
      <c r="J363" s="77"/>
      <c r="K363" s="77"/>
      <c r="M363" s="301"/>
      <c r="N363" s="301"/>
      <c r="O363" s="301"/>
      <c r="P363" s="301"/>
      <c r="Q363" s="301"/>
      <c r="R363" s="301"/>
      <c r="S363" s="301"/>
    </row>
    <row r="364" spans="1:19" ht="12.75">
      <c r="A364" s="355">
        <f t="shared" si="26"/>
        <v>4</v>
      </c>
      <c r="B364" s="355">
        <v>7</v>
      </c>
      <c r="C364" s="355">
        <v>119</v>
      </c>
      <c r="D364" s="356" t="s">
        <v>833</v>
      </c>
      <c r="E364" s="355"/>
      <c r="F364" s="343"/>
      <c r="G364" s="147" t="str">
        <f t="shared" si="27"/>
        <v>47119X5</v>
      </c>
      <c r="H364" s="77"/>
      <c r="I364" s="77"/>
      <c r="J364" s="77"/>
      <c r="K364" s="77"/>
      <c r="M364" s="301"/>
      <c r="N364" s="301"/>
      <c r="O364" s="301"/>
      <c r="P364" s="301"/>
      <c r="Q364" s="301"/>
      <c r="R364" s="301"/>
      <c r="S364" s="301"/>
    </row>
    <row r="365" spans="1:19" ht="12.75">
      <c r="A365" s="355">
        <f t="shared" si="26"/>
        <v>4</v>
      </c>
      <c r="B365" s="355">
        <v>7</v>
      </c>
      <c r="C365" s="355">
        <v>108</v>
      </c>
      <c r="D365" s="356" t="s">
        <v>118</v>
      </c>
      <c r="E365" s="355"/>
      <c r="F365" s="343"/>
      <c r="G365" s="147" t="str">
        <f t="shared" si="27"/>
        <v>47108X06</v>
      </c>
      <c r="H365" s="77">
        <v>-9029092</v>
      </c>
      <c r="I365" s="77">
        <v>-9029092</v>
      </c>
      <c r="J365" s="77">
        <v>0</v>
      </c>
      <c r="K365" s="77">
        <v>0</v>
      </c>
      <c r="M365" s="301"/>
      <c r="N365" s="301"/>
      <c r="O365" s="301"/>
      <c r="P365" s="301"/>
      <c r="Q365" s="301"/>
      <c r="R365" s="301"/>
      <c r="S365" s="301"/>
    </row>
    <row r="366" spans="1:19" ht="12.75">
      <c r="A366" s="355">
        <f t="shared" si="26"/>
        <v>4</v>
      </c>
      <c r="B366" s="355">
        <v>7</v>
      </c>
      <c r="C366" s="355">
        <v>108</v>
      </c>
      <c r="D366" s="356" t="s">
        <v>119</v>
      </c>
      <c r="E366" s="355"/>
      <c r="F366" s="343"/>
      <c r="G366" s="147" t="str">
        <f t="shared" si="27"/>
        <v>47108X07</v>
      </c>
      <c r="H366" s="77">
        <v>-22946</v>
      </c>
      <c r="I366" s="77">
        <v>-22946</v>
      </c>
      <c r="J366" s="77">
        <v>0</v>
      </c>
      <c r="K366" s="77">
        <v>0</v>
      </c>
      <c r="M366" s="301"/>
      <c r="N366" s="301"/>
      <c r="O366" s="301"/>
      <c r="P366" s="301"/>
      <c r="Q366" s="301"/>
      <c r="R366" s="301"/>
      <c r="S366" s="301"/>
    </row>
    <row r="367" spans="1:19" ht="12.75">
      <c r="A367" s="355">
        <f t="shared" si="26"/>
        <v>4</v>
      </c>
      <c r="B367" s="355">
        <v>7</v>
      </c>
      <c r="C367" s="355">
        <v>119</v>
      </c>
      <c r="D367" s="356" t="s">
        <v>75</v>
      </c>
      <c r="E367" s="355"/>
      <c r="F367" s="343"/>
      <c r="G367" s="147" t="str">
        <f t="shared" si="27"/>
        <v>47119X8</v>
      </c>
      <c r="H367" s="77"/>
      <c r="I367" s="77"/>
      <c r="J367" s="77"/>
      <c r="K367" s="77"/>
      <c r="M367" s="301"/>
      <c r="N367" s="301"/>
      <c r="O367" s="301"/>
      <c r="P367" s="301"/>
      <c r="Q367" s="301"/>
      <c r="R367" s="301"/>
      <c r="S367" s="301"/>
    </row>
    <row r="368" spans="1:19" ht="12.75">
      <c r="A368" s="355">
        <f t="shared" si="26"/>
        <v>4</v>
      </c>
      <c r="B368" s="355">
        <v>7</v>
      </c>
      <c r="C368" s="355">
        <v>119</v>
      </c>
      <c r="D368" s="356" t="s">
        <v>40</v>
      </c>
      <c r="E368" s="355"/>
      <c r="F368" s="343"/>
      <c r="G368" s="147" t="str">
        <f t="shared" si="27"/>
        <v>47119X9</v>
      </c>
      <c r="H368" s="77"/>
      <c r="I368" s="77"/>
      <c r="J368" s="77"/>
      <c r="K368" s="77"/>
      <c r="M368" s="301"/>
      <c r="N368" s="301"/>
      <c r="O368" s="301"/>
      <c r="P368" s="301"/>
      <c r="Q368" s="301"/>
      <c r="R368" s="301"/>
      <c r="S368" s="301"/>
    </row>
    <row r="369" spans="1:19" ht="12.75">
      <c r="A369" s="355">
        <f t="shared" si="26"/>
        <v>4</v>
      </c>
      <c r="B369" s="355">
        <v>8</v>
      </c>
      <c r="C369" s="355">
        <v>119</v>
      </c>
      <c r="D369" s="356" t="s">
        <v>829</v>
      </c>
      <c r="E369" s="355"/>
      <c r="F369" s="343"/>
      <c r="G369" s="147" t="str">
        <f t="shared" si="27"/>
        <v>48119X1</v>
      </c>
      <c r="H369" s="77"/>
      <c r="I369" s="77"/>
      <c r="J369" s="77"/>
      <c r="K369" s="77"/>
      <c r="M369" s="301"/>
      <c r="N369" s="301"/>
      <c r="O369" s="301"/>
      <c r="P369" s="301"/>
      <c r="Q369" s="301"/>
      <c r="R369" s="301"/>
      <c r="S369" s="301"/>
    </row>
    <row r="370" spans="1:19" ht="12.75">
      <c r="A370" s="355">
        <f t="shared" si="26"/>
        <v>4</v>
      </c>
      <c r="B370" s="355">
        <v>8</v>
      </c>
      <c r="C370" s="355">
        <v>119</v>
      </c>
      <c r="D370" s="356" t="s">
        <v>830</v>
      </c>
      <c r="E370" s="355"/>
      <c r="F370" s="343"/>
      <c r="G370" s="147" t="str">
        <f t="shared" si="27"/>
        <v>48119X2</v>
      </c>
      <c r="H370" s="77"/>
      <c r="I370" s="77"/>
      <c r="J370" s="77"/>
      <c r="K370" s="77"/>
      <c r="M370" s="301"/>
      <c r="N370" s="301"/>
      <c r="O370" s="301"/>
      <c r="P370" s="301"/>
      <c r="Q370" s="301"/>
      <c r="R370" s="301"/>
      <c r="S370" s="301"/>
    </row>
    <row r="371" spans="1:19" ht="12.75">
      <c r="A371" s="355">
        <f t="shared" si="26"/>
        <v>4</v>
      </c>
      <c r="B371" s="355">
        <v>8</v>
      </c>
      <c r="C371" s="355">
        <v>119</v>
      </c>
      <c r="D371" s="356" t="s">
        <v>831</v>
      </c>
      <c r="E371" s="355"/>
      <c r="F371" s="343"/>
      <c r="G371" s="147" t="str">
        <f t="shared" si="27"/>
        <v>48119X3</v>
      </c>
      <c r="H371" s="77"/>
      <c r="I371" s="77"/>
      <c r="J371" s="77"/>
      <c r="K371" s="77"/>
      <c r="M371" s="301"/>
      <c r="N371" s="301"/>
      <c r="O371" s="301"/>
      <c r="P371" s="301"/>
      <c r="Q371" s="301"/>
      <c r="R371" s="301"/>
      <c r="S371" s="301"/>
    </row>
    <row r="372" spans="1:19" ht="12.75">
      <c r="A372" s="355">
        <f t="shared" si="26"/>
        <v>4</v>
      </c>
      <c r="B372" s="355">
        <v>8</v>
      </c>
      <c r="C372" s="355">
        <v>119</v>
      </c>
      <c r="D372" s="356" t="s">
        <v>832</v>
      </c>
      <c r="E372" s="355"/>
      <c r="F372" s="343"/>
      <c r="G372" s="147" t="str">
        <f t="shared" si="27"/>
        <v>48119X4</v>
      </c>
      <c r="H372" s="77"/>
      <c r="I372" s="77"/>
      <c r="J372" s="77"/>
      <c r="K372" s="77"/>
      <c r="M372" s="301"/>
      <c r="N372" s="301"/>
      <c r="O372" s="301"/>
      <c r="P372" s="301"/>
      <c r="Q372" s="301"/>
      <c r="R372" s="301"/>
      <c r="S372" s="301"/>
    </row>
    <row r="373" spans="1:19" ht="12.75">
      <c r="A373" s="355">
        <f t="shared" si="26"/>
        <v>4</v>
      </c>
      <c r="B373" s="355">
        <v>8</v>
      </c>
      <c r="C373" s="355">
        <v>119</v>
      </c>
      <c r="D373" s="356" t="s">
        <v>833</v>
      </c>
      <c r="E373" s="355"/>
      <c r="F373" s="343"/>
      <c r="G373" s="147" t="str">
        <f t="shared" si="27"/>
        <v>48119X5</v>
      </c>
      <c r="H373" s="77"/>
      <c r="I373" s="77"/>
      <c r="J373" s="77"/>
      <c r="K373" s="77"/>
      <c r="M373" s="301"/>
      <c r="N373" s="301"/>
      <c r="O373" s="301"/>
      <c r="P373" s="301"/>
      <c r="Q373" s="301"/>
      <c r="R373" s="301"/>
      <c r="S373" s="301"/>
    </row>
    <row r="374" spans="1:19" ht="12.75">
      <c r="A374" s="355">
        <f t="shared" si="26"/>
        <v>4</v>
      </c>
      <c r="B374" s="355">
        <v>8</v>
      </c>
      <c r="C374" s="355">
        <v>108</v>
      </c>
      <c r="D374" s="356" t="s">
        <v>118</v>
      </c>
      <c r="E374" s="355"/>
      <c r="F374" s="343"/>
      <c r="G374" s="147" t="str">
        <f t="shared" si="27"/>
        <v>48108X06</v>
      </c>
      <c r="H374" s="77">
        <v>-677436</v>
      </c>
      <c r="I374" s="77">
        <v>-677436</v>
      </c>
      <c r="J374" s="77">
        <v>0</v>
      </c>
      <c r="K374" s="77">
        <v>0</v>
      </c>
      <c r="M374" s="301"/>
      <c r="N374" s="301"/>
      <c r="O374" s="301"/>
      <c r="P374" s="301"/>
      <c r="Q374" s="301"/>
      <c r="R374" s="301"/>
      <c r="S374" s="301"/>
    </row>
    <row r="375" spans="1:19" ht="12.75">
      <c r="A375" s="355">
        <f t="shared" si="26"/>
        <v>4</v>
      </c>
      <c r="B375" s="355">
        <v>8</v>
      </c>
      <c r="C375" s="355">
        <v>119</v>
      </c>
      <c r="D375" s="356" t="s">
        <v>834</v>
      </c>
      <c r="E375" s="355"/>
      <c r="F375" s="343"/>
      <c r="G375" s="147" t="str">
        <f t="shared" si="27"/>
        <v>48119X7</v>
      </c>
      <c r="H375" s="77"/>
      <c r="I375" s="77"/>
      <c r="J375" s="77"/>
      <c r="K375" s="77"/>
      <c r="M375" s="301"/>
      <c r="N375" s="301"/>
      <c r="O375" s="301"/>
      <c r="P375" s="301"/>
      <c r="Q375" s="301"/>
      <c r="R375" s="301"/>
      <c r="S375" s="301"/>
    </row>
    <row r="376" spans="1:19" ht="12.75">
      <c r="A376" s="355">
        <f t="shared" si="26"/>
        <v>4</v>
      </c>
      <c r="B376" s="355">
        <v>9</v>
      </c>
      <c r="C376" s="355">
        <v>119</v>
      </c>
      <c r="D376" s="356" t="s">
        <v>829</v>
      </c>
      <c r="E376" s="355"/>
      <c r="F376" s="343"/>
      <c r="G376" s="147" t="str">
        <f t="shared" si="27"/>
        <v>49119X1</v>
      </c>
      <c r="H376" s="77"/>
      <c r="I376" s="77"/>
      <c r="J376" s="77"/>
      <c r="K376" s="77"/>
      <c r="M376" s="301"/>
      <c r="N376" s="301"/>
      <c r="O376" s="301"/>
      <c r="P376" s="301"/>
      <c r="Q376" s="301"/>
      <c r="R376" s="301"/>
      <c r="S376" s="301"/>
    </row>
    <row r="377" spans="1:19" ht="12.75">
      <c r="A377" s="355">
        <f t="shared" si="26"/>
        <v>4</v>
      </c>
      <c r="B377" s="355">
        <v>9</v>
      </c>
      <c r="C377" s="355">
        <v>119</v>
      </c>
      <c r="D377" s="356" t="s">
        <v>830</v>
      </c>
      <c r="E377" s="355"/>
      <c r="F377" s="343"/>
      <c r="G377" s="147" t="str">
        <f t="shared" si="27"/>
        <v>49119X2</v>
      </c>
      <c r="H377" s="77"/>
      <c r="I377" s="77"/>
      <c r="J377" s="77"/>
      <c r="K377" s="77"/>
      <c r="M377" s="301"/>
      <c r="N377" s="301"/>
      <c r="O377" s="301"/>
      <c r="P377" s="301"/>
      <c r="Q377" s="301"/>
      <c r="R377" s="301"/>
      <c r="S377" s="301"/>
    </row>
    <row r="378" spans="1:19" ht="12.75">
      <c r="A378" s="355">
        <f t="shared" si="26"/>
        <v>4</v>
      </c>
      <c r="B378" s="355">
        <v>9</v>
      </c>
      <c r="C378" s="355">
        <v>119</v>
      </c>
      <c r="D378" s="356" t="s">
        <v>831</v>
      </c>
      <c r="E378" s="355"/>
      <c r="F378" s="343"/>
      <c r="G378" s="147" t="str">
        <f t="shared" si="27"/>
        <v>49119X3</v>
      </c>
      <c r="H378" s="77"/>
      <c r="I378" s="77"/>
      <c r="J378" s="77"/>
      <c r="K378" s="77"/>
      <c r="M378" s="301"/>
      <c r="N378" s="301"/>
      <c r="O378" s="301"/>
      <c r="P378" s="301"/>
      <c r="Q378" s="301"/>
      <c r="R378" s="301"/>
      <c r="S378" s="301"/>
    </row>
    <row r="379" spans="1:19" ht="12.75">
      <c r="A379" s="355">
        <f t="shared" si="26"/>
        <v>4</v>
      </c>
      <c r="B379" s="355">
        <v>9</v>
      </c>
      <c r="C379" s="355">
        <v>119</v>
      </c>
      <c r="D379" s="356" t="s">
        <v>832</v>
      </c>
      <c r="E379" s="355"/>
      <c r="F379" s="343"/>
      <c r="G379" s="147" t="str">
        <f t="shared" si="27"/>
        <v>49119X4</v>
      </c>
      <c r="H379" s="77"/>
      <c r="I379" s="77"/>
      <c r="J379" s="77"/>
      <c r="K379" s="77"/>
      <c r="M379" s="301"/>
      <c r="N379" s="301"/>
      <c r="O379" s="301"/>
      <c r="P379" s="301"/>
      <c r="Q379" s="301"/>
      <c r="R379" s="301"/>
      <c r="S379" s="301"/>
    </row>
    <row r="380" spans="1:19" ht="12.75">
      <c r="A380" s="355">
        <f t="shared" si="26"/>
        <v>4</v>
      </c>
      <c r="B380" s="355">
        <v>9</v>
      </c>
      <c r="C380" s="355">
        <v>119</v>
      </c>
      <c r="D380" s="356" t="s">
        <v>833</v>
      </c>
      <c r="E380" s="355"/>
      <c r="F380" s="343"/>
      <c r="G380" s="147" t="str">
        <f t="shared" si="27"/>
        <v>49119X5</v>
      </c>
      <c r="H380" s="77"/>
      <c r="I380" s="77"/>
      <c r="J380" s="77"/>
      <c r="K380" s="77"/>
      <c r="M380" s="301"/>
      <c r="N380" s="301"/>
      <c r="O380" s="301"/>
      <c r="P380" s="301"/>
      <c r="Q380" s="301"/>
      <c r="R380" s="301"/>
      <c r="S380" s="301"/>
    </row>
    <row r="381" spans="1:19" ht="12.75">
      <c r="A381" s="355">
        <f t="shared" si="26"/>
        <v>4</v>
      </c>
      <c r="B381" s="355">
        <v>9</v>
      </c>
      <c r="C381" s="355">
        <v>108</v>
      </c>
      <c r="D381" s="356" t="s">
        <v>118</v>
      </c>
      <c r="E381" s="355"/>
      <c r="F381" s="343"/>
      <c r="G381" s="147" t="str">
        <f t="shared" si="27"/>
        <v>49108X06</v>
      </c>
      <c r="H381" s="77">
        <v>-14170477</v>
      </c>
      <c r="I381" s="77">
        <v>-9404989</v>
      </c>
      <c r="J381" s="77">
        <v>-1767752</v>
      </c>
      <c r="K381" s="77">
        <v>-2997736</v>
      </c>
      <c r="M381" s="301"/>
      <c r="N381" s="301"/>
      <c r="O381" s="301"/>
      <c r="P381" s="301"/>
      <c r="Q381" s="301"/>
      <c r="R381" s="301"/>
      <c r="S381" s="301"/>
    </row>
    <row r="382" spans="1:19" ht="12.75">
      <c r="A382" s="355">
        <f t="shared" si="26"/>
        <v>4</v>
      </c>
      <c r="B382" s="355">
        <v>9</v>
      </c>
      <c r="C382" s="355">
        <v>108</v>
      </c>
      <c r="D382" s="356" t="s">
        <v>119</v>
      </c>
      <c r="E382" s="355"/>
      <c r="F382" s="343"/>
      <c r="G382" s="147" t="str">
        <f t="shared" si="27"/>
        <v>49108X07</v>
      </c>
      <c r="H382" s="77">
        <v>-625929</v>
      </c>
      <c r="I382" s="77">
        <v>-297650</v>
      </c>
      <c r="J382" s="77">
        <v>-194008</v>
      </c>
      <c r="K382" s="77">
        <v>-134271</v>
      </c>
      <c r="M382" s="301"/>
      <c r="N382" s="301"/>
      <c r="O382" s="301"/>
      <c r="P382" s="301"/>
      <c r="Q382" s="301"/>
      <c r="R382" s="301"/>
      <c r="S382" s="301"/>
    </row>
    <row r="383" spans="1:19" ht="12.75">
      <c r="A383" s="355">
        <f t="shared" si="26"/>
        <v>4</v>
      </c>
      <c r="B383" s="355">
        <v>9</v>
      </c>
      <c r="C383" s="355">
        <v>119</v>
      </c>
      <c r="D383" s="356" t="s">
        <v>40</v>
      </c>
      <c r="E383" s="355"/>
      <c r="F383" s="343"/>
      <c r="G383" s="147" t="str">
        <f t="shared" si="27"/>
        <v>49119X9</v>
      </c>
      <c r="H383" s="77"/>
      <c r="I383" s="77"/>
      <c r="J383" s="77"/>
      <c r="K383" s="77"/>
      <c r="M383" s="301"/>
      <c r="N383" s="301"/>
      <c r="O383" s="301"/>
      <c r="P383" s="301"/>
      <c r="Q383" s="301"/>
      <c r="R383" s="301"/>
      <c r="S383" s="301"/>
    </row>
    <row r="384" spans="1:19" ht="12.75">
      <c r="A384" s="355"/>
      <c r="B384" s="355"/>
      <c r="C384" s="355"/>
      <c r="D384" s="356"/>
      <c r="E384" s="355"/>
      <c r="F384" s="343"/>
      <c r="G384" s="343"/>
      <c r="H384" s="77"/>
      <c r="I384" s="77"/>
      <c r="J384" s="77"/>
      <c r="K384" s="77"/>
      <c r="M384" s="301"/>
      <c r="N384" s="301"/>
      <c r="O384" s="301"/>
      <c r="P384" s="301"/>
      <c r="Q384" s="301"/>
      <c r="R384" s="301"/>
      <c r="S384" s="301"/>
    </row>
    <row r="385" spans="1:19" ht="12.75">
      <c r="A385" s="357" t="s">
        <v>835</v>
      </c>
      <c r="B385" s="355"/>
      <c r="C385" s="355"/>
      <c r="D385" s="356"/>
      <c r="E385" s="355"/>
      <c r="F385" s="343"/>
      <c r="G385" s="343"/>
      <c r="H385" s="77"/>
      <c r="I385" s="77"/>
      <c r="J385" s="77"/>
      <c r="K385" s="77"/>
      <c r="M385" s="301"/>
      <c r="N385" s="301"/>
      <c r="O385" s="301"/>
      <c r="P385" s="301"/>
      <c r="Q385" s="301"/>
      <c r="R385" s="301"/>
      <c r="S385" s="301"/>
    </row>
    <row r="386" spans="1:19" ht="12.75">
      <c r="A386" s="355">
        <f aca="true" t="shared" si="28" ref="A386:A408">IF(rbcalc="e",3,IF(months=1,5,4))</f>
        <v>4</v>
      </c>
      <c r="B386" s="355">
        <v>0</v>
      </c>
      <c r="C386" s="355">
        <v>111</v>
      </c>
      <c r="D386" s="356" t="s">
        <v>122</v>
      </c>
      <c r="E386" s="355"/>
      <c r="F386" s="343"/>
      <c r="G386" s="147" t="str">
        <f>+A386&amp;B386&amp;C386&amp;D386&amp;E386&amp;F386</f>
        <v>40111X20</v>
      </c>
      <c r="H386" s="77">
        <v>-2820131</v>
      </c>
      <c r="I386" s="77">
        <v>-2820131</v>
      </c>
      <c r="J386" s="77">
        <v>0</v>
      </c>
      <c r="K386" s="77">
        <v>0</v>
      </c>
      <c r="M386" s="301" t="s">
        <v>442</v>
      </c>
      <c r="N386" s="301"/>
      <c r="O386" s="301"/>
      <c r="P386" s="301"/>
      <c r="Q386" s="301"/>
      <c r="R386" s="301"/>
      <c r="S386" s="301"/>
    </row>
    <row r="387" spans="1:19" ht="12.75">
      <c r="A387" s="355">
        <f t="shared" si="28"/>
        <v>4</v>
      </c>
      <c r="B387" s="355">
        <v>0</v>
      </c>
      <c r="C387" s="355">
        <v>111</v>
      </c>
      <c r="D387" s="356">
        <v>100</v>
      </c>
      <c r="E387" s="355"/>
      <c r="F387" s="343"/>
      <c r="G387" s="154">
        <f>A387*10000000+B387*1000000+C387*1000+D387</f>
        <v>40111100</v>
      </c>
      <c r="H387" s="77">
        <v>-2104746</v>
      </c>
      <c r="I387" s="77">
        <v>0</v>
      </c>
      <c r="J387" s="77">
        <v>-674534</v>
      </c>
      <c r="K387" s="77">
        <v>-1430211</v>
      </c>
      <c r="M387" s="301" t="s">
        <v>667</v>
      </c>
      <c r="N387" s="301"/>
      <c r="O387" s="301"/>
      <c r="P387" s="301"/>
      <c r="Q387" s="301"/>
      <c r="R387" s="301"/>
      <c r="S387" s="301"/>
    </row>
    <row r="388" spans="1:19" ht="12.75">
      <c r="A388" s="355">
        <f t="shared" si="28"/>
        <v>4</v>
      </c>
      <c r="B388" s="355">
        <v>2</v>
      </c>
      <c r="C388" s="355">
        <v>111</v>
      </c>
      <c r="D388" s="356" t="s">
        <v>123</v>
      </c>
      <c r="E388" s="355"/>
      <c r="F388" s="343"/>
      <c r="G388" s="147" t="str">
        <f aca="true" t="shared" si="29" ref="G388:G401">+A388&amp;B388&amp;C388&amp;D388&amp;E388&amp;F388</f>
        <v>42111X30</v>
      </c>
      <c r="H388" s="77">
        <v>-12295</v>
      </c>
      <c r="I388" s="77">
        <v>0</v>
      </c>
      <c r="J388" s="77">
        <v>-12295</v>
      </c>
      <c r="K388" s="77">
        <v>0</v>
      </c>
      <c r="M388" s="301"/>
      <c r="N388" s="301"/>
      <c r="O388" s="301"/>
      <c r="P388" s="301"/>
      <c r="Q388" s="301"/>
      <c r="R388" s="301"/>
      <c r="S388" s="301"/>
    </row>
    <row r="389" spans="1:19" ht="12.75">
      <c r="A389" s="355">
        <f t="shared" si="28"/>
        <v>4</v>
      </c>
      <c r="B389" s="355">
        <v>0</v>
      </c>
      <c r="C389" s="355">
        <v>111</v>
      </c>
      <c r="D389" s="356" t="s">
        <v>123</v>
      </c>
      <c r="E389" s="355"/>
      <c r="F389" s="343"/>
      <c r="G389" s="147" t="str">
        <f t="shared" si="29"/>
        <v>40111X30</v>
      </c>
      <c r="H389" s="77">
        <v>-419382</v>
      </c>
      <c r="I389" s="77">
        <v>-410330</v>
      </c>
      <c r="J389" s="77">
        <v>-9051</v>
      </c>
      <c r="K389" s="77">
        <v>0</v>
      </c>
      <c r="M389" s="301"/>
      <c r="N389" s="301"/>
      <c r="O389" s="301"/>
      <c r="P389" s="301"/>
      <c r="Q389" s="301"/>
      <c r="R389" s="301"/>
      <c r="S389" s="301"/>
    </row>
    <row r="390" spans="1:19" ht="12.75">
      <c r="A390" s="355">
        <f t="shared" si="28"/>
        <v>4</v>
      </c>
      <c r="B390" s="355">
        <v>7</v>
      </c>
      <c r="C390" s="355">
        <v>111</v>
      </c>
      <c r="D390" s="356" t="s">
        <v>124</v>
      </c>
      <c r="E390" s="355"/>
      <c r="F390" s="343"/>
      <c r="G390" s="147" t="str">
        <f t="shared" si="29"/>
        <v>47111X50</v>
      </c>
      <c r="H390" s="77">
        <v>-84220</v>
      </c>
      <c r="I390" s="77">
        <v>-84220</v>
      </c>
      <c r="J390" s="77">
        <v>0</v>
      </c>
      <c r="K390" s="77">
        <v>0</v>
      </c>
      <c r="M390" s="301"/>
      <c r="N390" s="301"/>
      <c r="O390" s="301"/>
      <c r="P390" s="301"/>
      <c r="Q390" s="301"/>
      <c r="R390" s="301"/>
      <c r="S390" s="301"/>
    </row>
    <row r="391" spans="1:19" ht="12.75">
      <c r="A391" s="355">
        <f t="shared" si="28"/>
        <v>4</v>
      </c>
      <c r="B391" s="355">
        <v>0</v>
      </c>
      <c r="C391" s="355">
        <v>111</v>
      </c>
      <c r="D391" s="356" t="s">
        <v>126</v>
      </c>
      <c r="E391" s="355"/>
      <c r="F391" s="343"/>
      <c r="G391" s="147" t="str">
        <f t="shared" si="29"/>
        <v>40111X60</v>
      </c>
      <c r="H391" s="77">
        <v>0</v>
      </c>
      <c r="I391" s="77">
        <v>0</v>
      </c>
      <c r="J391" s="77">
        <v>0</v>
      </c>
      <c r="K391" s="77">
        <v>0</v>
      </c>
      <c r="M391" s="301" t="s">
        <v>696</v>
      </c>
      <c r="N391" s="301"/>
      <c r="O391" s="301"/>
      <c r="P391" s="301"/>
      <c r="Q391" s="301"/>
      <c r="R391" s="301"/>
      <c r="S391" s="301"/>
    </row>
    <row r="392" spans="1:19" ht="12.75">
      <c r="A392" s="355">
        <f t="shared" si="28"/>
        <v>4</v>
      </c>
      <c r="B392" s="355">
        <v>1</v>
      </c>
      <c r="C392" s="355">
        <v>111</v>
      </c>
      <c r="D392" s="356" t="s">
        <v>126</v>
      </c>
      <c r="E392" s="355"/>
      <c r="F392" s="343"/>
      <c r="G392" s="147" t="str">
        <f>+A392&amp;B392&amp;C392&amp;D392&amp;E392&amp;F392</f>
        <v>41111X60</v>
      </c>
      <c r="H392" s="77">
        <v>0</v>
      </c>
      <c r="I392" s="77">
        <v>0</v>
      </c>
      <c r="J392" s="77">
        <v>0</v>
      </c>
      <c r="K392" s="77">
        <v>0</v>
      </c>
      <c r="M392" s="301"/>
      <c r="N392" s="301"/>
      <c r="O392" s="301"/>
      <c r="P392" s="301"/>
      <c r="Q392" s="301"/>
      <c r="R392" s="301"/>
      <c r="S392" s="301"/>
    </row>
    <row r="393" spans="1:19" ht="12.75">
      <c r="A393" s="355">
        <f t="shared" si="28"/>
        <v>4</v>
      </c>
      <c r="B393" s="355">
        <v>2</v>
      </c>
      <c r="C393" s="355">
        <v>111</v>
      </c>
      <c r="D393" s="356" t="s">
        <v>126</v>
      </c>
      <c r="E393" s="355"/>
      <c r="F393" s="343"/>
      <c r="G393" s="147" t="str">
        <f>+A393&amp;B393&amp;C393&amp;D393&amp;E393&amp;F393</f>
        <v>42111X60</v>
      </c>
      <c r="H393" s="77">
        <v>0</v>
      </c>
      <c r="I393" s="77">
        <v>0</v>
      </c>
      <c r="J393" s="77">
        <v>0</v>
      </c>
      <c r="K393" s="77">
        <v>0</v>
      </c>
      <c r="M393" s="301"/>
      <c r="N393" s="301"/>
      <c r="O393" s="301"/>
      <c r="P393" s="301"/>
      <c r="Q393" s="301"/>
      <c r="R393" s="301"/>
      <c r="S393" s="301"/>
    </row>
    <row r="394" spans="1:19" ht="12.75">
      <c r="A394" s="355">
        <f t="shared" si="28"/>
        <v>4</v>
      </c>
      <c r="B394" s="355">
        <v>8</v>
      </c>
      <c r="C394" s="355">
        <v>111</v>
      </c>
      <c r="D394" s="356" t="s">
        <v>126</v>
      </c>
      <c r="E394" s="355"/>
      <c r="F394" s="343"/>
      <c r="G394" s="147" t="str">
        <f>+A394&amp;B394&amp;C394&amp;D394&amp;E394&amp;F394</f>
        <v>48111X60</v>
      </c>
      <c r="H394" s="77"/>
      <c r="I394" s="77"/>
      <c r="J394" s="77"/>
      <c r="K394" s="77"/>
      <c r="M394" s="301"/>
      <c r="N394" s="301"/>
      <c r="O394" s="301"/>
      <c r="P394" s="301"/>
      <c r="Q394" s="301"/>
      <c r="R394" s="301"/>
      <c r="S394" s="301"/>
    </row>
    <row r="395" spans="1:19" ht="12.75">
      <c r="A395" s="355">
        <f t="shared" si="28"/>
        <v>4</v>
      </c>
      <c r="B395" s="355">
        <v>9</v>
      </c>
      <c r="C395" s="355">
        <v>111</v>
      </c>
      <c r="D395" s="356" t="s">
        <v>126</v>
      </c>
      <c r="E395" s="355"/>
      <c r="F395" s="343"/>
      <c r="G395" s="147" t="str">
        <f>+A395&amp;B395&amp;C395&amp;D395&amp;E395&amp;F395</f>
        <v>49111X60</v>
      </c>
      <c r="H395" s="77">
        <v>0</v>
      </c>
      <c r="I395" s="77">
        <v>0</v>
      </c>
      <c r="J395" s="77">
        <v>0</v>
      </c>
      <c r="K395" s="77">
        <v>0</v>
      </c>
      <c r="M395" s="301"/>
      <c r="N395" s="301"/>
      <c r="O395" s="301"/>
      <c r="P395" s="301"/>
      <c r="Q395" s="301"/>
      <c r="R395" s="301"/>
      <c r="S395" s="301"/>
    </row>
    <row r="396" spans="1:19" ht="12.75">
      <c r="A396" s="355">
        <f t="shared" si="28"/>
        <v>4</v>
      </c>
      <c r="B396" s="355">
        <v>0</v>
      </c>
      <c r="C396" s="355">
        <v>111</v>
      </c>
      <c r="D396" s="356" t="s">
        <v>129</v>
      </c>
      <c r="E396" s="355"/>
      <c r="F396" s="343"/>
      <c r="G396" s="147" t="str">
        <f>+A396&amp;B396&amp;C396&amp;D396&amp;E396&amp;F396</f>
        <v>40111X70</v>
      </c>
      <c r="H396" s="77">
        <v>-111111</v>
      </c>
      <c r="I396" s="77">
        <v>-432</v>
      </c>
      <c r="J396" s="77">
        <v>-110678</v>
      </c>
      <c r="K396" s="77">
        <v>0</v>
      </c>
      <c r="M396" s="301"/>
      <c r="N396" s="301"/>
      <c r="O396" s="301"/>
      <c r="P396" s="301"/>
      <c r="Q396" s="301"/>
      <c r="R396" s="301"/>
      <c r="S396" s="301"/>
    </row>
    <row r="397" spans="1:19" ht="12.75">
      <c r="A397" s="355">
        <f t="shared" si="28"/>
        <v>4</v>
      </c>
      <c r="B397" s="355">
        <v>0</v>
      </c>
      <c r="C397" s="355">
        <v>111</v>
      </c>
      <c r="D397" s="356" t="s">
        <v>125</v>
      </c>
      <c r="E397" s="355"/>
      <c r="F397" s="343"/>
      <c r="G397" s="147" t="str">
        <f t="shared" si="29"/>
        <v>40111X31</v>
      </c>
      <c r="H397" s="77">
        <v>-1118862</v>
      </c>
      <c r="I397" s="77">
        <v>-1118862</v>
      </c>
      <c r="J397" s="77">
        <v>0</v>
      </c>
      <c r="K397" s="77">
        <v>0</v>
      </c>
      <c r="M397" s="301"/>
      <c r="N397" s="301"/>
      <c r="O397" s="301"/>
      <c r="P397" s="301"/>
      <c r="Q397" s="301"/>
      <c r="R397" s="301"/>
      <c r="S397" s="301"/>
    </row>
    <row r="398" spans="1:19" ht="12.75">
      <c r="A398" s="355">
        <f t="shared" si="28"/>
        <v>4</v>
      </c>
      <c r="B398" s="355">
        <v>0</v>
      </c>
      <c r="C398" s="355">
        <v>111</v>
      </c>
      <c r="D398" s="356" t="s">
        <v>133</v>
      </c>
      <c r="E398" s="355"/>
      <c r="F398" s="343"/>
      <c r="G398" s="147" t="str">
        <f t="shared" si="29"/>
        <v>40111X32</v>
      </c>
      <c r="H398" s="77"/>
      <c r="I398" s="77"/>
      <c r="J398" s="77"/>
      <c r="K398" s="77"/>
      <c r="M398" s="301"/>
      <c r="N398" s="301"/>
      <c r="O398" s="301"/>
      <c r="P398" s="301"/>
      <c r="Q398" s="301"/>
      <c r="R398" s="301"/>
      <c r="S398" s="301"/>
    </row>
    <row r="399" spans="1:19" ht="12.75">
      <c r="A399" s="355">
        <f t="shared" si="28"/>
        <v>4</v>
      </c>
      <c r="B399" s="355">
        <v>1</v>
      </c>
      <c r="C399" s="355">
        <v>111</v>
      </c>
      <c r="D399" s="356" t="s">
        <v>133</v>
      </c>
      <c r="E399" s="355"/>
      <c r="F399" s="343"/>
      <c r="G399" s="147" t="str">
        <f t="shared" si="29"/>
        <v>41111X32</v>
      </c>
      <c r="H399" s="77">
        <v>-2289</v>
      </c>
      <c r="I399" s="77">
        <v>-2289</v>
      </c>
      <c r="J399" s="77">
        <v>0</v>
      </c>
      <c r="K399" s="77">
        <v>0</v>
      </c>
      <c r="M399" s="301"/>
      <c r="N399" s="301"/>
      <c r="O399" s="301"/>
      <c r="P399" s="301"/>
      <c r="Q399" s="301"/>
      <c r="R399" s="301"/>
      <c r="S399" s="301"/>
    </row>
    <row r="400" spans="1:19" ht="12.75">
      <c r="A400" s="355">
        <f t="shared" si="28"/>
        <v>4</v>
      </c>
      <c r="B400" s="355">
        <v>2</v>
      </c>
      <c r="C400" s="355">
        <v>111</v>
      </c>
      <c r="D400" s="356" t="s">
        <v>133</v>
      </c>
      <c r="E400" s="355"/>
      <c r="F400" s="343"/>
      <c r="G400" s="147" t="str">
        <f t="shared" si="29"/>
        <v>42111X32</v>
      </c>
      <c r="H400" s="77">
        <v>0</v>
      </c>
      <c r="I400" s="77">
        <v>0</v>
      </c>
      <c r="J400" s="77">
        <v>0</v>
      </c>
      <c r="K400" s="77">
        <v>0</v>
      </c>
      <c r="M400" s="301"/>
      <c r="N400" s="301"/>
      <c r="O400" s="301"/>
      <c r="P400" s="301"/>
      <c r="Q400" s="301"/>
      <c r="R400" s="301"/>
      <c r="S400" s="301"/>
    </row>
    <row r="401" spans="1:19" ht="12.75">
      <c r="A401" s="355">
        <f t="shared" si="28"/>
        <v>4</v>
      </c>
      <c r="B401" s="355">
        <v>7</v>
      </c>
      <c r="C401" s="355">
        <v>111</v>
      </c>
      <c r="D401" s="356" t="s">
        <v>133</v>
      </c>
      <c r="E401" s="355"/>
      <c r="F401" s="343"/>
      <c r="G401" s="147" t="str">
        <f t="shared" si="29"/>
        <v>47111X32</v>
      </c>
      <c r="H401" s="77">
        <v>-5867872</v>
      </c>
      <c r="I401" s="77">
        <v>-5867872</v>
      </c>
      <c r="J401" s="77">
        <v>0</v>
      </c>
      <c r="K401" s="77">
        <v>0</v>
      </c>
      <c r="M401" s="301"/>
      <c r="N401" s="301"/>
      <c r="O401" s="301"/>
      <c r="P401" s="301"/>
      <c r="Q401" s="301"/>
      <c r="R401" s="301"/>
      <c r="S401" s="301"/>
    </row>
    <row r="402" spans="1:19" ht="12.75">
      <c r="A402" s="355">
        <f t="shared" si="28"/>
        <v>4</v>
      </c>
      <c r="B402" s="355">
        <v>8</v>
      </c>
      <c r="C402" s="355">
        <v>111</v>
      </c>
      <c r="D402" s="356" t="s">
        <v>133</v>
      </c>
      <c r="E402" s="355"/>
      <c r="F402" s="343"/>
      <c r="G402" s="147" t="str">
        <f aca="true" t="shared" si="30" ref="G402:G409">+A402&amp;B402&amp;C402&amp;D402&amp;E402&amp;F402</f>
        <v>48111X32</v>
      </c>
      <c r="H402" s="77">
        <v>-450244</v>
      </c>
      <c r="I402" s="77">
        <v>-450244</v>
      </c>
      <c r="J402" s="77">
        <v>0</v>
      </c>
      <c r="K402" s="77">
        <v>0</v>
      </c>
      <c r="M402" s="301"/>
      <c r="N402" s="301"/>
      <c r="O402" s="301"/>
      <c r="P402" s="301"/>
      <c r="Q402" s="301"/>
      <c r="R402" s="301"/>
      <c r="S402" s="301"/>
    </row>
    <row r="403" spans="1:19" ht="12.75">
      <c r="A403" s="355">
        <f t="shared" si="28"/>
        <v>4</v>
      </c>
      <c r="B403" s="355">
        <v>9</v>
      </c>
      <c r="C403" s="355">
        <v>111</v>
      </c>
      <c r="D403" s="356" t="s">
        <v>124</v>
      </c>
      <c r="E403" s="355"/>
      <c r="F403" s="343"/>
      <c r="G403" s="147" t="str">
        <f t="shared" si="30"/>
        <v>49111X50</v>
      </c>
      <c r="H403" s="77">
        <v>-8332</v>
      </c>
      <c r="I403" s="77">
        <v>0</v>
      </c>
      <c r="J403" s="77">
        <v>-8332</v>
      </c>
      <c r="K403" s="77">
        <v>0</v>
      </c>
      <c r="M403" s="301"/>
      <c r="N403" s="301"/>
      <c r="O403" s="301"/>
      <c r="P403" s="301"/>
      <c r="Q403" s="301"/>
      <c r="R403" s="301"/>
      <c r="S403" s="301"/>
    </row>
    <row r="404" spans="1:19" ht="12.75">
      <c r="A404" s="355">
        <f t="shared" si="28"/>
        <v>4</v>
      </c>
      <c r="B404" s="355">
        <v>1</v>
      </c>
      <c r="C404" s="355">
        <v>111</v>
      </c>
      <c r="D404" s="356" t="s">
        <v>125</v>
      </c>
      <c r="E404" s="355"/>
      <c r="F404" s="343"/>
      <c r="G404" s="147" t="str">
        <f t="shared" si="30"/>
        <v>41111X31</v>
      </c>
      <c r="H404" s="77"/>
      <c r="I404" s="77"/>
      <c r="J404" s="77"/>
      <c r="K404" s="77"/>
      <c r="M404" s="301"/>
      <c r="N404" s="301"/>
      <c r="O404" s="301"/>
      <c r="P404" s="301"/>
      <c r="Q404" s="301"/>
      <c r="R404" s="301"/>
      <c r="S404" s="301"/>
    </row>
    <row r="405" spans="1:19" ht="12.75">
      <c r="A405" s="355">
        <f t="shared" si="28"/>
        <v>4</v>
      </c>
      <c r="B405" s="355">
        <v>2</v>
      </c>
      <c r="C405" s="355">
        <v>111</v>
      </c>
      <c r="D405" s="356" t="s">
        <v>125</v>
      </c>
      <c r="E405" s="355"/>
      <c r="F405" s="343"/>
      <c r="G405" s="147" t="str">
        <f t="shared" si="30"/>
        <v>42111X31</v>
      </c>
      <c r="H405" s="77">
        <v>-7353</v>
      </c>
      <c r="I405" s="77">
        <v>0</v>
      </c>
      <c r="J405" s="77">
        <v>-7353</v>
      </c>
      <c r="K405" s="77">
        <v>0</v>
      </c>
      <c r="M405" s="301"/>
      <c r="N405" s="301"/>
      <c r="O405" s="301"/>
      <c r="P405" s="301"/>
      <c r="Q405" s="301"/>
      <c r="R405" s="301"/>
      <c r="S405" s="301"/>
    </row>
    <row r="406" spans="1:19" ht="12.75">
      <c r="A406" s="355">
        <f t="shared" si="28"/>
        <v>4</v>
      </c>
      <c r="B406" s="355">
        <v>7</v>
      </c>
      <c r="C406" s="355">
        <v>111</v>
      </c>
      <c r="D406" s="356" t="s">
        <v>125</v>
      </c>
      <c r="E406" s="355"/>
      <c r="F406" s="343"/>
      <c r="G406" s="147" t="str">
        <f t="shared" si="30"/>
        <v>47111X31</v>
      </c>
      <c r="H406" s="77">
        <v>-2515363</v>
      </c>
      <c r="I406" s="77">
        <v>-2515363</v>
      </c>
      <c r="J406" s="77">
        <v>0</v>
      </c>
      <c r="K406" s="77">
        <v>0</v>
      </c>
      <c r="M406" s="301"/>
      <c r="N406" s="301"/>
      <c r="O406" s="301"/>
      <c r="P406" s="301"/>
      <c r="Q406" s="301"/>
      <c r="R406" s="301"/>
      <c r="S406" s="301"/>
    </row>
    <row r="407" spans="1:19" ht="12.75">
      <c r="A407" s="355">
        <f t="shared" si="28"/>
        <v>4</v>
      </c>
      <c r="B407" s="355">
        <v>8</v>
      </c>
      <c r="C407" s="355">
        <v>111</v>
      </c>
      <c r="D407" s="356" t="s">
        <v>125</v>
      </c>
      <c r="E407" s="355"/>
      <c r="F407" s="343"/>
      <c r="G407" s="147" t="str">
        <f t="shared" si="30"/>
        <v>48111X31</v>
      </c>
      <c r="H407" s="77"/>
      <c r="I407" s="77"/>
      <c r="J407" s="77"/>
      <c r="K407" s="77"/>
      <c r="M407" s="301"/>
      <c r="N407" s="301"/>
      <c r="O407" s="301"/>
      <c r="P407" s="301"/>
      <c r="Q407" s="301"/>
      <c r="R407" s="301"/>
      <c r="S407" s="301"/>
    </row>
    <row r="408" spans="1:19" ht="12.75">
      <c r="A408" s="355">
        <f t="shared" si="28"/>
        <v>4</v>
      </c>
      <c r="B408" s="355">
        <v>9</v>
      </c>
      <c r="C408" s="355">
        <v>111</v>
      </c>
      <c r="D408" s="356" t="s">
        <v>125</v>
      </c>
      <c r="E408" s="355"/>
      <c r="F408" s="343"/>
      <c r="G408" s="147" t="str">
        <f t="shared" si="30"/>
        <v>49111X31</v>
      </c>
      <c r="H408" s="77">
        <v>-2345</v>
      </c>
      <c r="I408" s="77">
        <v>-2345</v>
      </c>
      <c r="J408" s="77">
        <v>0</v>
      </c>
      <c r="K408" s="77">
        <v>0</v>
      </c>
      <c r="M408" s="301"/>
      <c r="N408" s="301"/>
      <c r="O408" s="301"/>
      <c r="P408" s="301"/>
      <c r="Q408" s="301"/>
      <c r="R408" s="301"/>
      <c r="S408" s="301"/>
    </row>
    <row r="409" spans="1:19" ht="12.75">
      <c r="A409" s="355">
        <f>IF(rbcalc="e",3,IF(months=1,5,4))</f>
        <v>4</v>
      </c>
      <c r="B409" s="355">
        <v>0</v>
      </c>
      <c r="C409" s="355">
        <v>111</v>
      </c>
      <c r="D409" s="356" t="s">
        <v>124</v>
      </c>
      <c r="E409" s="355"/>
      <c r="F409" s="343"/>
      <c r="G409" s="147" t="str">
        <f t="shared" si="30"/>
        <v>40111X50</v>
      </c>
      <c r="H409" s="77"/>
      <c r="I409" s="77"/>
      <c r="J409" s="77"/>
      <c r="K409" s="77"/>
      <c r="M409" s="301"/>
      <c r="N409" s="301"/>
      <c r="O409" s="301"/>
      <c r="P409" s="301"/>
      <c r="Q409" s="301"/>
      <c r="R409" s="301"/>
      <c r="S409" s="301"/>
    </row>
    <row r="410" spans="1:19" ht="12.75">
      <c r="A410" s="355"/>
      <c r="B410" s="355"/>
      <c r="C410" s="355"/>
      <c r="D410" s="356"/>
      <c r="E410" s="355"/>
      <c r="F410" s="343"/>
      <c r="G410" s="343"/>
      <c r="H410" s="77"/>
      <c r="I410" s="77"/>
      <c r="J410" s="77"/>
      <c r="K410" s="77"/>
      <c r="M410" s="301"/>
      <c r="N410" s="301"/>
      <c r="O410" s="301"/>
      <c r="P410" s="301"/>
      <c r="Q410" s="301"/>
      <c r="R410" s="301"/>
      <c r="S410" s="301"/>
    </row>
    <row r="411" spans="1:19" ht="12.75">
      <c r="A411" s="355"/>
      <c r="B411" s="355"/>
      <c r="C411" s="355"/>
      <c r="D411" s="356"/>
      <c r="E411" s="355"/>
      <c r="F411" s="343"/>
      <c r="G411" s="343"/>
      <c r="H411" s="77"/>
      <c r="I411" s="77"/>
      <c r="J411" s="77"/>
      <c r="K411" s="77"/>
      <c r="M411" s="301"/>
      <c r="N411" s="301"/>
      <c r="O411" s="301"/>
      <c r="P411" s="301"/>
      <c r="Q411" s="301"/>
      <c r="R411" s="301"/>
      <c r="S411" s="301"/>
    </row>
    <row r="412" spans="1:19" ht="12.75">
      <c r="A412" s="357" t="s">
        <v>836</v>
      </c>
      <c r="B412" s="355"/>
      <c r="C412" s="355"/>
      <c r="D412" s="356"/>
      <c r="E412" s="355"/>
      <c r="F412" s="343"/>
      <c r="G412" s="343"/>
      <c r="H412" s="77"/>
      <c r="I412" s="77"/>
      <c r="J412" s="77"/>
      <c r="K412" s="77"/>
      <c r="M412" s="301"/>
      <c r="N412" s="301"/>
      <c r="O412" s="301"/>
      <c r="P412" s="301"/>
      <c r="Q412" s="301"/>
      <c r="R412" s="301"/>
      <c r="S412" s="301"/>
    </row>
    <row r="413" spans="1:19" ht="12.75">
      <c r="A413" s="355">
        <f aca="true" t="shared" si="31" ref="A413:A432">IF(rbcalc="e",3,IF(months=1,5,4))</f>
        <v>4</v>
      </c>
      <c r="B413" s="355">
        <v>1</v>
      </c>
      <c r="C413" s="355">
        <v>303</v>
      </c>
      <c r="D413" s="343">
        <v>0</v>
      </c>
      <c r="E413" s="355"/>
      <c r="F413" s="343"/>
      <c r="G413" s="154">
        <f aca="true" t="shared" si="32" ref="G413:G432">A413*10000000+B413*1000000+C413*1000+D413</f>
        <v>41303000</v>
      </c>
      <c r="H413" s="77">
        <v>417899</v>
      </c>
      <c r="I413" s="77">
        <v>0</v>
      </c>
      <c r="J413" s="77">
        <v>249449</v>
      </c>
      <c r="K413" s="77">
        <v>168450</v>
      </c>
      <c r="M413" s="301"/>
      <c r="N413" s="301"/>
      <c r="O413" s="301"/>
      <c r="P413" s="301"/>
      <c r="Q413" s="301"/>
      <c r="R413" s="301"/>
      <c r="S413" s="301"/>
    </row>
    <row r="414" spans="1:19" ht="12.75">
      <c r="A414" s="355">
        <f t="shared" si="31"/>
        <v>4</v>
      </c>
      <c r="B414" s="355">
        <v>9</v>
      </c>
      <c r="C414" s="355">
        <v>303</v>
      </c>
      <c r="D414" s="343">
        <v>0</v>
      </c>
      <c r="E414" s="355"/>
      <c r="F414" s="343"/>
      <c r="G414" s="154">
        <f>A414*10000000+B414*1000000+C414*1000+D414</f>
        <v>49303000</v>
      </c>
      <c r="H414" s="77">
        <v>121286</v>
      </c>
      <c r="I414" s="77">
        <v>121286</v>
      </c>
      <c r="J414" s="77">
        <v>0</v>
      </c>
      <c r="K414" s="77">
        <v>0</v>
      </c>
      <c r="M414" s="301"/>
      <c r="N414" s="301"/>
      <c r="O414" s="301"/>
      <c r="P414" s="301"/>
      <c r="Q414" s="301"/>
      <c r="R414" s="301"/>
      <c r="S414" s="301"/>
    </row>
    <row r="415" spans="1:19" ht="12.75">
      <c r="A415" s="355">
        <f t="shared" si="31"/>
        <v>4</v>
      </c>
      <c r="B415" s="355">
        <v>0</v>
      </c>
      <c r="C415" s="355">
        <v>303</v>
      </c>
      <c r="D415" s="356">
        <v>100</v>
      </c>
      <c r="E415" s="355"/>
      <c r="F415" s="343"/>
      <c r="G415" s="154">
        <f t="shared" si="32"/>
        <v>40303100</v>
      </c>
      <c r="H415" s="77">
        <v>315346</v>
      </c>
      <c r="I415" s="77">
        <v>315346</v>
      </c>
      <c r="J415" s="77">
        <v>0</v>
      </c>
      <c r="K415" s="77">
        <v>0</v>
      </c>
      <c r="M415" s="301"/>
      <c r="N415" s="301"/>
      <c r="O415" s="301"/>
      <c r="P415" s="301"/>
      <c r="Q415" s="301"/>
      <c r="R415" s="301"/>
      <c r="S415" s="301"/>
    </row>
    <row r="416" spans="1:19" ht="12.75">
      <c r="A416" s="355">
        <f t="shared" si="31"/>
        <v>4</v>
      </c>
      <c r="B416" s="355">
        <v>1</v>
      </c>
      <c r="C416" s="355">
        <v>303</v>
      </c>
      <c r="D416" s="356">
        <v>100</v>
      </c>
      <c r="E416" s="355"/>
      <c r="F416" s="343"/>
      <c r="G416" s="154">
        <f t="shared" si="32"/>
        <v>41303100</v>
      </c>
      <c r="H416" s="77"/>
      <c r="I416" s="77"/>
      <c r="J416" s="77"/>
      <c r="K416" s="77"/>
      <c r="M416" s="301"/>
      <c r="N416" s="301"/>
      <c r="O416" s="301"/>
      <c r="P416" s="301"/>
      <c r="Q416" s="301"/>
      <c r="R416" s="301"/>
      <c r="S416" s="301"/>
    </row>
    <row r="417" spans="1:19" ht="12.75">
      <c r="A417" s="355">
        <f t="shared" si="31"/>
        <v>4</v>
      </c>
      <c r="B417" s="355">
        <v>2</v>
      </c>
      <c r="C417" s="355">
        <v>303</v>
      </c>
      <c r="D417" s="356">
        <v>100</v>
      </c>
      <c r="E417" s="355"/>
      <c r="F417" s="343"/>
      <c r="G417" s="154">
        <f t="shared" si="32"/>
        <v>42303100</v>
      </c>
      <c r="H417" s="77">
        <v>46440</v>
      </c>
      <c r="I417" s="77">
        <v>0</v>
      </c>
      <c r="J417" s="77">
        <v>46440</v>
      </c>
      <c r="K417" s="77">
        <v>0</v>
      </c>
      <c r="M417" s="301"/>
      <c r="N417" s="301"/>
      <c r="O417" s="301"/>
      <c r="P417" s="301"/>
      <c r="Q417" s="301"/>
      <c r="R417" s="301"/>
      <c r="S417" s="301"/>
    </row>
    <row r="418" spans="1:19" ht="12.75">
      <c r="A418" s="355">
        <f t="shared" si="31"/>
        <v>4</v>
      </c>
      <c r="B418" s="355">
        <v>7</v>
      </c>
      <c r="C418" s="355">
        <v>303</v>
      </c>
      <c r="D418" s="356">
        <v>100</v>
      </c>
      <c r="E418" s="355"/>
      <c r="F418" s="343"/>
      <c r="G418" s="154">
        <f t="shared" si="32"/>
        <v>47303100</v>
      </c>
      <c r="H418" s="77">
        <v>11918874</v>
      </c>
      <c r="I418" s="77">
        <v>11918874</v>
      </c>
      <c r="J418" s="77">
        <v>0</v>
      </c>
      <c r="K418" s="77">
        <v>0</v>
      </c>
      <c r="M418" s="301"/>
      <c r="N418" s="301"/>
      <c r="O418" s="301"/>
      <c r="P418" s="301"/>
      <c r="Q418" s="301"/>
      <c r="R418" s="301"/>
      <c r="S418" s="301"/>
    </row>
    <row r="419" spans="1:19" ht="12.75">
      <c r="A419" s="355">
        <f t="shared" si="31"/>
        <v>4</v>
      </c>
      <c r="B419" s="355">
        <v>8</v>
      </c>
      <c r="C419" s="355">
        <v>303</v>
      </c>
      <c r="D419" s="356">
        <v>100</v>
      </c>
      <c r="E419" s="355"/>
      <c r="F419" s="343"/>
      <c r="G419" s="154">
        <f t="shared" si="32"/>
        <v>48303100</v>
      </c>
      <c r="H419" s="77"/>
      <c r="I419" s="77"/>
      <c r="J419" s="77"/>
      <c r="K419" s="77"/>
      <c r="M419" s="301"/>
      <c r="N419" s="301"/>
      <c r="O419" s="301"/>
      <c r="P419" s="301"/>
      <c r="Q419" s="301"/>
      <c r="R419" s="301"/>
      <c r="S419" s="301"/>
    </row>
    <row r="420" spans="1:19" ht="12.75">
      <c r="A420" s="355">
        <f t="shared" si="31"/>
        <v>4</v>
      </c>
      <c r="B420" s="355">
        <v>9</v>
      </c>
      <c r="C420" s="355">
        <v>303</v>
      </c>
      <c r="D420" s="356">
        <v>100</v>
      </c>
      <c r="E420" s="355"/>
      <c r="F420" s="343"/>
      <c r="G420" s="154">
        <f t="shared" si="32"/>
        <v>49303100</v>
      </c>
      <c r="H420" s="77"/>
      <c r="I420" s="77"/>
      <c r="J420" s="77"/>
      <c r="K420" s="77"/>
      <c r="M420" s="301"/>
      <c r="N420" s="301"/>
      <c r="O420" s="301"/>
      <c r="P420" s="301"/>
      <c r="Q420" s="301"/>
      <c r="R420" s="301"/>
      <c r="S420" s="301"/>
    </row>
    <row r="421" spans="1:19" ht="12.75">
      <c r="A421" s="355">
        <f t="shared" si="31"/>
        <v>4</v>
      </c>
      <c r="B421" s="355">
        <v>0</v>
      </c>
      <c r="C421" s="355">
        <v>303</v>
      </c>
      <c r="D421" s="356">
        <v>110</v>
      </c>
      <c r="E421" s="355"/>
      <c r="F421" s="343"/>
      <c r="G421" s="154">
        <f t="shared" si="32"/>
        <v>40303110</v>
      </c>
      <c r="H421" s="77">
        <v>1502147</v>
      </c>
      <c r="I421" s="77">
        <v>1502147</v>
      </c>
      <c r="J421" s="77">
        <v>0</v>
      </c>
      <c r="K421" s="77">
        <v>0</v>
      </c>
      <c r="M421" s="301"/>
      <c r="N421" s="301"/>
      <c r="O421" s="301"/>
      <c r="P421" s="301"/>
      <c r="Q421" s="301"/>
      <c r="R421" s="301"/>
      <c r="S421" s="301"/>
    </row>
    <row r="422" spans="1:19" ht="12.75">
      <c r="A422" s="355">
        <f t="shared" si="31"/>
        <v>4</v>
      </c>
      <c r="B422" s="355">
        <v>1</v>
      </c>
      <c r="C422" s="355">
        <v>303</v>
      </c>
      <c r="D422" s="356">
        <v>110</v>
      </c>
      <c r="E422" s="355"/>
      <c r="F422" s="343"/>
      <c r="G422" s="154">
        <f t="shared" si="32"/>
        <v>41303110</v>
      </c>
      <c r="H422" s="77">
        <v>7811</v>
      </c>
      <c r="I422" s="77">
        <v>7811</v>
      </c>
      <c r="J422" s="77">
        <v>0</v>
      </c>
      <c r="K422" s="77">
        <v>0</v>
      </c>
      <c r="M422" s="301"/>
      <c r="N422" s="301"/>
      <c r="O422" s="301"/>
      <c r="P422" s="301"/>
      <c r="Q422" s="301"/>
      <c r="R422" s="301"/>
      <c r="S422" s="301"/>
    </row>
    <row r="423" spans="1:19" ht="12.75">
      <c r="A423" s="355">
        <f t="shared" si="31"/>
        <v>4</v>
      </c>
      <c r="B423" s="355">
        <v>2</v>
      </c>
      <c r="C423" s="355">
        <v>303</v>
      </c>
      <c r="D423" s="356">
        <v>110</v>
      </c>
      <c r="E423" s="355"/>
      <c r="F423" s="343"/>
      <c r="G423" s="154">
        <f t="shared" si="32"/>
        <v>42303110</v>
      </c>
      <c r="H423" s="77">
        <v>0</v>
      </c>
      <c r="I423" s="77">
        <v>0</v>
      </c>
      <c r="J423" s="77">
        <v>0</v>
      </c>
      <c r="K423" s="77">
        <v>0</v>
      </c>
      <c r="M423" s="301"/>
      <c r="N423" s="301"/>
      <c r="O423" s="301"/>
      <c r="P423" s="301"/>
      <c r="Q423" s="301"/>
      <c r="R423" s="301"/>
      <c r="S423" s="301"/>
    </row>
    <row r="424" spans="1:19" ht="12.75">
      <c r="A424" s="355">
        <f t="shared" si="31"/>
        <v>4</v>
      </c>
      <c r="B424" s="355">
        <v>7</v>
      </c>
      <c r="C424" s="355">
        <v>303</v>
      </c>
      <c r="D424" s="356">
        <v>110</v>
      </c>
      <c r="E424" s="355"/>
      <c r="F424" s="343"/>
      <c r="G424" s="154">
        <f t="shared" si="32"/>
        <v>47303110</v>
      </c>
      <c r="H424" s="77">
        <v>9162031</v>
      </c>
      <c r="I424" s="77">
        <v>9162031</v>
      </c>
      <c r="J424" s="77">
        <v>0</v>
      </c>
      <c r="K424" s="77">
        <v>0</v>
      </c>
      <c r="M424" s="301"/>
      <c r="N424" s="301"/>
      <c r="O424" s="301"/>
      <c r="P424" s="301"/>
      <c r="Q424" s="301"/>
      <c r="R424" s="301"/>
      <c r="S424" s="301"/>
    </row>
    <row r="425" spans="1:19" ht="12.75">
      <c r="A425" s="355">
        <f t="shared" si="31"/>
        <v>4</v>
      </c>
      <c r="B425" s="355">
        <v>8</v>
      </c>
      <c r="C425" s="355">
        <v>303</v>
      </c>
      <c r="D425" s="356">
        <v>110</v>
      </c>
      <c r="E425" s="355"/>
      <c r="F425" s="343"/>
      <c r="G425" s="154">
        <f t="shared" si="32"/>
        <v>48303110</v>
      </c>
      <c r="H425" s="77">
        <v>723251</v>
      </c>
      <c r="I425" s="77">
        <v>723251</v>
      </c>
      <c r="J425" s="77">
        <v>0</v>
      </c>
      <c r="K425" s="77">
        <v>0</v>
      </c>
      <c r="M425" s="301"/>
      <c r="N425" s="301"/>
      <c r="O425" s="301"/>
      <c r="P425" s="301"/>
      <c r="Q425" s="301"/>
      <c r="R425" s="301"/>
      <c r="S425" s="301"/>
    </row>
    <row r="426" spans="1:19" ht="12.75">
      <c r="A426" s="355">
        <f t="shared" si="31"/>
        <v>4</v>
      </c>
      <c r="B426" s="355">
        <v>9</v>
      </c>
      <c r="C426" s="355">
        <v>303</v>
      </c>
      <c r="D426" s="356">
        <v>110</v>
      </c>
      <c r="E426" s="355"/>
      <c r="F426" s="343"/>
      <c r="G426" s="154">
        <f t="shared" si="32"/>
        <v>49303110</v>
      </c>
      <c r="H426" s="77"/>
      <c r="I426" s="77"/>
      <c r="J426" s="77"/>
      <c r="K426" s="77"/>
      <c r="M426" s="301"/>
      <c r="N426" s="301"/>
      <c r="O426" s="301"/>
      <c r="P426" s="301"/>
      <c r="Q426" s="301"/>
      <c r="R426" s="301"/>
      <c r="S426" s="301"/>
    </row>
    <row r="427" spans="1:19" ht="12.75">
      <c r="A427" s="355">
        <f t="shared" si="31"/>
        <v>4</v>
      </c>
      <c r="B427" s="355">
        <v>0</v>
      </c>
      <c r="C427" s="355">
        <v>303</v>
      </c>
      <c r="D427" s="356">
        <v>120</v>
      </c>
      <c r="E427" s="355"/>
      <c r="F427" s="343"/>
      <c r="G427" s="154">
        <f t="shared" si="32"/>
        <v>40303120</v>
      </c>
      <c r="H427" s="77"/>
      <c r="I427" s="77"/>
      <c r="J427" s="77"/>
      <c r="K427" s="77"/>
      <c r="M427" s="301"/>
      <c r="N427" s="301"/>
      <c r="O427" s="301"/>
      <c r="P427" s="301"/>
      <c r="Q427" s="301"/>
      <c r="R427" s="301"/>
      <c r="S427" s="301"/>
    </row>
    <row r="428" spans="1:19" ht="12.75">
      <c r="A428" s="355">
        <f t="shared" si="31"/>
        <v>4</v>
      </c>
      <c r="B428" s="355">
        <v>1</v>
      </c>
      <c r="C428" s="355">
        <v>303</v>
      </c>
      <c r="D428" s="356">
        <v>120</v>
      </c>
      <c r="E428" s="355"/>
      <c r="F428" s="343"/>
      <c r="G428" s="154">
        <f t="shared" si="32"/>
        <v>41303120</v>
      </c>
      <c r="H428" s="77"/>
      <c r="I428" s="77"/>
      <c r="J428" s="77"/>
      <c r="K428" s="77"/>
      <c r="M428" s="301"/>
      <c r="N428" s="301"/>
      <c r="O428" s="301"/>
      <c r="P428" s="301"/>
      <c r="Q428" s="301"/>
      <c r="R428" s="301"/>
      <c r="S428" s="301"/>
    </row>
    <row r="429" spans="1:19" ht="12.75">
      <c r="A429" s="355">
        <f t="shared" si="31"/>
        <v>4</v>
      </c>
      <c r="B429" s="355">
        <v>2</v>
      </c>
      <c r="C429" s="355">
        <v>303</v>
      </c>
      <c r="D429" s="356">
        <v>120</v>
      </c>
      <c r="E429" s="355"/>
      <c r="F429" s="343"/>
      <c r="G429" s="154">
        <f t="shared" si="32"/>
        <v>42303120</v>
      </c>
      <c r="H429" s="77"/>
      <c r="I429" s="77"/>
      <c r="J429" s="77"/>
      <c r="K429" s="77"/>
      <c r="M429" s="301"/>
      <c r="N429" s="301"/>
      <c r="O429" s="301"/>
      <c r="P429" s="301"/>
      <c r="Q429" s="301"/>
      <c r="R429" s="301"/>
      <c r="S429" s="301"/>
    </row>
    <row r="430" spans="1:19" ht="12.75">
      <c r="A430" s="355">
        <f t="shared" si="31"/>
        <v>4</v>
      </c>
      <c r="B430" s="355">
        <v>7</v>
      </c>
      <c r="C430" s="355">
        <v>303</v>
      </c>
      <c r="D430" s="356">
        <v>120</v>
      </c>
      <c r="E430" s="355"/>
      <c r="F430" s="343"/>
      <c r="G430" s="154">
        <f t="shared" si="32"/>
        <v>47303120</v>
      </c>
      <c r="H430" s="77"/>
      <c r="I430" s="77"/>
      <c r="J430" s="77"/>
      <c r="K430" s="77"/>
      <c r="M430" s="301"/>
      <c r="N430" s="301"/>
      <c r="O430" s="301"/>
      <c r="P430" s="301"/>
      <c r="Q430" s="301"/>
      <c r="R430" s="301"/>
      <c r="S430" s="301"/>
    </row>
    <row r="431" spans="1:19" ht="12.75">
      <c r="A431" s="355">
        <f t="shared" si="31"/>
        <v>4</v>
      </c>
      <c r="B431" s="355">
        <v>8</v>
      </c>
      <c r="C431" s="355">
        <v>303</v>
      </c>
      <c r="D431" s="356">
        <v>120</v>
      </c>
      <c r="E431" s="355"/>
      <c r="F431" s="343"/>
      <c r="G431" s="154">
        <f t="shared" si="32"/>
        <v>48303120</v>
      </c>
      <c r="H431" s="77"/>
      <c r="I431" s="77"/>
      <c r="J431" s="77"/>
      <c r="K431" s="77"/>
      <c r="M431" s="301"/>
      <c r="N431" s="301"/>
      <c r="O431" s="301"/>
      <c r="P431" s="301"/>
      <c r="Q431" s="301"/>
      <c r="R431" s="301"/>
      <c r="S431" s="301"/>
    </row>
    <row r="432" spans="1:19" ht="12.75">
      <c r="A432" s="355">
        <f t="shared" si="31"/>
        <v>4</v>
      </c>
      <c r="B432" s="355">
        <v>9</v>
      </c>
      <c r="C432" s="355">
        <v>303</v>
      </c>
      <c r="D432" s="356">
        <v>120</v>
      </c>
      <c r="E432" s="355"/>
      <c r="F432" s="343"/>
      <c r="G432" s="154">
        <f t="shared" si="32"/>
        <v>49303120</v>
      </c>
      <c r="H432" s="77"/>
      <c r="I432" s="77"/>
      <c r="J432" s="77"/>
      <c r="K432" s="77"/>
      <c r="M432" s="301"/>
      <c r="N432" s="301"/>
      <c r="O432" s="301"/>
      <c r="P432" s="301"/>
      <c r="Q432" s="301"/>
      <c r="R432" s="301"/>
      <c r="S432" s="301"/>
    </row>
    <row r="433" spans="1:19" ht="12.75">
      <c r="A433" s="355"/>
      <c r="B433" s="355"/>
      <c r="C433" s="355"/>
      <c r="D433" s="356"/>
      <c r="E433" s="355"/>
      <c r="F433" s="343"/>
      <c r="G433" s="343"/>
      <c r="H433" s="77"/>
      <c r="I433" s="77"/>
      <c r="J433" s="77"/>
      <c r="K433" s="77"/>
      <c r="M433" s="301"/>
      <c r="N433" s="301"/>
      <c r="O433" s="301"/>
      <c r="P433" s="301"/>
      <c r="Q433" s="301"/>
      <c r="R433" s="301"/>
      <c r="S433" s="301"/>
    </row>
    <row r="434" spans="1:19" ht="12.75">
      <c r="A434" s="357" t="s">
        <v>837</v>
      </c>
      <c r="B434" s="355"/>
      <c r="C434" s="355"/>
      <c r="D434" s="356"/>
      <c r="E434" s="355"/>
      <c r="F434" s="343"/>
      <c r="G434" s="343"/>
      <c r="H434" s="77"/>
      <c r="I434" s="77"/>
      <c r="J434" s="77"/>
      <c r="K434" s="77"/>
      <c r="M434" s="301"/>
      <c r="N434" s="301"/>
      <c r="O434" s="301"/>
      <c r="P434" s="301"/>
      <c r="Q434" s="301"/>
      <c r="R434" s="301"/>
      <c r="S434" s="301"/>
    </row>
    <row r="435" spans="1:19" ht="12.75">
      <c r="A435" s="355">
        <f aca="true" t="shared" si="33" ref="A435:A466">IF(rbcalc="e",3,IF(months=1,5,4))</f>
        <v>4</v>
      </c>
      <c r="B435" s="355">
        <v>0</v>
      </c>
      <c r="C435" s="355">
        <v>389</v>
      </c>
      <c r="D435" s="343">
        <v>0</v>
      </c>
      <c r="E435" s="355"/>
      <c r="F435" s="343"/>
      <c r="G435" s="154">
        <f aca="true" t="shared" si="34" ref="G435:G494">A435*10000000+B435*1000000+C435*1000+D435</f>
        <v>40389000</v>
      </c>
      <c r="H435" s="77">
        <v>124681</v>
      </c>
      <c r="I435" s="77">
        <v>22774</v>
      </c>
      <c r="J435" s="77">
        <v>0</v>
      </c>
      <c r="K435" s="77">
        <v>101907</v>
      </c>
      <c r="M435" s="301"/>
      <c r="N435" s="301"/>
      <c r="O435" s="301"/>
      <c r="P435" s="301"/>
      <c r="Q435" s="301"/>
      <c r="R435" s="301"/>
      <c r="S435" s="301"/>
    </row>
    <row r="436" spans="1:19" ht="12.75">
      <c r="A436" s="355">
        <f t="shared" si="33"/>
        <v>4</v>
      </c>
      <c r="B436" s="355">
        <v>1</v>
      </c>
      <c r="C436" s="355">
        <v>389</v>
      </c>
      <c r="D436" s="343">
        <v>0</v>
      </c>
      <c r="E436" s="355"/>
      <c r="F436" s="343"/>
      <c r="G436" s="154">
        <f t="shared" si="34"/>
        <v>41389000</v>
      </c>
      <c r="H436" s="77"/>
      <c r="I436" s="77"/>
      <c r="J436" s="77"/>
      <c r="K436" s="77"/>
      <c r="M436" s="301"/>
      <c r="N436" s="301"/>
      <c r="O436" s="301"/>
      <c r="P436" s="301"/>
      <c r="Q436" s="301"/>
      <c r="R436" s="301"/>
      <c r="S436" s="301"/>
    </row>
    <row r="437" spans="1:19" ht="12.75">
      <c r="A437" s="355">
        <f t="shared" si="33"/>
        <v>4</v>
      </c>
      <c r="B437" s="355">
        <v>2</v>
      </c>
      <c r="C437" s="355">
        <v>389</v>
      </c>
      <c r="D437" s="343">
        <v>0</v>
      </c>
      <c r="E437" s="355"/>
      <c r="F437" s="343"/>
      <c r="G437" s="154">
        <f t="shared" si="34"/>
        <v>42389000</v>
      </c>
      <c r="H437" s="77">
        <v>190993</v>
      </c>
      <c r="I437" s="77">
        <v>0</v>
      </c>
      <c r="J437" s="77">
        <v>260130</v>
      </c>
      <c r="K437" s="77">
        <v>-69137</v>
      </c>
      <c r="M437" s="301"/>
      <c r="N437" s="301"/>
      <c r="O437" s="301"/>
      <c r="P437" s="301"/>
      <c r="Q437" s="301"/>
      <c r="R437" s="301"/>
      <c r="S437" s="301"/>
    </row>
    <row r="438" spans="1:19" ht="12.75">
      <c r="A438" s="355">
        <f t="shared" si="33"/>
        <v>4</v>
      </c>
      <c r="B438" s="355">
        <v>7</v>
      </c>
      <c r="C438" s="355">
        <v>389</v>
      </c>
      <c r="D438" s="343">
        <v>0</v>
      </c>
      <c r="E438" s="355"/>
      <c r="F438" s="343"/>
      <c r="G438" s="154">
        <f t="shared" si="34"/>
        <v>47389000</v>
      </c>
      <c r="H438" s="77">
        <v>1891856</v>
      </c>
      <c r="I438" s="77">
        <v>1891856</v>
      </c>
      <c r="J438" s="77">
        <v>0</v>
      </c>
      <c r="K438" s="77">
        <v>0</v>
      </c>
      <c r="M438" s="301"/>
      <c r="N438" s="301"/>
      <c r="O438" s="301"/>
      <c r="P438" s="301"/>
      <c r="Q438" s="301"/>
      <c r="R438" s="301"/>
      <c r="S438" s="301"/>
    </row>
    <row r="439" spans="1:19" ht="12.75">
      <c r="A439" s="355">
        <f t="shared" si="33"/>
        <v>4</v>
      </c>
      <c r="B439" s="355">
        <v>8</v>
      </c>
      <c r="C439" s="355">
        <v>389</v>
      </c>
      <c r="D439" s="343">
        <v>0</v>
      </c>
      <c r="E439" s="355"/>
      <c r="F439" s="343"/>
      <c r="G439" s="154">
        <f t="shared" si="34"/>
        <v>48389000</v>
      </c>
      <c r="H439" s="77"/>
      <c r="I439" s="77"/>
      <c r="J439" s="77"/>
      <c r="K439" s="77"/>
      <c r="M439" s="301"/>
      <c r="N439" s="301"/>
      <c r="O439" s="301"/>
      <c r="P439" s="301"/>
      <c r="Q439" s="301"/>
      <c r="R439" s="301"/>
      <c r="S439" s="301"/>
    </row>
    <row r="440" spans="1:19" ht="12.75">
      <c r="A440" s="355">
        <f t="shared" si="33"/>
        <v>4</v>
      </c>
      <c r="B440" s="355">
        <v>9</v>
      </c>
      <c r="C440" s="355">
        <v>389</v>
      </c>
      <c r="D440" s="343">
        <v>0</v>
      </c>
      <c r="E440" s="355"/>
      <c r="F440" s="343"/>
      <c r="G440" s="154">
        <f t="shared" si="34"/>
        <v>49389000</v>
      </c>
      <c r="H440" s="77">
        <v>1171403</v>
      </c>
      <c r="I440" s="77">
        <v>263468</v>
      </c>
      <c r="J440" s="77">
        <v>470711</v>
      </c>
      <c r="K440" s="77">
        <v>437225</v>
      </c>
      <c r="M440" s="301"/>
      <c r="N440" s="301"/>
      <c r="O440" s="301"/>
      <c r="P440" s="301"/>
      <c r="Q440" s="301"/>
      <c r="R440" s="301"/>
      <c r="S440" s="301"/>
    </row>
    <row r="441" spans="1:19" ht="12.75">
      <c r="A441" s="355">
        <f t="shared" si="33"/>
        <v>4</v>
      </c>
      <c r="B441" s="355">
        <v>0</v>
      </c>
      <c r="C441" s="355">
        <v>390</v>
      </c>
      <c r="D441" s="356"/>
      <c r="E441" s="355"/>
      <c r="F441" s="343"/>
      <c r="G441" s="154">
        <f t="shared" si="34"/>
        <v>40390000</v>
      </c>
      <c r="H441" s="77">
        <v>2142296</v>
      </c>
      <c r="I441" s="77">
        <v>598452</v>
      </c>
      <c r="J441" s="77">
        <v>431813</v>
      </c>
      <c r="K441" s="77">
        <v>1112031</v>
      </c>
      <c r="M441" s="301"/>
      <c r="N441" s="301"/>
      <c r="O441" s="301"/>
      <c r="P441" s="301"/>
      <c r="Q441" s="301"/>
      <c r="R441" s="301"/>
      <c r="S441" s="301"/>
    </row>
    <row r="442" spans="1:19" ht="12.75">
      <c r="A442" s="355">
        <f t="shared" si="33"/>
        <v>4</v>
      </c>
      <c r="B442" s="355">
        <v>1</v>
      </c>
      <c r="C442" s="355">
        <v>390</v>
      </c>
      <c r="D442" s="356"/>
      <c r="E442" s="355"/>
      <c r="F442" s="343"/>
      <c r="G442" s="154">
        <f t="shared" si="34"/>
        <v>41390000</v>
      </c>
      <c r="H442" s="77">
        <v>855883</v>
      </c>
      <c r="I442" s="77">
        <v>0</v>
      </c>
      <c r="J442" s="77">
        <v>855883</v>
      </c>
      <c r="K442" s="77">
        <v>0</v>
      </c>
      <c r="M442" s="301"/>
      <c r="N442" s="301"/>
      <c r="O442" s="301"/>
      <c r="P442" s="301"/>
      <c r="Q442" s="301"/>
      <c r="R442" s="301"/>
      <c r="S442" s="301"/>
    </row>
    <row r="443" spans="1:19" ht="12.75">
      <c r="A443" s="355">
        <f t="shared" si="33"/>
        <v>4</v>
      </c>
      <c r="B443" s="355">
        <v>2</v>
      </c>
      <c r="C443" s="355">
        <v>390</v>
      </c>
      <c r="D443" s="356"/>
      <c r="E443" s="355"/>
      <c r="F443" s="343"/>
      <c r="G443" s="154">
        <f t="shared" si="34"/>
        <v>42390000</v>
      </c>
      <c r="H443" s="77">
        <v>2286594</v>
      </c>
      <c r="I443" s="77">
        <v>0</v>
      </c>
      <c r="J443" s="77">
        <v>2476537</v>
      </c>
      <c r="K443" s="77">
        <v>-189942</v>
      </c>
      <c r="M443" s="301"/>
      <c r="N443" s="301"/>
      <c r="O443" s="301"/>
      <c r="P443" s="301"/>
      <c r="Q443" s="301"/>
      <c r="R443" s="301"/>
      <c r="S443" s="301"/>
    </row>
    <row r="444" spans="1:19" ht="12.75">
      <c r="A444" s="355">
        <f t="shared" si="33"/>
        <v>4</v>
      </c>
      <c r="B444" s="355">
        <v>7</v>
      </c>
      <c r="C444" s="355">
        <v>390</v>
      </c>
      <c r="D444" s="356"/>
      <c r="E444" s="355"/>
      <c r="F444" s="343"/>
      <c r="G444" s="154">
        <f t="shared" si="34"/>
        <v>47390000</v>
      </c>
      <c r="H444" s="77">
        <v>28155995</v>
      </c>
      <c r="I444" s="77">
        <v>28155995</v>
      </c>
      <c r="J444" s="77">
        <v>0</v>
      </c>
      <c r="K444" s="77">
        <v>0</v>
      </c>
      <c r="M444" s="301"/>
      <c r="N444" s="301"/>
      <c r="O444" s="301"/>
      <c r="P444" s="301"/>
      <c r="Q444" s="301"/>
      <c r="R444" s="301"/>
      <c r="S444" s="301"/>
    </row>
    <row r="445" spans="1:19" ht="12.75">
      <c r="A445" s="355">
        <f t="shared" si="33"/>
        <v>4</v>
      </c>
      <c r="B445" s="355">
        <v>8</v>
      </c>
      <c r="C445" s="355">
        <v>390</v>
      </c>
      <c r="D445" s="356"/>
      <c r="E445" s="355"/>
      <c r="F445" s="343"/>
      <c r="G445" s="154">
        <f t="shared" si="34"/>
        <v>48390000</v>
      </c>
      <c r="H445" s="77"/>
      <c r="I445" s="77"/>
      <c r="J445" s="77"/>
      <c r="K445" s="77"/>
      <c r="M445" s="301"/>
      <c r="N445" s="301"/>
      <c r="O445" s="301"/>
      <c r="P445" s="301"/>
      <c r="Q445" s="301"/>
      <c r="R445" s="301"/>
      <c r="S445" s="301"/>
    </row>
    <row r="446" spans="1:19" ht="12.75">
      <c r="A446" s="355">
        <f t="shared" si="33"/>
        <v>4</v>
      </c>
      <c r="B446" s="355">
        <v>9</v>
      </c>
      <c r="C446" s="355">
        <v>390</v>
      </c>
      <c r="D446" s="356"/>
      <c r="E446" s="355"/>
      <c r="F446" s="343"/>
      <c r="G446" s="154">
        <f t="shared" si="34"/>
        <v>49390000</v>
      </c>
      <c r="H446" s="77">
        <v>8887636</v>
      </c>
      <c r="I446" s="77">
        <v>3432354</v>
      </c>
      <c r="J446" s="77">
        <v>1549411</v>
      </c>
      <c r="K446" s="77">
        <v>3905871</v>
      </c>
      <c r="M446" s="301"/>
      <c r="N446" s="301"/>
      <c r="O446" s="301"/>
      <c r="P446" s="301"/>
      <c r="Q446" s="301"/>
      <c r="R446" s="301"/>
      <c r="S446" s="301"/>
    </row>
    <row r="447" spans="1:19" ht="12.75">
      <c r="A447" s="355">
        <f t="shared" si="33"/>
        <v>4</v>
      </c>
      <c r="B447" s="355">
        <v>0</v>
      </c>
      <c r="C447" s="355">
        <v>391</v>
      </c>
      <c r="D447" s="356"/>
      <c r="E447" s="355"/>
      <c r="F447" s="343"/>
      <c r="G447" s="154">
        <f t="shared" si="34"/>
        <v>40391000</v>
      </c>
      <c r="H447" s="77">
        <v>568347</v>
      </c>
      <c r="I447" s="77">
        <v>568347</v>
      </c>
      <c r="J447" s="77">
        <v>0</v>
      </c>
      <c r="K447" s="77">
        <v>0</v>
      </c>
      <c r="M447" s="301"/>
      <c r="N447" s="301"/>
      <c r="O447" s="301"/>
      <c r="P447" s="301"/>
      <c r="Q447" s="301"/>
      <c r="R447" s="301"/>
      <c r="S447" s="301"/>
    </row>
    <row r="448" spans="1:19" ht="12.75">
      <c r="A448" s="355">
        <f t="shared" si="33"/>
        <v>4</v>
      </c>
      <c r="B448" s="355">
        <v>1</v>
      </c>
      <c r="C448" s="355">
        <v>391</v>
      </c>
      <c r="D448" s="356"/>
      <c r="E448" s="355"/>
      <c r="F448" s="343"/>
      <c r="G448" s="154">
        <f t="shared" si="34"/>
        <v>41391000</v>
      </c>
      <c r="H448" s="77"/>
      <c r="I448" s="77"/>
      <c r="J448" s="77"/>
      <c r="K448" s="77"/>
      <c r="M448" s="301"/>
      <c r="N448" s="301"/>
      <c r="O448" s="301"/>
      <c r="P448" s="301"/>
      <c r="Q448" s="301"/>
      <c r="R448" s="301"/>
      <c r="S448" s="301"/>
    </row>
    <row r="449" spans="1:19" ht="12.75">
      <c r="A449" s="355">
        <f t="shared" si="33"/>
        <v>4</v>
      </c>
      <c r="B449" s="355">
        <v>2</v>
      </c>
      <c r="C449" s="355">
        <v>391</v>
      </c>
      <c r="D449" s="356"/>
      <c r="E449" s="355"/>
      <c r="F449" s="343"/>
      <c r="G449" s="154">
        <f t="shared" si="34"/>
        <v>42391000</v>
      </c>
      <c r="H449" s="77">
        <v>2018</v>
      </c>
      <c r="I449" s="77">
        <v>0</v>
      </c>
      <c r="J449" s="77">
        <v>2018</v>
      </c>
      <c r="K449" s="77">
        <v>0</v>
      </c>
      <c r="M449" s="301"/>
      <c r="N449" s="301"/>
      <c r="O449" s="301"/>
      <c r="P449" s="301"/>
      <c r="Q449" s="301"/>
      <c r="R449" s="301"/>
      <c r="S449" s="301"/>
    </row>
    <row r="450" spans="1:19" ht="12.75">
      <c r="A450" s="355">
        <f t="shared" si="33"/>
        <v>4</v>
      </c>
      <c r="B450" s="355">
        <v>7</v>
      </c>
      <c r="C450" s="355">
        <v>391</v>
      </c>
      <c r="D450" s="356"/>
      <c r="E450" s="355"/>
      <c r="F450" s="343"/>
      <c r="G450" s="154">
        <f t="shared" si="34"/>
        <v>47391000</v>
      </c>
      <c r="H450" s="77">
        <v>27096640</v>
      </c>
      <c r="I450" s="77">
        <v>27096640</v>
      </c>
      <c r="J450" s="77">
        <v>0</v>
      </c>
      <c r="K450" s="77">
        <v>0</v>
      </c>
      <c r="M450" s="301"/>
      <c r="N450" s="301"/>
      <c r="O450" s="301"/>
      <c r="P450" s="301"/>
      <c r="Q450" s="301"/>
      <c r="R450" s="301"/>
      <c r="S450" s="301"/>
    </row>
    <row r="451" spans="1:19" ht="12.75">
      <c r="A451" s="355">
        <f t="shared" si="33"/>
        <v>4</v>
      </c>
      <c r="B451" s="355">
        <v>8</v>
      </c>
      <c r="C451" s="355">
        <v>391</v>
      </c>
      <c r="D451" s="356"/>
      <c r="E451" s="355"/>
      <c r="F451" s="343"/>
      <c r="G451" s="154">
        <f t="shared" si="34"/>
        <v>48391000</v>
      </c>
      <c r="H451" s="77">
        <v>378871</v>
      </c>
      <c r="I451" s="77">
        <v>378871</v>
      </c>
      <c r="J451" s="77">
        <v>0</v>
      </c>
      <c r="K451" s="77">
        <v>0</v>
      </c>
      <c r="M451" s="301"/>
      <c r="N451" s="301"/>
      <c r="O451" s="301"/>
      <c r="P451" s="301"/>
      <c r="Q451" s="301"/>
      <c r="R451" s="301"/>
      <c r="S451" s="301"/>
    </row>
    <row r="452" spans="1:19" ht="12.75">
      <c r="A452" s="355">
        <f t="shared" si="33"/>
        <v>4</v>
      </c>
      <c r="B452" s="355">
        <v>9</v>
      </c>
      <c r="C452" s="355">
        <v>391</v>
      </c>
      <c r="D452" s="356"/>
      <c r="E452" s="355"/>
      <c r="F452" s="343"/>
      <c r="G452" s="154">
        <f t="shared" si="34"/>
        <v>49391000</v>
      </c>
      <c r="H452" s="77"/>
      <c r="I452" s="77"/>
      <c r="J452" s="77"/>
      <c r="K452" s="77"/>
      <c r="M452" s="301"/>
      <c r="N452" s="301"/>
      <c r="O452" s="301"/>
      <c r="P452" s="301"/>
      <c r="Q452" s="301"/>
      <c r="R452" s="301"/>
      <c r="S452" s="301"/>
    </row>
    <row r="453" spans="1:19" ht="12.75">
      <c r="A453" s="355">
        <f t="shared" si="33"/>
        <v>4</v>
      </c>
      <c r="B453" s="355">
        <v>0</v>
      </c>
      <c r="C453" s="355">
        <v>392</v>
      </c>
      <c r="D453" s="356"/>
      <c r="E453" s="355"/>
      <c r="F453" s="343"/>
      <c r="G453" s="154">
        <f t="shared" si="34"/>
        <v>40392000</v>
      </c>
      <c r="H453" s="77">
        <v>8584929</v>
      </c>
      <c r="I453" s="77">
        <v>3665583</v>
      </c>
      <c r="J453" s="77">
        <v>3542906</v>
      </c>
      <c r="K453" s="77">
        <v>1376441</v>
      </c>
      <c r="M453" s="301"/>
      <c r="N453" s="301"/>
      <c r="O453" s="301"/>
      <c r="P453" s="301"/>
      <c r="Q453" s="301"/>
      <c r="R453" s="301"/>
      <c r="S453" s="301"/>
    </row>
    <row r="454" spans="1:19" ht="12.75">
      <c r="A454" s="355">
        <f t="shared" si="33"/>
        <v>4</v>
      </c>
      <c r="B454" s="355">
        <v>1</v>
      </c>
      <c r="C454" s="355">
        <v>392</v>
      </c>
      <c r="D454" s="356"/>
      <c r="E454" s="355"/>
      <c r="F454" s="343"/>
      <c r="G454" s="154">
        <f t="shared" si="34"/>
        <v>41392000</v>
      </c>
      <c r="H454" s="77">
        <v>3556350</v>
      </c>
      <c r="I454" s="77">
        <v>338914</v>
      </c>
      <c r="J454" s="77">
        <v>2428819</v>
      </c>
      <c r="K454" s="77">
        <v>788616</v>
      </c>
      <c r="M454" s="301"/>
      <c r="N454" s="301"/>
      <c r="O454" s="301"/>
      <c r="P454" s="301"/>
      <c r="Q454" s="301"/>
      <c r="R454" s="301"/>
      <c r="S454" s="301"/>
    </row>
    <row r="455" spans="1:19" ht="12.75">
      <c r="A455" s="355">
        <f t="shared" si="33"/>
        <v>4</v>
      </c>
      <c r="B455" s="355">
        <v>2</v>
      </c>
      <c r="C455" s="355">
        <v>392</v>
      </c>
      <c r="D455" s="356"/>
      <c r="E455" s="355"/>
      <c r="F455" s="343"/>
      <c r="G455" s="154">
        <f t="shared" si="34"/>
        <v>42392000</v>
      </c>
      <c r="H455" s="77">
        <v>1474637</v>
      </c>
      <c r="I455" s="77">
        <v>0</v>
      </c>
      <c r="J455" s="77">
        <v>1590413</v>
      </c>
      <c r="K455" s="77">
        <v>-115776</v>
      </c>
      <c r="M455" s="301"/>
      <c r="N455" s="301"/>
      <c r="O455" s="301"/>
      <c r="P455" s="301"/>
      <c r="Q455" s="301"/>
      <c r="R455" s="301"/>
      <c r="S455" s="301"/>
    </row>
    <row r="456" spans="1:19" ht="12.75">
      <c r="A456" s="355">
        <f t="shared" si="33"/>
        <v>4</v>
      </c>
      <c r="B456" s="355">
        <v>7</v>
      </c>
      <c r="C456" s="355">
        <v>392</v>
      </c>
      <c r="D456" s="356"/>
      <c r="E456" s="355"/>
      <c r="F456" s="343"/>
      <c r="G456" s="154">
        <f t="shared" si="34"/>
        <v>47392000</v>
      </c>
      <c r="H456" s="77">
        <v>99294</v>
      </c>
      <c r="I456" s="77">
        <v>99294</v>
      </c>
      <c r="J456" s="77">
        <v>0</v>
      </c>
      <c r="K456" s="77">
        <v>0</v>
      </c>
      <c r="M456" s="301"/>
      <c r="N456" s="301"/>
      <c r="O456" s="301"/>
      <c r="P456" s="301"/>
      <c r="Q456" s="301"/>
      <c r="R456" s="301"/>
      <c r="S456" s="301"/>
    </row>
    <row r="457" spans="1:19" ht="12.75">
      <c r="A457" s="355">
        <f t="shared" si="33"/>
        <v>4</v>
      </c>
      <c r="B457" s="355">
        <v>8</v>
      </c>
      <c r="C457" s="355">
        <v>392</v>
      </c>
      <c r="D457" s="356"/>
      <c r="E457" s="355"/>
      <c r="F457" s="343"/>
      <c r="G457" s="154">
        <f t="shared" si="34"/>
        <v>48392000</v>
      </c>
      <c r="H457" s="77"/>
      <c r="I457" s="77"/>
      <c r="J457" s="77"/>
      <c r="K457" s="77"/>
      <c r="M457" s="301"/>
      <c r="N457" s="301"/>
      <c r="O457" s="301"/>
      <c r="P457" s="301"/>
      <c r="Q457" s="301"/>
      <c r="R457" s="301"/>
      <c r="S457" s="301"/>
    </row>
    <row r="458" spans="1:19" ht="12.75">
      <c r="A458" s="355">
        <f t="shared" si="33"/>
        <v>4</v>
      </c>
      <c r="B458" s="355">
        <v>9</v>
      </c>
      <c r="C458" s="355">
        <v>392</v>
      </c>
      <c r="D458" s="356"/>
      <c r="E458" s="355"/>
      <c r="F458" s="343"/>
      <c r="G458" s="154">
        <f t="shared" si="34"/>
        <v>49392000</v>
      </c>
      <c r="H458" s="77">
        <v>1815859</v>
      </c>
      <c r="I458" s="77">
        <v>624628</v>
      </c>
      <c r="J458" s="77">
        <v>732678</v>
      </c>
      <c r="K458" s="77">
        <v>458552</v>
      </c>
      <c r="M458" s="301"/>
      <c r="N458" s="301"/>
      <c r="O458" s="301"/>
      <c r="P458" s="301"/>
      <c r="Q458" s="301"/>
      <c r="R458" s="301"/>
      <c r="S458" s="301"/>
    </row>
    <row r="459" spans="1:19" ht="12.75">
      <c r="A459" s="355">
        <f t="shared" si="33"/>
        <v>4</v>
      </c>
      <c r="B459" s="355">
        <v>0</v>
      </c>
      <c r="C459" s="355">
        <v>393</v>
      </c>
      <c r="D459" s="356"/>
      <c r="E459" s="355"/>
      <c r="F459" s="343"/>
      <c r="G459" s="154">
        <f t="shared" si="34"/>
        <v>40393000</v>
      </c>
      <c r="H459" s="77">
        <v>320697</v>
      </c>
      <c r="I459" s="77">
        <v>268604</v>
      </c>
      <c r="J459" s="77">
        <v>21953</v>
      </c>
      <c r="K459" s="77">
        <v>30140</v>
      </c>
      <c r="M459" s="301"/>
      <c r="N459" s="301"/>
      <c r="O459" s="301"/>
      <c r="P459" s="301"/>
      <c r="Q459" s="301"/>
      <c r="R459" s="301"/>
      <c r="S459" s="301"/>
    </row>
    <row r="460" spans="1:19" ht="12.75">
      <c r="A460" s="355">
        <f t="shared" si="33"/>
        <v>4</v>
      </c>
      <c r="B460" s="355">
        <v>1</v>
      </c>
      <c r="C460" s="355">
        <v>393</v>
      </c>
      <c r="D460" s="356"/>
      <c r="E460" s="355"/>
      <c r="F460" s="343"/>
      <c r="G460" s="154">
        <f t="shared" si="34"/>
        <v>41393000</v>
      </c>
      <c r="H460" s="77">
        <v>84271</v>
      </c>
      <c r="I460" s="77">
        <v>0</v>
      </c>
      <c r="J460" s="77">
        <v>84271</v>
      </c>
      <c r="K460" s="77">
        <v>0</v>
      </c>
      <c r="M460" s="301"/>
      <c r="N460" s="301"/>
      <c r="O460" s="301"/>
      <c r="P460" s="301"/>
      <c r="Q460" s="301"/>
      <c r="R460" s="301"/>
      <c r="S460" s="301"/>
    </row>
    <row r="461" spans="1:19" ht="12.75">
      <c r="A461" s="355">
        <f t="shared" si="33"/>
        <v>4</v>
      </c>
      <c r="B461" s="355">
        <v>2</v>
      </c>
      <c r="C461" s="355">
        <v>393</v>
      </c>
      <c r="D461" s="356"/>
      <c r="E461" s="355"/>
      <c r="F461" s="343"/>
      <c r="G461" s="154">
        <f t="shared" si="34"/>
        <v>42393000</v>
      </c>
      <c r="H461" s="77">
        <v>54847</v>
      </c>
      <c r="I461" s="77">
        <v>0</v>
      </c>
      <c r="J461" s="77">
        <v>54847</v>
      </c>
      <c r="K461" s="77">
        <v>0</v>
      </c>
      <c r="M461" s="301"/>
      <c r="N461" s="301"/>
      <c r="O461" s="301"/>
      <c r="P461" s="301"/>
      <c r="Q461" s="301"/>
      <c r="R461" s="301"/>
      <c r="S461" s="301"/>
    </row>
    <row r="462" spans="1:19" ht="12.75">
      <c r="A462" s="355">
        <f t="shared" si="33"/>
        <v>4</v>
      </c>
      <c r="B462" s="355">
        <v>7</v>
      </c>
      <c r="C462" s="355">
        <v>393</v>
      </c>
      <c r="D462" s="356"/>
      <c r="E462" s="355"/>
      <c r="F462" s="343"/>
      <c r="G462" s="154">
        <f t="shared" si="34"/>
        <v>47393000</v>
      </c>
      <c r="H462" s="77"/>
      <c r="I462" s="77"/>
      <c r="J462" s="77"/>
      <c r="K462" s="77"/>
      <c r="M462" s="301"/>
      <c r="N462" s="301"/>
      <c r="O462" s="301"/>
      <c r="P462" s="301"/>
      <c r="Q462" s="301"/>
      <c r="R462" s="301"/>
      <c r="S462" s="301"/>
    </row>
    <row r="463" spans="1:19" ht="12.75">
      <c r="A463" s="355">
        <f t="shared" si="33"/>
        <v>4</v>
      </c>
      <c r="B463" s="355">
        <v>8</v>
      </c>
      <c r="C463" s="355">
        <v>393</v>
      </c>
      <c r="D463" s="356"/>
      <c r="E463" s="355"/>
      <c r="F463" s="343"/>
      <c r="G463" s="154">
        <f t="shared" si="34"/>
        <v>48393000</v>
      </c>
      <c r="H463" s="77"/>
      <c r="I463" s="77"/>
      <c r="J463" s="77"/>
      <c r="K463" s="77"/>
      <c r="M463" s="301"/>
      <c r="N463" s="301"/>
      <c r="O463" s="301"/>
      <c r="P463" s="301"/>
      <c r="Q463" s="301"/>
      <c r="R463" s="301"/>
      <c r="S463" s="301"/>
    </row>
    <row r="464" spans="1:19" ht="12.75">
      <c r="A464" s="355">
        <f t="shared" si="33"/>
        <v>4</v>
      </c>
      <c r="B464" s="355">
        <v>9</v>
      </c>
      <c r="C464" s="355">
        <v>393</v>
      </c>
      <c r="D464" s="356"/>
      <c r="E464" s="355"/>
      <c r="F464" s="343"/>
      <c r="G464" s="154">
        <f t="shared" si="34"/>
        <v>49393000</v>
      </c>
      <c r="H464" s="77">
        <v>983904</v>
      </c>
      <c r="I464" s="77">
        <v>614771</v>
      </c>
      <c r="J464" s="77">
        <v>138960</v>
      </c>
      <c r="K464" s="77">
        <v>230173</v>
      </c>
      <c r="M464" s="301"/>
      <c r="N464" s="301"/>
      <c r="O464" s="301"/>
      <c r="P464" s="301"/>
      <c r="Q464" s="301"/>
      <c r="R464" s="301"/>
      <c r="S464" s="301"/>
    </row>
    <row r="465" spans="1:19" ht="12.75">
      <c r="A465" s="355">
        <f t="shared" si="33"/>
        <v>4</v>
      </c>
      <c r="B465" s="355">
        <v>0</v>
      </c>
      <c r="C465" s="355">
        <v>394</v>
      </c>
      <c r="D465" s="356"/>
      <c r="E465" s="355"/>
      <c r="F465" s="343"/>
      <c r="G465" s="154">
        <f t="shared" si="34"/>
        <v>40394000</v>
      </c>
      <c r="H465" s="77">
        <v>3309862</v>
      </c>
      <c r="I465" s="77">
        <v>1603119</v>
      </c>
      <c r="J465" s="77">
        <v>1269769</v>
      </c>
      <c r="K465" s="77">
        <v>436974</v>
      </c>
      <c r="M465" s="301"/>
      <c r="N465" s="301"/>
      <c r="O465" s="301"/>
      <c r="P465" s="301"/>
      <c r="Q465" s="301"/>
      <c r="R465" s="301"/>
      <c r="S465" s="301"/>
    </row>
    <row r="466" spans="1:19" ht="12.75">
      <c r="A466" s="355">
        <f t="shared" si="33"/>
        <v>4</v>
      </c>
      <c r="B466" s="355">
        <v>1</v>
      </c>
      <c r="C466" s="355">
        <v>394</v>
      </c>
      <c r="D466" s="356"/>
      <c r="E466" s="355"/>
      <c r="F466" s="343"/>
      <c r="G466" s="154">
        <f t="shared" si="34"/>
        <v>41394000</v>
      </c>
      <c r="H466" s="77">
        <v>1813629</v>
      </c>
      <c r="I466" s="77">
        <v>427550</v>
      </c>
      <c r="J466" s="77">
        <v>939129</v>
      </c>
      <c r="K466" s="77">
        <v>446951</v>
      </c>
      <c r="M466" s="301"/>
      <c r="N466" s="301"/>
      <c r="O466" s="301"/>
      <c r="P466" s="301"/>
      <c r="Q466" s="301"/>
      <c r="R466" s="301"/>
      <c r="S466" s="301"/>
    </row>
    <row r="467" spans="1:19" ht="12.75">
      <c r="A467" s="355">
        <f aca="true" t="shared" si="35" ref="A467:A495">IF(rbcalc="e",3,IF(months=1,5,4))</f>
        <v>4</v>
      </c>
      <c r="B467" s="355">
        <v>2</v>
      </c>
      <c r="C467" s="355">
        <v>394</v>
      </c>
      <c r="D467" s="356"/>
      <c r="E467" s="355"/>
      <c r="F467" s="343"/>
      <c r="G467" s="154">
        <f t="shared" si="34"/>
        <v>42394000</v>
      </c>
      <c r="H467" s="77">
        <v>777104</v>
      </c>
      <c r="I467" s="77">
        <v>0</v>
      </c>
      <c r="J467" s="77">
        <v>974497</v>
      </c>
      <c r="K467" s="77">
        <v>-197393</v>
      </c>
      <c r="M467" s="301"/>
      <c r="N467" s="301"/>
      <c r="O467" s="301"/>
      <c r="P467" s="301"/>
      <c r="Q467" s="301"/>
      <c r="R467" s="301"/>
      <c r="S467" s="301"/>
    </row>
    <row r="468" spans="1:19" ht="12.75">
      <c r="A468" s="355">
        <f t="shared" si="35"/>
        <v>4</v>
      </c>
      <c r="B468" s="355">
        <v>7</v>
      </c>
      <c r="C468" s="355">
        <v>394</v>
      </c>
      <c r="D468" s="356"/>
      <c r="E468" s="355"/>
      <c r="F468" s="343"/>
      <c r="G468" s="154">
        <f t="shared" si="34"/>
        <v>47394000</v>
      </c>
      <c r="H468" s="77">
        <v>1220629</v>
      </c>
      <c r="I468" s="77">
        <v>1220629</v>
      </c>
      <c r="J468" s="77">
        <v>0</v>
      </c>
      <c r="K468" s="77">
        <v>0</v>
      </c>
      <c r="M468" s="301"/>
      <c r="N468" s="301"/>
      <c r="O468" s="301"/>
      <c r="P468" s="301"/>
      <c r="Q468" s="301"/>
      <c r="R468" s="301"/>
      <c r="S468" s="301"/>
    </row>
    <row r="469" spans="1:19" ht="12.75">
      <c r="A469" s="355">
        <f t="shared" si="35"/>
        <v>4</v>
      </c>
      <c r="B469" s="355">
        <v>8</v>
      </c>
      <c r="C469" s="355">
        <v>394</v>
      </c>
      <c r="D469" s="356"/>
      <c r="E469" s="355"/>
      <c r="F469" s="343"/>
      <c r="G469" s="154">
        <f t="shared" si="34"/>
        <v>48394000</v>
      </c>
      <c r="H469" s="77">
        <v>441135</v>
      </c>
      <c r="I469" s="77">
        <v>441135</v>
      </c>
      <c r="J469" s="77">
        <v>0</v>
      </c>
      <c r="K469" s="77">
        <v>0</v>
      </c>
      <c r="M469" s="301"/>
      <c r="N469" s="301"/>
      <c r="O469" s="301"/>
      <c r="P469" s="301"/>
      <c r="Q469" s="301"/>
      <c r="R469" s="301"/>
      <c r="S469" s="301"/>
    </row>
    <row r="470" spans="1:19" ht="12.75">
      <c r="A470" s="355">
        <f t="shared" si="35"/>
        <v>4</v>
      </c>
      <c r="B470" s="355">
        <v>9</v>
      </c>
      <c r="C470" s="355">
        <v>394</v>
      </c>
      <c r="D470" s="356"/>
      <c r="E470" s="355"/>
      <c r="F470" s="343"/>
      <c r="G470" s="154">
        <f t="shared" si="34"/>
        <v>49394000</v>
      </c>
      <c r="H470" s="77">
        <v>335369</v>
      </c>
      <c r="I470" s="77">
        <v>280894</v>
      </c>
      <c r="J470" s="77">
        <v>44906</v>
      </c>
      <c r="K470" s="77">
        <v>9569</v>
      </c>
      <c r="M470" s="301"/>
      <c r="N470" s="301"/>
      <c r="O470" s="301"/>
      <c r="P470" s="301"/>
      <c r="Q470" s="301"/>
      <c r="R470" s="301"/>
      <c r="S470" s="301"/>
    </row>
    <row r="471" spans="1:19" ht="12.75">
      <c r="A471" s="355">
        <f t="shared" si="35"/>
        <v>4</v>
      </c>
      <c r="B471" s="355">
        <v>0</v>
      </c>
      <c r="C471" s="355">
        <v>395</v>
      </c>
      <c r="D471" s="356"/>
      <c r="E471" s="355"/>
      <c r="F471" s="343"/>
      <c r="G471" s="154">
        <f t="shared" si="34"/>
        <v>40395000</v>
      </c>
      <c r="H471" s="77">
        <v>3074889</v>
      </c>
      <c r="I471" s="77">
        <v>2400827</v>
      </c>
      <c r="J471" s="77">
        <v>359816</v>
      </c>
      <c r="K471" s="77">
        <v>314247</v>
      </c>
      <c r="M471" s="301"/>
      <c r="N471" s="301"/>
      <c r="O471" s="301"/>
      <c r="P471" s="301"/>
      <c r="Q471" s="301"/>
      <c r="R471" s="301"/>
      <c r="S471" s="301"/>
    </row>
    <row r="472" spans="1:19" ht="12.75">
      <c r="A472" s="355">
        <f t="shared" si="35"/>
        <v>4</v>
      </c>
      <c r="B472" s="355">
        <v>1</v>
      </c>
      <c r="C472" s="355">
        <v>395</v>
      </c>
      <c r="D472" s="356"/>
      <c r="E472" s="355"/>
      <c r="F472" s="343"/>
      <c r="G472" s="154">
        <f t="shared" si="34"/>
        <v>41395000</v>
      </c>
      <c r="H472" s="77">
        <v>553056</v>
      </c>
      <c r="I472" s="77">
        <v>314380</v>
      </c>
      <c r="J472" s="77">
        <v>179979</v>
      </c>
      <c r="K472" s="77">
        <v>58697</v>
      </c>
      <c r="M472" s="301"/>
      <c r="N472" s="301"/>
      <c r="O472" s="301"/>
      <c r="P472" s="301"/>
      <c r="Q472" s="301"/>
      <c r="R472" s="301"/>
      <c r="S472" s="301"/>
    </row>
    <row r="473" spans="1:19" ht="12.75">
      <c r="A473" s="355">
        <f t="shared" si="35"/>
        <v>4</v>
      </c>
      <c r="B473" s="355">
        <v>2</v>
      </c>
      <c r="C473" s="355">
        <v>395</v>
      </c>
      <c r="D473" s="356"/>
      <c r="E473" s="355"/>
      <c r="F473" s="343"/>
      <c r="G473" s="154">
        <f t="shared" si="34"/>
        <v>42395000</v>
      </c>
      <c r="H473" s="77">
        <v>329112</v>
      </c>
      <c r="I473" s="77">
        <v>0</v>
      </c>
      <c r="J473" s="77">
        <v>343390</v>
      </c>
      <c r="K473" s="77">
        <v>-14278</v>
      </c>
      <c r="M473" s="301"/>
      <c r="N473" s="301"/>
      <c r="O473" s="301"/>
      <c r="P473" s="301"/>
      <c r="Q473" s="301"/>
      <c r="R473" s="301"/>
      <c r="S473" s="301"/>
    </row>
    <row r="474" spans="1:19" ht="12.75">
      <c r="A474" s="355">
        <f t="shared" si="35"/>
        <v>4</v>
      </c>
      <c r="B474" s="355">
        <v>7</v>
      </c>
      <c r="C474" s="355">
        <v>395</v>
      </c>
      <c r="D474" s="356"/>
      <c r="E474" s="355"/>
      <c r="F474" s="343"/>
      <c r="G474" s="154">
        <f t="shared" si="34"/>
        <v>47395000</v>
      </c>
      <c r="H474" s="77">
        <v>200228</v>
      </c>
      <c r="I474" s="77">
        <v>200228</v>
      </c>
      <c r="J474" s="77">
        <v>0</v>
      </c>
      <c r="K474" s="77">
        <v>0</v>
      </c>
      <c r="M474" s="301"/>
      <c r="N474" s="301"/>
      <c r="O474" s="301"/>
      <c r="P474" s="301"/>
      <c r="Q474" s="301"/>
      <c r="R474" s="301"/>
      <c r="S474" s="301"/>
    </row>
    <row r="475" spans="1:19" ht="12.75">
      <c r="A475" s="355">
        <f t="shared" si="35"/>
        <v>4</v>
      </c>
      <c r="B475" s="355">
        <v>8</v>
      </c>
      <c r="C475" s="355">
        <v>395</v>
      </c>
      <c r="D475" s="356"/>
      <c r="E475" s="355"/>
      <c r="F475" s="343"/>
      <c r="G475" s="154">
        <f t="shared" si="34"/>
        <v>48395000</v>
      </c>
      <c r="H475" s="77">
        <v>17266</v>
      </c>
      <c r="I475" s="77">
        <v>17266</v>
      </c>
      <c r="J475" s="77">
        <v>0</v>
      </c>
      <c r="K475" s="77">
        <v>0</v>
      </c>
      <c r="M475" s="301"/>
      <c r="N475" s="301"/>
      <c r="O475" s="301"/>
      <c r="P475" s="301"/>
      <c r="Q475" s="301"/>
      <c r="R475" s="301"/>
      <c r="S475" s="301"/>
    </row>
    <row r="476" spans="1:19" ht="12.75">
      <c r="A476" s="355">
        <f t="shared" si="35"/>
        <v>4</v>
      </c>
      <c r="B476" s="355">
        <v>9</v>
      </c>
      <c r="C476" s="355">
        <v>395</v>
      </c>
      <c r="D476" s="356"/>
      <c r="E476" s="355"/>
      <c r="F476" s="343"/>
      <c r="G476" s="154">
        <f t="shared" si="34"/>
        <v>49395000</v>
      </c>
      <c r="H476" s="77">
        <v>763809</v>
      </c>
      <c r="I476" s="77">
        <v>701141</v>
      </c>
      <c r="J476" s="77">
        <v>47504</v>
      </c>
      <c r="K476" s="77">
        <v>15164</v>
      </c>
      <c r="M476" s="301"/>
      <c r="N476" s="301"/>
      <c r="O476" s="301"/>
      <c r="P476" s="301"/>
      <c r="Q476" s="301"/>
      <c r="R476" s="301"/>
      <c r="S476" s="301"/>
    </row>
    <row r="477" spans="1:19" ht="12.75">
      <c r="A477" s="355">
        <f t="shared" si="35"/>
        <v>4</v>
      </c>
      <c r="B477" s="355">
        <v>0</v>
      </c>
      <c r="C477" s="355">
        <v>396</v>
      </c>
      <c r="D477" s="356"/>
      <c r="E477" s="355"/>
      <c r="F477" s="343"/>
      <c r="G477" s="154">
        <f t="shared" si="34"/>
        <v>40396000</v>
      </c>
      <c r="H477" s="77">
        <v>20921987</v>
      </c>
      <c r="I477" s="77">
        <v>5345181</v>
      </c>
      <c r="J477" s="77">
        <v>10041555</v>
      </c>
      <c r="K477" s="77">
        <v>5535251</v>
      </c>
      <c r="M477" s="301"/>
      <c r="N477" s="301"/>
      <c r="O477" s="301"/>
      <c r="P477" s="301"/>
      <c r="Q477" s="301"/>
      <c r="R477" s="301"/>
      <c r="S477" s="301"/>
    </row>
    <row r="478" spans="1:19" ht="12.75">
      <c r="A478" s="355">
        <f t="shared" si="35"/>
        <v>4</v>
      </c>
      <c r="B478" s="355">
        <v>1</v>
      </c>
      <c r="C478" s="355">
        <v>396</v>
      </c>
      <c r="D478" s="356"/>
      <c r="E478" s="355"/>
      <c r="F478" s="343"/>
      <c r="G478" s="154">
        <f t="shared" si="34"/>
        <v>41396000</v>
      </c>
      <c r="H478" s="77">
        <v>3714533</v>
      </c>
      <c r="I478" s="77">
        <v>368144</v>
      </c>
      <c r="J478" s="77">
        <v>2584858</v>
      </c>
      <c r="K478" s="77">
        <v>761532</v>
      </c>
      <c r="M478" s="301"/>
      <c r="N478" s="301"/>
      <c r="O478" s="301"/>
      <c r="P478" s="301"/>
      <c r="Q478" s="301"/>
      <c r="R478" s="301"/>
      <c r="S478" s="301"/>
    </row>
    <row r="479" spans="1:19" ht="12.75">
      <c r="A479" s="355">
        <f t="shared" si="35"/>
        <v>4</v>
      </c>
      <c r="B479" s="355">
        <v>2</v>
      </c>
      <c r="C479" s="355">
        <v>396</v>
      </c>
      <c r="D479" s="356"/>
      <c r="E479" s="355"/>
      <c r="F479" s="343"/>
      <c r="G479" s="154">
        <f t="shared" si="34"/>
        <v>42396000</v>
      </c>
      <c r="H479" s="77">
        <v>-12059</v>
      </c>
      <c r="I479" s="77">
        <v>0</v>
      </c>
      <c r="J479" s="77">
        <v>43834</v>
      </c>
      <c r="K479" s="77">
        <v>-55893</v>
      </c>
      <c r="M479" s="301"/>
      <c r="N479" s="301"/>
      <c r="O479" s="301"/>
      <c r="P479" s="301"/>
      <c r="Q479" s="301"/>
      <c r="R479" s="301"/>
      <c r="S479" s="301"/>
    </row>
    <row r="480" spans="1:19" ht="12.75">
      <c r="A480" s="355">
        <f t="shared" si="35"/>
        <v>4</v>
      </c>
      <c r="B480" s="355">
        <v>7</v>
      </c>
      <c r="C480" s="355">
        <v>396</v>
      </c>
      <c r="D480" s="356"/>
      <c r="E480" s="355"/>
      <c r="F480" s="343"/>
      <c r="G480" s="154">
        <f t="shared" si="34"/>
        <v>47396000</v>
      </c>
      <c r="H480" s="77">
        <v>554036</v>
      </c>
      <c r="I480" s="77">
        <v>554036</v>
      </c>
      <c r="J480" s="77">
        <v>0</v>
      </c>
      <c r="K480" s="77">
        <v>0</v>
      </c>
      <c r="M480" s="301"/>
      <c r="N480" s="301"/>
      <c r="O480" s="301"/>
      <c r="P480" s="301"/>
      <c r="Q480" s="301"/>
      <c r="R480" s="301"/>
      <c r="S480" s="301"/>
    </row>
    <row r="481" spans="1:19" ht="12.75">
      <c r="A481" s="355">
        <f t="shared" si="35"/>
        <v>4</v>
      </c>
      <c r="B481" s="355">
        <v>8</v>
      </c>
      <c r="C481" s="355">
        <v>396</v>
      </c>
      <c r="D481" s="356"/>
      <c r="E481" s="355"/>
      <c r="F481" s="343"/>
      <c r="G481" s="154">
        <f t="shared" si="34"/>
        <v>48396000</v>
      </c>
      <c r="H481" s="77"/>
      <c r="I481" s="77"/>
      <c r="J481" s="77"/>
      <c r="K481" s="77"/>
      <c r="M481" s="301"/>
      <c r="N481" s="301"/>
      <c r="O481" s="301"/>
      <c r="P481" s="301"/>
      <c r="Q481" s="301"/>
      <c r="R481" s="301"/>
      <c r="S481" s="301"/>
    </row>
    <row r="482" spans="1:19" ht="12.75">
      <c r="A482" s="355">
        <f t="shared" si="35"/>
        <v>4</v>
      </c>
      <c r="B482" s="355">
        <v>9</v>
      </c>
      <c r="C482" s="355">
        <v>396</v>
      </c>
      <c r="D482" s="356"/>
      <c r="E482" s="355"/>
      <c r="F482" s="343"/>
      <c r="G482" s="154">
        <f t="shared" si="34"/>
        <v>49396000</v>
      </c>
      <c r="H482" s="77">
        <v>949122</v>
      </c>
      <c r="I482" s="77">
        <v>398842</v>
      </c>
      <c r="J482" s="77">
        <v>316068</v>
      </c>
      <c r="K482" s="77">
        <v>234212</v>
      </c>
      <c r="M482" s="301"/>
      <c r="N482" s="301"/>
      <c r="O482" s="301"/>
      <c r="P482" s="301"/>
      <c r="Q482" s="301"/>
      <c r="R482" s="301"/>
      <c r="S482" s="301"/>
    </row>
    <row r="483" spans="1:19" ht="12.75">
      <c r="A483" s="355">
        <f t="shared" si="35"/>
        <v>4</v>
      </c>
      <c r="B483" s="355">
        <v>0</v>
      </c>
      <c r="C483" s="355">
        <v>397</v>
      </c>
      <c r="D483" s="356"/>
      <c r="E483" s="355"/>
      <c r="F483" s="343"/>
      <c r="G483" s="154">
        <f t="shared" si="34"/>
        <v>40397000</v>
      </c>
      <c r="H483" s="77">
        <v>33048081</v>
      </c>
      <c r="I483" s="77">
        <v>26749545</v>
      </c>
      <c r="J483" s="77">
        <v>4461948</v>
      </c>
      <c r="K483" s="77">
        <v>1836589</v>
      </c>
      <c r="M483" s="301"/>
      <c r="N483" s="301"/>
      <c r="O483" s="301"/>
      <c r="P483" s="301"/>
      <c r="Q483" s="301"/>
      <c r="R483" s="301"/>
      <c r="S483" s="301"/>
    </row>
    <row r="484" spans="1:19" ht="12.75">
      <c r="A484" s="355">
        <f t="shared" si="35"/>
        <v>4</v>
      </c>
      <c r="B484" s="355">
        <v>1</v>
      </c>
      <c r="C484" s="355">
        <v>397</v>
      </c>
      <c r="D484" s="356"/>
      <c r="E484" s="355"/>
      <c r="F484" s="343"/>
      <c r="G484" s="154">
        <f t="shared" si="34"/>
        <v>41397000</v>
      </c>
      <c r="H484" s="77">
        <v>719184</v>
      </c>
      <c r="I484" s="77">
        <v>0</v>
      </c>
      <c r="J484" s="77">
        <v>420569</v>
      </c>
      <c r="K484" s="77">
        <v>298614</v>
      </c>
      <c r="M484" s="301"/>
      <c r="N484" s="301"/>
      <c r="O484" s="301"/>
      <c r="P484" s="301"/>
      <c r="Q484" s="301"/>
      <c r="R484" s="301"/>
      <c r="S484" s="301"/>
    </row>
    <row r="485" spans="1:19" ht="12.75">
      <c r="A485" s="355">
        <f t="shared" si="35"/>
        <v>4</v>
      </c>
      <c r="B485" s="355">
        <v>2</v>
      </c>
      <c r="C485" s="355">
        <v>397</v>
      </c>
      <c r="D485" s="356"/>
      <c r="E485" s="355"/>
      <c r="F485" s="343"/>
      <c r="G485" s="154">
        <f t="shared" si="34"/>
        <v>42397000</v>
      </c>
      <c r="H485" s="77">
        <v>455544</v>
      </c>
      <c r="I485" s="77">
        <v>-416</v>
      </c>
      <c r="J485" s="77">
        <v>477508</v>
      </c>
      <c r="K485" s="77">
        <v>-21548</v>
      </c>
      <c r="M485" s="301"/>
      <c r="N485" s="301"/>
      <c r="O485" s="301"/>
      <c r="P485" s="301"/>
      <c r="Q485" s="301"/>
      <c r="R485" s="301"/>
      <c r="S485" s="301"/>
    </row>
    <row r="486" spans="1:19" ht="12.75">
      <c r="A486" s="355">
        <f t="shared" si="35"/>
        <v>4</v>
      </c>
      <c r="B486" s="355">
        <v>7</v>
      </c>
      <c r="C486" s="355">
        <v>397</v>
      </c>
      <c r="D486" s="356"/>
      <c r="E486" s="355"/>
      <c r="F486" s="343"/>
      <c r="G486" s="154">
        <f t="shared" si="34"/>
        <v>47397000</v>
      </c>
      <c r="H486" s="77">
        <v>6439200</v>
      </c>
      <c r="I486" s="77">
        <v>6439200</v>
      </c>
      <c r="J486" s="77">
        <v>0</v>
      </c>
      <c r="K486" s="77">
        <v>0</v>
      </c>
      <c r="M486" s="301"/>
      <c r="N486" s="301"/>
      <c r="O486" s="301"/>
      <c r="P486" s="301"/>
      <c r="Q486" s="301"/>
      <c r="R486" s="301"/>
      <c r="S486" s="301"/>
    </row>
    <row r="487" spans="1:19" ht="12.75">
      <c r="A487" s="355">
        <f t="shared" si="35"/>
        <v>4</v>
      </c>
      <c r="B487" s="355">
        <v>8</v>
      </c>
      <c r="C487" s="355">
        <v>397</v>
      </c>
      <c r="D487" s="356"/>
      <c r="E487" s="355"/>
      <c r="F487" s="343"/>
      <c r="G487" s="154">
        <f t="shared" si="34"/>
        <v>48397000</v>
      </c>
      <c r="H487" s="77">
        <v>951505</v>
      </c>
      <c r="I487" s="77">
        <v>951505</v>
      </c>
      <c r="J487" s="77">
        <v>0</v>
      </c>
      <c r="K487" s="77">
        <v>0</v>
      </c>
      <c r="M487" s="301"/>
      <c r="N487" s="301"/>
      <c r="O487" s="301"/>
      <c r="P487" s="301"/>
      <c r="Q487" s="301"/>
      <c r="R487" s="301"/>
      <c r="S487" s="301"/>
    </row>
    <row r="488" spans="1:19" ht="12.75">
      <c r="A488" s="355">
        <f t="shared" si="35"/>
        <v>4</v>
      </c>
      <c r="B488" s="355">
        <v>9</v>
      </c>
      <c r="C488" s="355">
        <v>397</v>
      </c>
      <c r="D488" s="356"/>
      <c r="E488" s="355"/>
      <c r="F488" s="343"/>
      <c r="G488" s="154">
        <f t="shared" si="34"/>
        <v>49397000</v>
      </c>
      <c r="H488" s="77">
        <v>7893399</v>
      </c>
      <c r="I488" s="77">
        <v>7362441</v>
      </c>
      <c r="J488" s="77">
        <v>450006</v>
      </c>
      <c r="K488" s="77">
        <v>80952</v>
      </c>
      <c r="M488" s="301"/>
      <c r="N488" s="301"/>
      <c r="O488" s="301"/>
      <c r="P488" s="301"/>
      <c r="Q488" s="301"/>
      <c r="R488" s="301"/>
      <c r="S488" s="301"/>
    </row>
    <row r="489" spans="1:19" ht="12.75">
      <c r="A489" s="355">
        <f t="shared" si="35"/>
        <v>4</v>
      </c>
      <c r="B489" s="355">
        <v>0</v>
      </c>
      <c r="C489" s="355">
        <v>398</v>
      </c>
      <c r="D489" s="356"/>
      <c r="E489" s="355"/>
      <c r="F489" s="343"/>
      <c r="G489" s="154">
        <f t="shared" si="34"/>
        <v>40398000</v>
      </c>
      <c r="H489" s="77">
        <v>3905</v>
      </c>
      <c r="I489" s="77">
        <v>1120</v>
      </c>
      <c r="J489" s="77">
        <v>0</v>
      </c>
      <c r="K489" s="77">
        <v>2785</v>
      </c>
      <c r="M489" s="301"/>
      <c r="N489" s="301"/>
      <c r="O489" s="301"/>
      <c r="P489" s="301"/>
      <c r="Q489" s="301"/>
      <c r="R489" s="301"/>
      <c r="S489" s="301"/>
    </row>
    <row r="490" spans="1:19" ht="12.75">
      <c r="A490" s="355">
        <f t="shared" si="35"/>
        <v>4</v>
      </c>
      <c r="B490" s="355">
        <v>1</v>
      </c>
      <c r="C490" s="355">
        <v>398</v>
      </c>
      <c r="D490" s="356"/>
      <c r="E490" s="355"/>
      <c r="F490" s="343"/>
      <c r="G490" s="154">
        <f t="shared" si="34"/>
        <v>41398000</v>
      </c>
      <c r="H490" s="77">
        <v>31332</v>
      </c>
      <c r="I490" s="77">
        <v>31332</v>
      </c>
      <c r="J490" s="77">
        <v>0</v>
      </c>
      <c r="K490" s="77">
        <v>0</v>
      </c>
      <c r="M490" s="301"/>
      <c r="N490" s="301"/>
      <c r="O490" s="301"/>
      <c r="P490" s="301"/>
      <c r="Q490" s="301"/>
      <c r="R490" s="301"/>
      <c r="S490" s="301"/>
    </row>
    <row r="491" spans="1:19" ht="12.75">
      <c r="A491" s="355">
        <f t="shared" si="35"/>
        <v>4</v>
      </c>
      <c r="B491" s="355">
        <v>2</v>
      </c>
      <c r="C491" s="355">
        <v>398</v>
      </c>
      <c r="D491" s="356"/>
      <c r="E491" s="355"/>
      <c r="F491" s="343"/>
      <c r="G491" s="154">
        <f t="shared" si="34"/>
        <v>42398000</v>
      </c>
      <c r="H491" s="77">
        <v>-3140</v>
      </c>
      <c r="I491" s="77">
        <v>0</v>
      </c>
      <c r="J491" s="77">
        <v>0</v>
      </c>
      <c r="K491" s="77">
        <v>-3140</v>
      </c>
      <c r="M491" s="301"/>
      <c r="N491" s="301"/>
      <c r="O491" s="301"/>
      <c r="P491" s="301"/>
      <c r="Q491" s="301"/>
      <c r="R491" s="301"/>
      <c r="S491" s="301"/>
    </row>
    <row r="492" spans="1:19" ht="12.75">
      <c r="A492" s="355">
        <f t="shared" si="35"/>
        <v>4</v>
      </c>
      <c r="B492" s="355">
        <v>7</v>
      </c>
      <c r="C492" s="355">
        <v>398</v>
      </c>
      <c r="D492" s="356"/>
      <c r="E492" s="355"/>
      <c r="F492" s="343"/>
      <c r="G492" s="154">
        <f t="shared" si="34"/>
        <v>47398000</v>
      </c>
      <c r="H492" s="77">
        <v>625485</v>
      </c>
      <c r="I492" s="77">
        <v>625485</v>
      </c>
      <c r="J492" s="77">
        <v>0</v>
      </c>
      <c r="K492" s="77">
        <v>0</v>
      </c>
      <c r="M492" s="301"/>
      <c r="N492" s="301"/>
      <c r="O492" s="301"/>
      <c r="P492" s="301"/>
      <c r="Q492" s="301"/>
      <c r="R492" s="301"/>
      <c r="S492" s="301"/>
    </row>
    <row r="493" spans="1:19" ht="12.75">
      <c r="A493" s="355">
        <f t="shared" si="35"/>
        <v>4</v>
      </c>
      <c r="B493" s="355">
        <v>8</v>
      </c>
      <c r="C493" s="355">
        <v>398</v>
      </c>
      <c r="D493" s="356"/>
      <c r="E493" s="355"/>
      <c r="F493" s="343"/>
      <c r="G493" s="154">
        <f t="shared" si="34"/>
        <v>48398000</v>
      </c>
      <c r="H493" s="77"/>
      <c r="I493" s="77"/>
      <c r="J493" s="77"/>
      <c r="K493" s="77"/>
      <c r="M493" s="301"/>
      <c r="N493" s="301"/>
      <c r="O493" s="301"/>
      <c r="P493" s="301"/>
      <c r="Q493" s="301"/>
      <c r="R493" s="301"/>
      <c r="S493" s="301"/>
    </row>
    <row r="494" spans="1:19" ht="12.75">
      <c r="A494" s="355">
        <f t="shared" si="35"/>
        <v>4</v>
      </c>
      <c r="B494" s="355">
        <v>9</v>
      </c>
      <c r="C494" s="355">
        <v>398</v>
      </c>
      <c r="D494" s="356"/>
      <c r="E494" s="355"/>
      <c r="F494" s="343"/>
      <c r="G494" s="154">
        <f t="shared" si="34"/>
        <v>49398000</v>
      </c>
      <c r="H494" s="77">
        <v>20745</v>
      </c>
      <c r="I494" s="77">
        <v>8183</v>
      </c>
      <c r="J494" s="77">
        <v>5389</v>
      </c>
      <c r="K494" s="77">
        <v>7173</v>
      </c>
      <c r="M494" s="301"/>
      <c r="N494" s="301"/>
      <c r="O494" s="301"/>
      <c r="P494" s="301"/>
      <c r="Q494" s="301"/>
      <c r="R494" s="301"/>
      <c r="S494" s="301"/>
    </row>
    <row r="495" spans="1:19" ht="12.75">
      <c r="A495" s="355">
        <f t="shared" si="35"/>
        <v>4</v>
      </c>
      <c r="B495" s="355">
        <v>7</v>
      </c>
      <c r="C495" s="355">
        <v>399</v>
      </c>
      <c r="D495" s="356"/>
      <c r="E495" s="355"/>
      <c r="F495" s="343"/>
      <c r="G495" s="154">
        <f>A495*10000000+B495*1000000+C495*1000+D495</f>
        <v>47399000</v>
      </c>
      <c r="H495" s="77">
        <v>351680</v>
      </c>
      <c r="I495" s="77">
        <v>351680</v>
      </c>
      <c r="J495" s="77">
        <v>0</v>
      </c>
      <c r="K495" s="77">
        <v>0</v>
      </c>
      <c r="M495" s="301"/>
      <c r="N495" s="301"/>
      <c r="O495" s="301"/>
      <c r="P495" s="301"/>
      <c r="Q495" s="301"/>
      <c r="R495" s="301"/>
      <c r="S495" s="301"/>
    </row>
    <row r="496" spans="1:19" ht="12.75">
      <c r="A496" s="355"/>
      <c r="B496" s="355"/>
      <c r="C496" s="355"/>
      <c r="D496" s="356"/>
      <c r="E496" s="355"/>
      <c r="F496" s="343"/>
      <c r="G496" s="343"/>
      <c r="H496" s="77"/>
      <c r="I496" s="77"/>
      <c r="J496" s="77"/>
      <c r="K496" s="77"/>
      <c r="M496" s="301"/>
      <c r="N496" s="301"/>
      <c r="O496" s="301"/>
      <c r="P496" s="301"/>
      <c r="Q496" s="301"/>
      <c r="R496" s="301"/>
      <c r="S496" s="301"/>
    </row>
    <row r="497" spans="1:19" ht="12.75">
      <c r="A497" s="357" t="s">
        <v>838</v>
      </c>
      <c r="B497" s="355"/>
      <c r="C497" s="355"/>
      <c r="D497" s="356"/>
      <c r="E497" s="355"/>
      <c r="F497" s="343"/>
      <c r="G497" s="343"/>
      <c r="H497" s="77"/>
      <c r="I497" s="77"/>
      <c r="J497" s="77"/>
      <c r="K497" s="77"/>
      <c r="M497" s="301"/>
      <c r="N497" s="301"/>
      <c r="O497" s="301"/>
      <c r="P497" s="301"/>
      <c r="Q497" s="301"/>
      <c r="R497" s="301"/>
      <c r="S497" s="301"/>
    </row>
    <row r="498" spans="1:19" ht="12.75">
      <c r="A498" s="355">
        <f aca="true" t="shared" si="36" ref="A498:A543">IF(rbcalc="e",3,IF(months=1,5,4))</f>
        <v>4</v>
      </c>
      <c r="B498" s="355">
        <v>0</v>
      </c>
      <c r="C498" s="355">
        <v>301</v>
      </c>
      <c r="D498" s="343">
        <v>0</v>
      </c>
      <c r="E498" s="355"/>
      <c r="F498" s="343"/>
      <c r="G498" s="154">
        <f aca="true" t="shared" si="37" ref="G498:G542">A498*10000000+B498*1000000+C498*1000+D498</f>
        <v>40301000</v>
      </c>
      <c r="H498" s="77"/>
      <c r="I498" s="77"/>
      <c r="J498" s="77"/>
      <c r="K498" s="77"/>
      <c r="M498" s="301"/>
      <c r="N498" s="301"/>
      <c r="O498" s="301"/>
      <c r="P498" s="301"/>
      <c r="Q498" s="301"/>
      <c r="R498" s="301"/>
      <c r="S498" s="301"/>
    </row>
    <row r="499" spans="1:19" ht="12.75">
      <c r="A499" s="355">
        <f t="shared" si="36"/>
        <v>4</v>
      </c>
      <c r="B499" s="355">
        <v>0</v>
      </c>
      <c r="C499" s="355">
        <v>302</v>
      </c>
      <c r="D499" s="343">
        <v>0</v>
      </c>
      <c r="E499" s="355"/>
      <c r="F499" s="343"/>
      <c r="G499" s="154">
        <f t="shared" si="37"/>
        <v>40302000</v>
      </c>
      <c r="H499" s="77">
        <v>15259132</v>
      </c>
      <c r="I499" s="77">
        <v>15259132</v>
      </c>
      <c r="J499" s="77">
        <v>0</v>
      </c>
      <c r="K499" s="77">
        <v>0</v>
      </c>
      <c r="M499" s="301"/>
      <c r="N499" s="301"/>
      <c r="O499" s="301"/>
      <c r="P499" s="301"/>
      <c r="Q499" s="301"/>
      <c r="R499" s="301"/>
      <c r="S499" s="301"/>
    </row>
    <row r="500" spans="1:19" ht="12.75">
      <c r="A500" s="355">
        <f t="shared" si="36"/>
        <v>4</v>
      </c>
      <c r="B500" s="355">
        <v>0</v>
      </c>
      <c r="C500" s="355">
        <v>303</v>
      </c>
      <c r="D500" s="343">
        <v>0</v>
      </c>
      <c r="E500" s="355"/>
      <c r="F500" s="343"/>
      <c r="G500" s="154">
        <f t="shared" si="37"/>
        <v>40303000</v>
      </c>
      <c r="H500" s="77">
        <v>2179729</v>
      </c>
      <c r="I500" s="77">
        <v>2026550</v>
      </c>
      <c r="J500" s="77">
        <v>153179</v>
      </c>
      <c r="K500" s="77">
        <v>0</v>
      </c>
      <c r="M500" s="301"/>
      <c r="N500" s="301"/>
      <c r="O500" s="301"/>
      <c r="P500" s="301"/>
      <c r="Q500" s="301"/>
      <c r="R500" s="301"/>
      <c r="S500" s="301"/>
    </row>
    <row r="501" spans="1:19" ht="12.75">
      <c r="A501" s="355">
        <f t="shared" si="36"/>
        <v>4</v>
      </c>
      <c r="B501" s="355">
        <v>0</v>
      </c>
      <c r="C501" s="355">
        <v>310</v>
      </c>
      <c r="D501" s="343">
        <v>0</v>
      </c>
      <c r="E501" s="355"/>
      <c r="F501" s="343"/>
      <c r="G501" s="154">
        <f t="shared" si="37"/>
        <v>40310000</v>
      </c>
      <c r="H501" s="77">
        <v>2233416</v>
      </c>
      <c r="I501" s="77">
        <v>2233416</v>
      </c>
      <c r="J501" s="77">
        <v>0</v>
      </c>
      <c r="K501" s="77">
        <v>0</v>
      </c>
      <c r="M501" s="301"/>
      <c r="N501" s="301"/>
      <c r="O501" s="301"/>
      <c r="P501" s="301"/>
      <c r="Q501" s="301"/>
      <c r="R501" s="301"/>
      <c r="S501" s="301"/>
    </row>
    <row r="502" spans="1:19" ht="12.75">
      <c r="A502" s="355">
        <f t="shared" si="36"/>
        <v>4</v>
      </c>
      <c r="B502" s="355">
        <v>0</v>
      </c>
      <c r="C502" s="355">
        <v>311</v>
      </c>
      <c r="D502" s="343">
        <v>0</v>
      </c>
      <c r="E502" s="355"/>
      <c r="F502" s="343"/>
      <c r="G502" s="154">
        <f t="shared" si="37"/>
        <v>40311000</v>
      </c>
      <c r="H502" s="77">
        <v>124584016</v>
      </c>
      <c r="I502" s="77">
        <v>124584016</v>
      </c>
      <c r="J502" s="77">
        <v>0</v>
      </c>
      <c r="K502" s="77">
        <v>0</v>
      </c>
      <c r="M502" s="301"/>
      <c r="N502" s="301"/>
      <c r="O502" s="301"/>
      <c r="P502" s="301"/>
      <c r="Q502" s="301"/>
      <c r="R502" s="301"/>
      <c r="S502" s="301"/>
    </row>
    <row r="503" spans="1:19" ht="12.75">
      <c r="A503" s="355">
        <f t="shared" si="36"/>
        <v>4</v>
      </c>
      <c r="B503" s="355">
        <v>0</v>
      </c>
      <c r="C503" s="355">
        <v>312</v>
      </c>
      <c r="D503" s="343">
        <v>0</v>
      </c>
      <c r="E503" s="355"/>
      <c r="F503" s="343"/>
      <c r="G503" s="154">
        <f t="shared" si="37"/>
        <v>40312000</v>
      </c>
      <c r="H503" s="77">
        <v>162347551</v>
      </c>
      <c r="I503" s="77">
        <v>162347551</v>
      </c>
      <c r="J503" s="77">
        <v>0</v>
      </c>
      <c r="K503" s="77">
        <v>0</v>
      </c>
      <c r="M503" s="301"/>
      <c r="N503" s="301"/>
      <c r="O503" s="301"/>
      <c r="P503" s="301"/>
      <c r="Q503" s="301"/>
      <c r="R503" s="301"/>
      <c r="S503" s="301"/>
    </row>
    <row r="504" spans="1:19" ht="12.75">
      <c r="A504" s="355">
        <f t="shared" si="36"/>
        <v>4</v>
      </c>
      <c r="B504" s="355">
        <v>0</v>
      </c>
      <c r="C504" s="355">
        <v>314</v>
      </c>
      <c r="D504" s="343">
        <v>0</v>
      </c>
      <c r="E504" s="355"/>
      <c r="F504" s="343"/>
      <c r="G504" s="154">
        <f t="shared" si="37"/>
        <v>40314000</v>
      </c>
      <c r="H504" s="77">
        <v>48341760</v>
      </c>
      <c r="I504" s="77">
        <v>48341760</v>
      </c>
      <c r="J504" s="77">
        <v>0</v>
      </c>
      <c r="K504" s="77">
        <v>0</v>
      </c>
      <c r="M504" s="301"/>
      <c r="N504" s="301"/>
      <c r="O504" s="301"/>
      <c r="P504" s="301"/>
      <c r="Q504" s="301"/>
      <c r="R504" s="301"/>
      <c r="S504" s="301"/>
    </row>
    <row r="505" spans="1:19" ht="12.75">
      <c r="A505" s="355">
        <f t="shared" si="36"/>
        <v>4</v>
      </c>
      <c r="B505" s="355">
        <v>0</v>
      </c>
      <c r="C505" s="355">
        <v>315</v>
      </c>
      <c r="D505" s="343">
        <v>0</v>
      </c>
      <c r="E505" s="355"/>
      <c r="F505" s="343"/>
      <c r="G505" s="154">
        <f t="shared" si="37"/>
        <v>40315000</v>
      </c>
      <c r="H505" s="77">
        <v>26331730</v>
      </c>
      <c r="I505" s="77">
        <v>26331730</v>
      </c>
      <c r="J505" s="77">
        <v>0</v>
      </c>
      <c r="K505" s="77">
        <v>0</v>
      </c>
      <c r="M505" s="301"/>
      <c r="N505" s="301"/>
      <c r="O505" s="301"/>
      <c r="P505" s="301"/>
      <c r="Q505" s="301"/>
      <c r="R505" s="301"/>
      <c r="S505" s="301"/>
    </row>
    <row r="506" spans="1:19" ht="12.75">
      <c r="A506" s="355">
        <f t="shared" si="36"/>
        <v>4</v>
      </c>
      <c r="B506" s="355">
        <v>0</v>
      </c>
      <c r="C506" s="355">
        <v>316</v>
      </c>
      <c r="D506" s="343">
        <v>0</v>
      </c>
      <c r="E506" s="355"/>
      <c r="F506" s="343"/>
      <c r="G506" s="154">
        <f t="shared" si="37"/>
        <v>40316000</v>
      </c>
      <c r="H506" s="77">
        <v>15295499</v>
      </c>
      <c r="I506" s="77">
        <v>15295499</v>
      </c>
      <c r="J506" s="77">
        <v>0</v>
      </c>
      <c r="K506" s="77">
        <v>0</v>
      </c>
      <c r="M506" s="301"/>
      <c r="N506" s="301"/>
      <c r="O506" s="301"/>
      <c r="P506" s="301"/>
      <c r="Q506" s="301"/>
      <c r="R506" s="301"/>
      <c r="S506" s="301"/>
    </row>
    <row r="507" spans="1:19" ht="12.75">
      <c r="A507" s="355">
        <f t="shared" si="36"/>
        <v>4</v>
      </c>
      <c r="B507" s="355">
        <v>0</v>
      </c>
      <c r="C507" s="355">
        <v>317</v>
      </c>
      <c r="D507" s="343">
        <v>0</v>
      </c>
      <c r="E507" s="355"/>
      <c r="F507" s="343"/>
      <c r="G507" s="154">
        <f t="shared" si="37"/>
        <v>40317000</v>
      </c>
      <c r="H507" s="77">
        <v>722349</v>
      </c>
      <c r="I507" s="77">
        <v>722349</v>
      </c>
      <c r="J507" s="77">
        <v>0</v>
      </c>
      <c r="K507" s="77">
        <v>0</v>
      </c>
      <c r="M507" s="301"/>
      <c r="N507" s="301"/>
      <c r="O507" s="301"/>
      <c r="P507" s="301"/>
      <c r="Q507" s="301"/>
      <c r="R507" s="301"/>
      <c r="S507" s="301"/>
    </row>
    <row r="508" spans="1:19" ht="12.75">
      <c r="A508" s="355">
        <f t="shared" si="36"/>
        <v>4</v>
      </c>
      <c r="B508" s="355">
        <v>0</v>
      </c>
      <c r="C508" s="355">
        <v>330</v>
      </c>
      <c r="D508" s="343">
        <v>0</v>
      </c>
      <c r="E508" s="355"/>
      <c r="F508" s="343"/>
      <c r="G508" s="154">
        <f t="shared" si="37"/>
        <v>40330000</v>
      </c>
      <c r="H508" s="77">
        <v>56001584</v>
      </c>
      <c r="I508" s="77">
        <v>56001584</v>
      </c>
      <c r="J508" s="77">
        <v>0</v>
      </c>
      <c r="K508" s="77">
        <v>0</v>
      </c>
      <c r="M508" s="301"/>
      <c r="N508" s="301"/>
      <c r="O508" s="301"/>
      <c r="P508" s="301"/>
      <c r="Q508" s="301"/>
      <c r="R508" s="301"/>
      <c r="S508" s="301"/>
    </row>
    <row r="509" spans="1:19" ht="12.75">
      <c r="A509" s="355">
        <f t="shared" si="36"/>
        <v>4</v>
      </c>
      <c r="B509" s="355">
        <v>0</v>
      </c>
      <c r="C509" s="355">
        <v>331</v>
      </c>
      <c r="D509" s="343">
        <v>0</v>
      </c>
      <c r="E509" s="355"/>
      <c r="F509" s="343"/>
      <c r="G509" s="154">
        <f t="shared" si="37"/>
        <v>40331000</v>
      </c>
      <c r="H509" s="77">
        <v>39239747</v>
      </c>
      <c r="I509" s="77">
        <v>39239747</v>
      </c>
      <c r="J509" s="77">
        <v>0</v>
      </c>
      <c r="K509" s="77">
        <v>0</v>
      </c>
      <c r="M509" s="301"/>
      <c r="N509" s="301"/>
      <c r="O509" s="301"/>
      <c r="P509" s="301"/>
      <c r="Q509" s="301"/>
      <c r="R509" s="301"/>
      <c r="S509" s="301"/>
    </row>
    <row r="510" spans="1:19" ht="12.75">
      <c r="A510" s="355">
        <f t="shared" si="36"/>
        <v>4</v>
      </c>
      <c r="B510" s="355">
        <v>0</v>
      </c>
      <c r="C510" s="355">
        <v>332</v>
      </c>
      <c r="D510" s="343">
        <v>0</v>
      </c>
      <c r="E510" s="355"/>
      <c r="F510" s="343"/>
      <c r="G510" s="154">
        <f t="shared" si="37"/>
        <v>40332000</v>
      </c>
      <c r="H510" s="77">
        <v>112035536</v>
      </c>
      <c r="I510" s="77">
        <v>112035536</v>
      </c>
      <c r="J510" s="77">
        <v>0</v>
      </c>
      <c r="K510" s="77">
        <v>0</v>
      </c>
      <c r="M510" s="301"/>
      <c r="N510" s="301"/>
      <c r="O510" s="301"/>
      <c r="P510" s="301"/>
      <c r="Q510" s="301"/>
      <c r="R510" s="301"/>
      <c r="S510" s="301"/>
    </row>
    <row r="511" spans="1:19" ht="12.75">
      <c r="A511" s="355">
        <f t="shared" si="36"/>
        <v>4</v>
      </c>
      <c r="B511" s="355">
        <v>0</v>
      </c>
      <c r="C511" s="355">
        <v>333</v>
      </c>
      <c r="D511" s="343">
        <v>0</v>
      </c>
      <c r="E511" s="355"/>
      <c r="F511" s="343"/>
      <c r="G511" s="154">
        <f t="shared" si="37"/>
        <v>40333000</v>
      </c>
      <c r="H511" s="77">
        <v>118710254</v>
      </c>
      <c r="I511" s="77">
        <v>118710254</v>
      </c>
      <c r="J511" s="77">
        <v>0</v>
      </c>
      <c r="K511" s="77">
        <v>0</v>
      </c>
      <c r="M511" s="301"/>
      <c r="N511" s="301"/>
      <c r="O511" s="301"/>
      <c r="P511" s="301"/>
      <c r="Q511" s="301"/>
      <c r="R511" s="301"/>
      <c r="S511" s="301"/>
    </row>
    <row r="512" spans="1:19" ht="12.75">
      <c r="A512" s="355">
        <f t="shared" si="36"/>
        <v>4</v>
      </c>
      <c r="B512" s="355">
        <v>0</v>
      </c>
      <c r="C512" s="355">
        <v>334</v>
      </c>
      <c r="D512" s="343">
        <v>0</v>
      </c>
      <c r="E512" s="355"/>
      <c r="F512" s="343"/>
      <c r="G512" s="154">
        <f t="shared" si="37"/>
        <v>40334000</v>
      </c>
      <c r="H512" s="77">
        <v>29634097</v>
      </c>
      <c r="I512" s="77">
        <v>29634097</v>
      </c>
      <c r="J512" s="77">
        <v>0</v>
      </c>
      <c r="K512" s="77">
        <v>0</v>
      </c>
      <c r="M512" s="301"/>
      <c r="N512" s="301"/>
      <c r="O512" s="301"/>
      <c r="P512" s="301"/>
      <c r="Q512" s="301"/>
      <c r="R512" s="301"/>
      <c r="S512" s="301"/>
    </row>
    <row r="513" spans="1:19" ht="12.75">
      <c r="A513" s="355">
        <f t="shared" si="36"/>
        <v>4</v>
      </c>
      <c r="B513" s="355">
        <v>0</v>
      </c>
      <c r="C513" s="355">
        <v>335</v>
      </c>
      <c r="D513" s="343">
        <v>0</v>
      </c>
      <c r="E513" s="355"/>
      <c r="F513" s="343"/>
      <c r="G513" s="154">
        <f t="shared" si="37"/>
        <v>40335000</v>
      </c>
      <c r="H513" s="77">
        <v>6226771</v>
      </c>
      <c r="I513" s="77">
        <v>6226771</v>
      </c>
      <c r="J513" s="77">
        <v>0</v>
      </c>
      <c r="K513" s="77">
        <v>0</v>
      </c>
      <c r="M513" s="301"/>
      <c r="N513" s="301"/>
      <c r="O513" s="301"/>
      <c r="P513" s="301"/>
      <c r="Q513" s="301"/>
      <c r="R513" s="301"/>
      <c r="S513" s="301"/>
    </row>
    <row r="514" spans="1:19" ht="12.75">
      <c r="A514" s="355">
        <f t="shared" si="36"/>
        <v>4</v>
      </c>
      <c r="B514" s="355">
        <v>0</v>
      </c>
      <c r="C514" s="355">
        <v>336</v>
      </c>
      <c r="D514" s="343">
        <v>0</v>
      </c>
      <c r="E514" s="355"/>
      <c r="F514" s="343"/>
      <c r="G514" s="154">
        <f t="shared" si="37"/>
        <v>40336000</v>
      </c>
      <c r="H514" s="77">
        <v>1999563</v>
      </c>
      <c r="I514" s="77">
        <v>1999563</v>
      </c>
      <c r="J514" s="77">
        <v>0</v>
      </c>
      <c r="K514" s="77">
        <v>0</v>
      </c>
      <c r="M514" s="301"/>
      <c r="N514" s="301"/>
      <c r="O514" s="301"/>
      <c r="P514" s="301"/>
      <c r="Q514" s="301"/>
      <c r="R514" s="301"/>
      <c r="S514" s="301"/>
    </row>
    <row r="515" spans="1:19" ht="12.75">
      <c r="A515" s="355">
        <f t="shared" si="36"/>
        <v>4</v>
      </c>
      <c r="B515" s="355">
        <v>0</v>
      </c>
      <c r="C515" s="355">
        <v>340</v>
      </c>
      <c r="D515" s="343">
        <v>200</v>
      </c>
      <c r="E515" s="355"/>
      <c r="F515" s="343"/>
      <c r="G515" s="154">
        <f t="shared" si="37"/>
        <v>40340200</v>
      </c>
      <c r="H515" s="77">
        <v>877555</v>
      </c>
      <c r="I515" s="77">
        <v>877555</v>
      </c>
      <c r="J515" s="77">
        <v>0</v>
      </c>
      <c r="K515" s="77">
        <v>0</v>
      </c>
      <c r="M515" s="301"/>
      <c r="N515" s="301"/>
      <c r="O515" s="301"/>
      <c r="P515" s="301"/>
      <c r="Q515" s="301"/>
      <c r="R515" s="301"/>
      <c r="S515" s="301"/>
    </row>
    <row r="516" spans="1:19" ht="12.75">
      <c r="A516" s="355">
        <f t="shared" si="36"/>
        <v>4</v>
      </c>
      <c r="B516" s="355">
        <v>0</v>
      </c>
      <c r="C516" s="355">
        <v>341</v>
      </c>
      <c r="D516" s="343">
        <v>0</v>
      </c>
      <c r="E516" s="355"/>
      <c r="F516" s="343"/>
      <c r="G516" s="154">
        <f t="shared" si="37"/>
        <v>40341000</v>
      </c>
      <c r="H516" s="77">
        <v>15574962</v>
      </c>
      <c r="I516" s="77">
        <v>15574962</v>
      </c>
      <c r="J516" s="77">
        <v>0</v>
      </c>
      <c r="K516" s="77">
        <v>0</v>
      </c>
      <c r="M516" s="301"/>
      <c r="N516" s="301"/>
      <c r="O516" s="301"/>
      <c r="P516" s="301"/>
      <c r="Q516" s="301"/>
      <c r="R516" s="301"/>
      <c r="S516" s="301"/>
    </row>
    <row r="517" spans="1:19" ht="12.75">
      <c r="A517" s="355">
        <f t="shared" si="36"/>
        <v>4</v>
      </c>
      <c r="B517" s="355">
        <v>0</v>
      </c>
      <c r="C517" s="355">
        <v>342</v>
      </c>
      <c r="D517" s="343">
        <v>0</v>
      </c>
      <c r="E517" s="355"/>
      <c r="F517" s="343"/>
      <c r="G517" s="154">
        <f t="shared" si="37"/>
        <v>40342000</v>
      </c>
      <c r="H517" s="77">
        <v>21064524</v>
      </c>
      <c r="I517" s="77">
        <v>21064524</v>
      </c>
      <c r="J517" s="77">
        <v>0</v>
      </c>
      <c r="K517" s="77">
        <v>0</v>
      </c>
      <c r="M517" s="301"/>
      <c r="N517" s="301"/>
      <c r="O517" s="301"/>
      <c r="P517" s="301"/>
      <c r="Q517" s="301"/>
      <c r="R517" s="301"/>
      <c r="S517" s="301"/>
    </row>
    <row r="518" spans="1:19" ht="12.75">
      <c r="A518" s="355">
        <f t="shared" si="36"/>
        <v>4</v>
      </c>
      <c r="B518" s="355">
        <v>0</v>
      </c>
      <c r="C518" s="355">
        <v>343</v>
      </c>
      <c r="D518" s="343">
        <v>0</v>
      </c>
      <c r="E518" s="355"/>
      <c r="F518" s="343"/>
      <c r="G518" s="154">
        <f t="shared" si="37"/>
        <v>40343000</v>
      </c>
      <c r="H518" s="77">
        <v>21876780</v>
      </c>
      <c r="I518" s="77">
        <v>21876780</v>
      </c>
      <c r="J518" s="77">
        <v>0</v>
      </c>
      <c r="K518" s="77">
        <v>0</v>
      </c>
      <c r="M518" s="301"/>
      <c r="N518" s="301"/>
      <c r="O518" s="301"/>
      <c r="P518" s="301"/>
      <c r="Q518" s="301"/>
      <c r="R518" s="301"/>
      <c r="S518" s="301"/>
    </row>
    <row r="519" spans="1:19" ht="12.75">
      <c r="A519" s="355">
        <f t="shared" si="36"/>
        <v>4</v>
      </c>
      <c r="B519" s="355">
        <v>0</v>
      </c>
      <c r="C519" s="355">
        <v>344</v>
      </c>
      <c r="D519" s="343">
        <v>0</v>
      </c>
      <c r="E519" s="355"/>
      <c r="F519" s="343"/>
      <c r="G519" s="154">
        <f t="shared" si="37"/>
        <v>40344000</v>
      </c>
      <c r="H519" s="77">
        <v>196952993</v>
      </c>
      <c r="I519" s="77">
        <v>196952993</v>
      </c>
      <c r="J519" s="77">
        <v>0</v>
      </c>
      <c r="K519" s="77">
        <v>0</v>
      </c>
      <c r="M519" s="301"/>
      <c r="N519" s="301"/>
      <c r="O519" s="301"/>
      <c r="P519" s="301"/>
      <c r="Q519" s="301"/>
      <c r="R519" s="301"/>
      <c r="S519" s="301"/>
    </row>
    <row r="520" spans="1:19" ht="12.75">
      <c r="A520" s="355">
        <f t="shared" si="36"/>
        <v>4</v>
      </c>
      <c r="B520" s="355">
        <v>0</v>
      </c>
      <c r="C520" s="355">
        <v>345</v>
      </c>
      <c r="D520" s="343">
        <v>0</v>
      </c>
      <c r="E520" s="355"/>
      <c r="F520" s="343"/>
      <c r="G520" s="154">
        <f t="shared" si="37"/>
        <v>40345000</v>
      </c>
      <c r="H520" s="77">
        <v>15111345</v>
      </c>
      <c r="I520" s="77">
        <v>15111345</v>
      </c>
      <c r="J520" s="77">
        <v>0</v>
      </c>
      <c r="K520" s="77">
        <v>0</v>
      </c>
      <c r="M520" s="301"/>
      <c r="N520" s="301"/>
      <c r="O520" s="301"/>
      <c r="P520" s="301"/>
      <c r="Q520" s="301"/>
      <c r="R520" s="301"/>
      <c r="S520" s="301"/>
    </row>
    <row r="521" spans="1:19" ht="12.75">
      <c r="A521" s="355">
        <f t="shared" si="36"/>
        <v>4</v>
      </c>
      <c r="B521" s="355">
        <v>0</v>
      </c>
      <c r="C521" s="355">
        <v>346</v>
      </c>
      <c r="D521" s="343">
        <v>0</v>
      </c>
      <c r="E521" s="355"/>
      <c r="F521" s="343"/>
      <c r="G521" s="154">
        <f>A521*10000000+B521*1000000+C521*1000+D521</f>
        <v>40346000</v>
      </c>
      <c r="H521" s="77">
        <v>1318023</v>
      </c>
      <c r="I521" s="77">
        <v>1318023</v>
      </c>
      <c r="J521" s="77">
        <v>0</v>
      </c>
      <c r="K521" s="77">
        <v>0</v>
      </c>
      <c r="M521" s="301"/>
      <c r="N521" s="301"/>
      <c r="O521" s="301"/>
      <c r="P521" s="301"/>
      <c r="Q521" s="301"/>
      <c r="R521" s="301"/>
      <c r="S521" s="301"/>
    </row>
    <row r="522" spans="1:19" ht="12.75">
      <c r="A522" s="355">
        <f t="shared" si="36"/>
        <v>4</v>
      </c>
      <c r="B522" s="355">
        <v>0</v>
      </c>
      <c r="C522" s="355">
        <v>347</v>
      </c>
      <c r="D522" s="343">
        <v>0</v>
      </c>
      <c r="E522" s="355"/>
      <c r="F522" s="343"/>
      <c r="G522" s="154">
        <f t="shared" si="37"/>
        <v>40347000</v>
      </c>
      <c r="H522" s="77">
        <v>351682</v>
      </c>
      <c r="I522" s="77">
        <v>351682</v>
      </c>
      <c r="J522" s="77">
        <v>0</v>
      </c>
      <c r="K522" s="77">
        <v>0</v>
      </c>
      <c r="M522" s="301"/>
      <c r="N522" s="301"/>
      <c r="O522" s="301"/>
      <c r="P522" s="301"/>
      <c r="Q522" s="301"/>
      <c r="R522" s="301"/>
      <c r="S522" s="301"/>
    </row>
    <row r="523" spans="1:19" ht="12.75">
      <c r="A523" s="355">
        <f t="shared" si="36"/>
        <v>4</v>
      </c>
      <c r="B523" s="355">
        <v>0</v>
      </c>
      <c r="C523" s="355">
        <v>350</v>
      </c>
      <c r="D523" s="343">
        <v>0</v>
      </c>
      <c r="E523" s="355"/>
      <c r="F523" s="343"/>
      <c r="G523" s="154">
        <f t="shared" si="37"/>
        <v>40350000</v>
      </c>
      <c r="H523" s="77">
        <v>13845150</v>
      </c>
      <c r="I523" s="77">
        <v>13845150</v>
      </c>
      <c r="J523" s="77">
        <v>0</v>
      </c>
      <c r="K523" s="77">
        <v>0</v>
      </c>
      <c r="M523" s="301"/>
      <c r="N523" s="301"/>
      <c r="O523" s="301"/>
      <c r="P523" s="301"/>
      <c r="Q523" s="301"/>
      <c r="R523" s="301"/>
      <c r="S523" s="301"/>
    </row>
    <row r="524" spans="1:19" ht="12.75">
      <c r="A524" s="355">
        <f t="shared" si="36"/>
        <v>4</v>
      </c>
      <c r="B524" s="355">
        <v>0</v>
      </c>
      <c r="C524" s="355">
        <v>352</v>
      </c>
      <c r="D524" s="343">
        <v>0</v>
      </c>
      <c r="E524" s="355"/>
      <c r="F524" s="343"/>
      <c r="G524" s="154">
        <f t="shared" si="37"/>
        <v>40352000</v>
      </c>
      <c r="H524" s="77">
        <v>14980209</v>
      </c>
      <c r="I524" s="77">
        <v>14980209</v>
      </c>
      <c r="J524" s="77">
        <v>0</v>
      </c>
      <c r="K524" s="77">
        <v>0</v>
      </c>
      <c r="M524" s="301"/>
      <c r="N524" s="301"/>
      <c r="O524" s="301"/>
      <c r="P524" s="301"/>
      <c r="Q524" s="301"/>
      <c r="R524" s="301"/>
      <c r="S524" s="301"/>
    </row>
    <row r="525" spans="1:19" ht="12.75">
      <c r="A525" s="355">
        <f t="shared" si="36"/>
        <v>4</v>
      </c>
      <c r="B525" s="355">
        <v>0</v>
      </c>
      <c r="C525" s="355">
        <v>353</v>
      </c>
      <c r="D525" s="343">
        <v>0</v>
      </c>
      <c r="E525" s="355"/>
      <c r="F525" s="343"/>
      <c r="G525" s="154">
        <f t="shared" si="37"/>
        <v>40353000</v>
      </c>
      <c r="H525" s="77">
        <v>166405713</v>
      </c>
      <c r="I525" s="77">
        <v>166405713</v>
      </c>
      <c r="J525" s="77">
        <v>0</v>
      </c>
      <c r="K525" s="77">
        <v>0</v>
      </c>
      <c r="M525" s="301"/>
      <c r="N525" s="301"/>
      <c r="O525" s="301"/>
      <c r="P525" s="301"/>
      <c r="Q525" s="301"/>
      <c r="R525" s="301"/>
      <c r="S525" s="301"/>
    </row>
    <row r="526" spans="1:19" ht="12.75">
      <c r="A526" s="355">
        <f t="shared" si="36"/>
        <v>4</v>
      </c>
      <c r="B526" s="355">
        <v>0</v>
      </c>
      <c r="C526" s="355">
        <v>354</v>
      </c>
      <c r="D526" s="343">
        <v>0</v>
      </c>
      <c r="E526" s="355"/>
      <c r="F526" s="343"/>
      <c r="G526" s="154">
        <f t="shared" si="37"/>
        <v>40354000</v>
      </c>
      <c r="H526" s="77">
        <v>17084565</v>
      </c>
      <c r="I526" s="77">
        <v>17084565</v>
      </c>
      <c r="J526" s="77">
        <v>0</v>
      </c>
      <c r="K526" s="77">
        <v>0</v>
      </c>
      <c r="M526" s="301"/>
      <c r="N526" s="301"/>
      <c r="O526" s="301"/>
      <c r="P526" s="301"/>
      <c r="Q526" s="301"/>
      <c r="R526" s="301"/>
      <c r="S526" s="301"/>
    </row>
    <row r="527" spans="1:19" ht="12.75">
      <c r="A527" s="355">
        <f t="shared" si="36"/>
        <v>4</v>
      </c>
      <c r="B527" s="355">
        <v>0</v>
      </c>
      <c r="C527" s="355">
        <v>355</v>
      </c>
      <c r="D527" s="343">
        <v>0</v>
      </c>
      <c r="E527" s="355"/>
      <c r="F527" s="343"/>
      <c r="G527" s="154">
        <f t="shared" si="37"/>
        <v>40355000</v>
      </c>
      <c r="H527" s="77">
        <v>125334361</v>
      </c>
      <c r="I527" s="77">
        <v>125334361</v>
      </c>
      <c r="J527" s="77">
        <v>0</v>
      </c>
      <c r="K527" s="77">
        <v>0</v>
      </c>
      <c r="M527" s="301"/>
      <c r="N527" s="301"/>
      <c r="O527" s="301"/>
      <c r="P527" s="301"/>
      <c r="Q527" s="301"/>
      <c r="R527" s="301"/>
      <c r="S527" s="301"/>
    </row>
    <row r="528" spans="1:19" ht="12.75">
      <c r="A528" s="355">
        <f t="shared" si="36"/>
        <v>4</v>
      </c>
      <c r="B528" s="355">
        <v>0</v>
      </c>
      <c r="C528" s="355">
        <v>356</v>
      </c>
      <c r="D528" s="343">
        <v>0</v>
      </c>
      <c r="E528" s="355"/>
      <c r="F528" s="343"/>
      <c r="G528" s="154">
        <f t="shared" si="37"/>
        <v>40356000</v>
      </c>
      <c r="H528" s="77">
        <v>99583738</v>
      </c>
      <c r="I528" s="77">
        <v>99583738</v>
      </c>
      <c r="J528" s="77">
        <v>0</v>
      </c>
      <c r="K528" s="77">
        <v>0</v>
      </c>
      <c r="M528" s="301"/>
      <c r="N528" s="301"/>
      <c r="O528" s="301"/>
      <c r="P528" s="301"/>
      <c r="Q528" s="301"/>
      <c r="R528" s="301"/>
      <c r="S528" s="301"/>
    </row>
    <row r="529" spans="1:19" ht="12.75">
      <c r="A529" s="355">
        <f t="shared" si="36"/>
        <v>4</v>
      </c>
      <c r="B529" s="355">
        <v>0</v>
      </c>
      <c r="C529" s="355">
        <v>357</v>
      </c>
      <c r="D529" s="343">
        <v>0</v>
      </c>
      <c r="E529" s="355"/>
      <c r="F529" s="343"/>
      <c r="G529" s="154">
        <f t="shared" si="37"/>
        <v>40357000</v>
      </c>
      <c r="H529" s="77">
        <v>1490916</v>
      </c>
      <c r="I529" s="77">
        <v>1490916</v>
      </c>
      <c r="J529" s="77">
        <v>0</v>
      </c>
      <c r="K529" s="77">
        <v>0</v>
      </c>
      <c r="M529" s="301"/>
      <c r="N529" s="301"/>
      <c r="O529" s="301"/>
      <c r="P529" s="301"/>
      <c r="Q529" s="301"/>
      <c r="R529" s="301"/>
      <c r="S529" s="301"/>
    </row>
    <row r="530" spans="1:19" ht="12.75">
      <c r="A530" s="355">
        <f t="shared" si="36"/>
        <v>4</v>
      </c>
      <c r="B530" s="355">
        <v>0</v>
      </c>
      <c r="C530" s="355">
        <v>358</v>
      </c>
      <c r="D530" s="343">
        <v>0</v>
      </c>
      <c r="E530" s="355"/>
      <c r="F530" s="343"/>
      <c r="G530" s="154">
        <f t="shared" si="37"/>
        <v>40358000</v>
      </c>
      <c r="H530" s="77">
        <v>1866989</v>
      </c>
      <c r="I530" s="77">
        <v>1866989</v>
      </c>
      <c r="J530" s="77">
        <v>0</v>
      </c>
      <c r="K530" s="77">
        <v>0</v>
      </c>
      <c r="M530" s="301"/>
      <c r="N530" s="301"/>
      <c r="O530" s="301"/>
      <c r="P530" s="301"/>
      <c r="Q530" s="301"/>
      <c r="R530" s="301"/>
      <c r="S530" s="301"/>
    </row>
    <row r="531" spans="1:19" ht="12.75">
      <c r="A531" s="355">
        <f t="shared" si="36"/>
        <v>4</v>
      </c>
      <c r="B531" s="355">
        <v>0</v>
      </c>
      <c r="C531" s="355">
        <v>359</v>
      </c>
      <c r="D531" s="343">
        <v>0</v>
      </c>
      <c r="E531" s="355"/>
      <c r="F531" s="343"/>
      <c r="G531" s="154">
        <f t="shared" si="37"/>
        <v>40359000</v>
      </c>
      <c r="H531" s="77">
        <v>1829714</v>
      </c>
      <c r="I531" s="77">
        <v>1829714</v>
      </c>
      <c r="J531" s="77">
        <v>0</v>
      </c>
      <c r="K531" s="77">
        <v>0</v>
      </c>
      <c r="M531" s="301"/>
      <c r="N531" s="301"/>
      <c r="O531" s="301"/>
      <c r="P531" s="301"/>
      <c r="Q531" s="301"/>
      <c r="R531" s="301"/>
      <c r="S531" s="301"/>
    </row>
    <row r="532" spans="1:19" ht="12.75">
      <c r="A532" s="355">
        <f t="shared" si="36"/>
        <v>4</v>
      </c>
      <c r="B532" s="355">
        <v>0</v>
      </c>
      <c r="C532" s="355">
        <v>360</v>
      </c>
      <c r="D532" s="343">
        <v>200</v>
      </c>
      <c r="E532" s="355"/>
      <c r="F532" s="343"/>
      <c r="G532" s="154">
        <f t="shared" si="37"/>
        <v>40360200</v>
      </c>
      <c r="H532" s="77">
        <v>3964802</v>
      </c>
      <c r="I532" s="77">
        <v>0</v>
      </c>
      <c r="J532" s="77">
        <v>2993255</v>
      </c>
      <c r="K532" s="77">
        <v>971547</v>
      </c>
      <c r="M532" s="301"/>
      <c r="N532" s="301"/>
      <c r="O532" s="301"/>
      <c r="P532" s="301"/>
      <c r="Q532" s="301"/>
      <c r="R532" s="301"/>
      <c r="S532" s="301"/>
    </row>
    <row r="533" spans="1:19" ht="12.75">
      <c r="A533" s="355">
        <f t="shared" si="36"/>
        <v>4</v>
      </c>
      <c r="B533" s="355">
        <v>0</v>
      </c>
      <c r="C533" s="355">
        <v>361</v>
      </c>
      <c r="D533" s="343">
        <v>0</v>
      </c>
      <c r="E533" s="355"/>
      <c r="F533" s="343"/>
      <c r="G533" s="154">
        <f t="shared" si="37"/>
        <v>40361000</v>
      </c>
      <c r="H533" s="77">
        <v>11030038</v>
      </c>
      <c r="I533" s="77">
        <v>0</v>
      </c>
      <c r="J533" s="77">
        <v>7823751</v>
      </c>
      <c r="K533" s="77">
        <v>3206287</v>
      </c>
      <c r="M533" s="301"/>
      <c r="N533" s="301"/>
      <c r="O533" s="301"/>
      <c r="P533" s="301"/>
      <c r="Q533" s="301"/>
      <c r="R533" s="301"/>
      <c r="S533" s="301"/>
    </row>
    <row r="534" spans="1:19" ht="12.75">
      <c r="A534" s="355">
        <f t="shared" si="36"/>
        <v>4</v>
      </c>
      <c r="B534" s="355">
        <v>0</v>
      </c>
      <c r="C534" s="355">
        <v>362</v>
      </c>
      <c r="D534" s="343">
        <v>0</v>
      </c>
      <c r="E534" s="355"/>
      <c r="F534" s="343"/>
      <c r="G534" s="154">
        <f t="shared" si="37"/>
        <v>40362000</v>
      </c>
      <c r="H534" s="77">
        <v>82345475</v>
      </c>
      <c r="I534" s="77">
        <v>0</v>
      </c>
      <c r="J534" s="77">
        <v>52222817</v>
      </c>
      <c r="K534" s="77">
        <v>30122657</v>
      </c>
      <c r="M534" s="301"/>
      <c r="N534" s="301"/>
      <c r="O534" s="301"/>
      <c r="P534" s="301"/>
      <c r="Q534" s="301"/>
      <c r="R534" s="301"/>
      <c r="S534" s="301"/>
    </row>
    <row r="535" spans="1:19" ht="12.75">
      <c r="A535" s="355">
        <f t="shared" si="36"/>
        <v>4</v>
      </c>
      <c r="B535" s="355">
        <v>0</v>
      </c>
      <c r="C535" s="355">
        <v>364</v>
      </c>
      <c r="D535" s="343">
        <v>0</v>
      </c>
      <c r="E535" s="355"/>
      <c r="F535" s="343"/>
      <c r="G535" s="154">
        <f t="shared" si="37"/>
        <v>40364000</v>
      </c>
      <c r="H535" s="77">
        <v>187816356</v>
      </c>
      <c r="I535" s="77">
        <v>0</v>
      </c>
      <c r="J535" s="77">
        <v>113962912</v>
      </c>
      <c r="K535" s="77">
        <v>73853444</v>
      </c>
      <c r="M535" s="301"/>
      <c r="N535" s="301"/>
      <c r="O535" s="301"/>
      <c r="P535" s="301"/>
      <c r="Q535" s="301"/>
      <c r="R535" s="301"/>
      <c r="S535" s="301"/>
    </row>
    <row r="536" spans="1:19" ht="12.75">
      <c r="A536" s="355">
        <f t="shared" si="36"/>
        <v>4</v>
      </c>
      <c r="B536" s="355">
        <v>0</v>
      </c>
      <c r="C536" s="355">
        <v>365</v>
      </c>
      <c r="D536" s="343">
        <v>0</v>
      </c>
      <c r="E536" s="355"/>
      <c r="F536" s="343"/>
      <c r="G536" s="154">
        <f t="shared" si="37"/>
        <v>40365000</v>
      </c>
      <c r="H536" s="77">
        <v>123300939</v>
      </c>
      <c r="I536" s="77">
        <v>0</v>
      </c>
      <c r="J536" s="77">
        <v>72787659</v>
      </c>
      <c r="K536" s="77">
        <v>50513279</v>
      </c>
      <c r="M536" s="301"/>
      <c r="N536" s="301"/>
      <c r="O536" s="301"/>
      <c r="P536" s="301"/>
      <c r="Q536" s="301"/>
      <c r="R536" s="301"/>
      <c r="S536" s="301"/>
    </row>
    <row r="537" spans="1:19" ht="12.75">
      <c r="A537" s="355">
        <f t="shared" si="36"/>
        <v>4</v>
      </c>
      <c r="B537" s="355">
        <v>0</v>
      </c>
      <c r="C537" s="355">
        <v>366</v>
      </c>
      <c r="D537" s="343">
        <v>0</v>
      </c>
      <c r="E537" s="355"/>
      <c r="F537" s="343"/>
      <c r="G537" s="154">
        <f t="shared" si="37"/>
        <v>40366000</v>
      </c>
      <c r="H537" s="77">
        <v>66994181</v>
      </c>
      <c r="I537" s="77">
        <v>0</v>
      </c>
      <c r="J537" s="77">
        <v>40494659</v>
      </c>
      <c r="K537" s="77">
        <v>26499522</v>
      </c>
      <c r="M537" s="301"/>
      <c r="N537" s="301"/>
      <c r="O537" s="301"/>
      <c r="P537" s="301"/>
      <c r="Q537" s="301"/>
      <c r="R537" s="301"/>
      <c r="S537" s="301"/>
    </row>
    <row r="538" spans="1:19" ht="12.75">
      <c r="A538" s="355">
        <f t="shared" si="36"/>
        <v>4</v>
      </c>
      <c r="B538" s="355">
        <v>0</v>
      </c>
      <c r="C538" s="355">
        <v>367</v>
      </c>
      <c r="D538" s="343">
        <v>0</v>
      </c>
      <c r="E538" s="355"/>
      <c r="F538" s="343"/>
      <c r="G538" s="154">
        <f t="shared" si="37"/>
        <v>40367000</v>
      </c>
      <c r="H538" s="77">
        <v>107997544</v>
      </c>
      <c r="I538" s="77">
        <v>0</v>
      </c>
      <c r="J538" s="77">
        <v>68451430</v>
      </c>
      <c r="K538" s="77">
        <v>39546114</v>
      </c>
      <c r="M538" s="301"/>
      <c r="N538" s="301"/>
      <c r="O538" s="301"/>
      <c r="P538" s="301"/>
      <c r="Q538" s="301"/>
      <c r="R538" s="301"/>
      <c r="S538" s="301"/>
    </row>
    <row r="539" spans="1:19" ht="12.75">
      <c r="A539" s="355">
        <f t="shared" si="36"/>
        <v>4</v>
      </c>
      <c r="B539" s="355">
        <v>0</v>
      </c>
      <c r="C539" s="355">
        <v>368</v>
      </c>
      <c r="D539" s="343">
        <v>0</v>
      </c>
      <c r="E539" s="355"/>
      <c r="F539" s="343"/>
      <c r="G539" s="154">
        <f t="shared" si="37"/>
        <v>40368000</v>
      </c>
      <c r="H539" s="77">
        <v>153287028</v>
      </c>
      <c r="I539" s="77">
        <v>0</v>
      </c>
      <c r="J539" s="77">
        <v>98139115</v>
      </c>
      <c r="K539" s="77">
        <v>55147912</v>
      </c>
      <c r="M539" s="301"/>
      <c r="N539" s="301"/>
      <c r="O539" s="301"/>
      <c r="P539" s="301"/>
      <c r="Q539" s="301"/>
      <c r="R539" s="301"/>
      <c r="S539" s="301"/>
    </row>
    <row r="540" spans="1:19" ht="12.75">
      <c r="A540" s="355">
        <f t="shared" si="36"/>
        <v>4</v>
      </c>
      <c r="B540" s="355">
        <v>0</v>
      </c>
      <c r="C540" s="355">
        <v>369</v>
      </c>
      <c r="D540" s="343">
        <v>0</v>
      </c>
      <c r="E540" s="355"/>
      <c r="F540" s="343"/>
      <c r="G540" s="154">
        <f t="shared" si="37"/>
        <v>40369000</v>
      </c>
      <c r="H540" s="77">
        <v>106252809</v>
      </c>
      <c r="I540" s="77">
        <v>0</v>
      </c>
      <c r="J540" s="77">
        <v>65330288</v>
      </c>
      <c r="K540" s="77">
        <v>40922521</v>
      </c>
      <c r="M540" s="301"/>
      <c r="N540" s="301"/>
      <c r="O540" s="301"/>
      <c r="P540" s="301"/>
      <c r="Q540" s="301"/>
      <c r="R540" s="301"/>
      <c r="S540" s="301"/>
    </row>
    <row r="541" spans="1:19" ht="12.75">
      <c r="A541" s="355">
        <f t="shared" si="36"/>
        <v>4</v>
      </c>
      <c r="B541" s="355">
        <v>0</v>
      </c>
      <c r="C541" s="355">
        <v>370</v>
      </c>
      <c r="D541" s="343">
        <v>0</v>
      </c>
      <c r="E541" s="355"/>
      <c r="F541" s="343"/>
      <c r="G541" s="154">
        <f t="shared" si="37"/>
        <v>40370000</v>
      </c>
      <c r="H541" s="77">
        <v>23573061</v>
      </c>
      <c r="I541" s="77">
        <v>0</v>
      </c>
      <c r="J541" s="77">
        <v>15085599</v>
      </c>
      <c r="K541" s="77">
        <v>8487462</v>
      </c>
      <c r="M541" s="301"/>
      <c r="N541" s="301"/>
      <c r="O541" s="301"/>
      <c r="P541" s="301"/>
      <c r="Q541" s="301"/>
      <c r="R541" s="301"/>
      <c r="S541" s="301"/>
    </row>
    <row r="542" spans="1:19" ht="12.75">
      <c r="A542" s="355">
        <f t="shared" si="36"/>
        <v>4</v>
      </c>
      <c r="B542" s="355">
        <v>0</v>
      </c>
      <c r="C542" s="355">
        <v>373</v>
      </c>
      <c r="D542" s="343">
        <v>0</v>
      </c>
      <c r="E542" s="355"/>
      <c r="F542" s="343"/>
      <c r="G542" s="154">
        <f t="shared" si="37"/>
        <v>40373000</v>
      </c>
      <c r="H542" s="77">
        <v>26578521</v>
      </c>
      <c r="I542" s="77">
        <v>0</v>
      </c>
      <c r="J542" s="77">
        <v>14715908</v>
      </c>
      <c r="K542" s="77">
        <v>11862613</v>
      </c>
      <c r="M542" s="301"/>
      <c r="N542" s="301"/>
      <c r="O542" s="301"/>
      <c r="P542" s="301"/>
      <c r="Q542" s="301"/>
      <c r="R542" s="301"/>
      <c r="S542" s="301"/>
    </row>
    <row r="543" spans="1:19" ht="12.75">
      <c r="A543" s="355">
        <f t="shared" si="36"/>
        <v>4</v>
      </c>
      <c r="B543" s="355">
        <v>0</v>
      </c>
      <c r="C543" s="355">
        <v>374</v>
      </c>
      <c r="D543" s="343">
        <v>0</v>
      </c>
      <c r="E543" s="355"/>
      <c r="F543" s="343"/>
      <c r="G543" s="154">
        <f>A543*10000000+B543*1000000+C543*1000+D543</f>
        <v>40374000</v>
      </c>
      <c r="H543" s="77">
        <v>129707</v>
      </c>
      <c r="I543" s="77">
        <v>129707</v>
      </c>
      <c r="J543" s="77">
        <v>0</v>
      </c>
      <c r="K543" s="77">
        <v>0</v>
      </c>
      <c r="M543" s="301"/>
      <c r="N543" s="301"/>
      <c r="O543" s="301"/>
      <c r="P543" s="301"/>
      <c r="Q543" s="301"/>
      <c r="R543" s="301"/>
      <c r="S543" s="301"/>
    </row>
    <row r="544" spans="1:19" ht="12.75">
      <c r="A544" s="355"/>
      <c r="B544" s="355"/>
      <c r="C544" s="355"/>
      <c r="D544" s="356"/>
      <c r="E544" s="355"/>
      <c r="F544" s="343"/>
      <c r="G544" s="343"/>
      <c r="H544" s="77"/>
      <c r="I544" s="77"/>
      <c r="J544" s="77"/>
      <c r="K544" s="77"/>
      <c r="M544" s="301"/>
      <c r="N544" s="301"/>
      <c r="O544" s="301"/>
      <c r="P544" s="301"/>
      <c r="Q544" s="301"/>
      <c r="R544" s="301"/>
      <c r="S544" s="301"/>
    </row>
    <row r="545" spans="1:19" ht="12.75">
      <c r="A545" s="357" t="s">
        <v>839</v>
      </c>
      <c r="B545" s="355"/>
      <c r="C545" s="355"/>
      <c r="D545" s="356"/>
      <c r="E545" s="355"/>
      <c r="F545" s="343"/>
      <c r="G545" s="343"/>
      <c r="H545" s="77"/>
      <c r="I545" s="77"/>
      <c r="J545" s="77"/>
      <c r="K545" s="77"/>
      <c r="M545" s="301"/>
      <c r="N545" s="301"/>
      <c r="O545" s="301"/>
      <c r="P545" s="301"/>
      <c r="Q545" s="301"/>
      <c r="R545" s="301"/>
      <c r="S545" s="301"/>
    </row>
    <row r="546" spans="1:19" ht="12.75">
      <c r="A546" s="355">
        <f aca="true" t="shared" si="38" ref="A546:A557">IF(rbcalc="e",3,IF(months=1,5,4))</f>
        <v>4</v>
      </c>
      <c r="B546" s="355">
        <v>0</v>
      </c>
      <c r="C546" s="355">
        <v>101</v>
      </c>
      <c r="D546" s="361" t="s">
        <v>752</v>
      </c>
      <c r="E546" s="355"/>
      <c r="F546" s="343"/>
      <c r="G546" s="154">
        <f aca="true" t="shared" si="39" ref="G546:G551">A546*10000000+B546*1000000+C546*1000+D546</f>
        <v>40101030</v>
      </c>
      <c r="H546" s="77">
        <v>-7311234</v>
      </c>
      <c r="I546" s="77">
        <v>0</v>
      </c>
      <c r="J546" s="77">
        <v>-5247725</v>
      </c>
      <c r="K546" s="77">
        <v>-2063509</v>
      </c>
      <c r="M546" s="301"/>
      <c r="N546" s="301"/>
      <c r="O546" s="301"/>
      <c r="P546" s="301"/>
      <c r="Q546" s="301"/>
      <c r="R546" s="301"/>
      <c r="S546" s="301"/>
    </row>
    <row r="547" spans="1:19" ht="12.75">
      <c r="A547" s="355">
        <f t="shared" si="38"/>
        <v>4</v>
      </c>
      <c r="B547" s="355">
        <v>0</v>
      </c>
      <c r="C547" s="355">
        <v>101</v>
      </c>
      <c r="D547" s="343">
        <v>50</v>
      </c>
      <c r="E547" s="355"/>
      <c r="F547" s="343"/>
      <c r="G547" s="154">
        <f t="shared" si="39"/>
        <v>40101050</v>
      </c>
      <c r="H547" s="77">
        <v>-2600000</v>
      </c>
      <c r="I547" s="77">
        <v>0</v>
      </c>
      <c r="J547" s="77">
        <v>0</v>
      </c>
      <c r="K547" s="77">
        <v>-2600000</v>
      </c>
      <c r="M547" s="301"/>
      <c r="N547" s="301"/>
      <c r="O547" s="301"/>
      <c r="P547" s="301"/>
      <c r="Q547" s="301"/>
      <c r="R547" s="301"/>
      <c r="S547" s="301"/>
    </row>
    <row r="548" spans="1:19" ht="12.75">
      <c r="A548" s="355">
        <f t="shared" si="38"/>
        <v>4</v>
      </c>
      <c r="B548" s="355">
        <v>0</v>
      </c>
      <c r="C548" s="355">
        <v>102</v>
      </c>
      <c r="D548" s="356"/>
      <c r="E548" s="355"/>
      <c r="F548" s="343"/>
      <c r="G548" s="154">
        <f t="shared" si="39"/>
        <v>40102000</v>
      </c>
      <c r="H548" s="77">
        <v>0</v>
      </c>
      <c r="I548" s="77">
        <v>0</v>
      </c>
      <c r="J548" s="77">
        <v>0</v>
      </c>
      <c r="K548" s="77">
        <v>0</v>
      </c>
      <c r="M548" s="301"/>
      <c r="N548" s="301"/>
      <c r="O548" s="301"/>
      <c r="P548" s="301"/>
      <c r="Q548" s="301"/>
      <c r="R548" s="301"/>
      <c r="S548" s="301"/>
    </row>
    <row r="549" spans="1:19" ht="12.75">
      <c r="A549" s="355">
        <f t="shared" si="38"/>
        <v>4</v>
      </c>
      <c r="B549" s="355">
        <v>0</v>
      </c>
      <c r="C549" s="355">
        <v>106</v>
      </c>
      <c r="D549" s="356"/>
      <c r="E549" s="355"/>
      <c r="F549" s="343"/>
      <c r="G549" s="154">
        <f t="shared" si="39"/>
        <v>40106000</v>
      </c>
      <c r="H549" s="77"/>
      <c r="I549" s="77"/>
      <c r="J549" s="77"/>
      <c r="K549" s="77"/>
      <c r="M549" s="301"/>
      <c r="N549" s="301"/>
      <c r="O549" s="301"/>
      <c r="P549" s="301"/>
      <c r="Q549" s="301"/>
      <c r="R549" s="301"/>
      <c r="S549" s="301"/>
    </row>
    <row r="550" spans="1:19" ht="12.75">
      <c r="A550" s="355">
        <f t="shared" si="38"/>
        <v>4</v>
      </c>
      <c r="B550" s="355">
        <v>0</v>
      </c>
      <c r="C550" s="355">
        <v>108</v>
      </c>
      <c r="D550" s="362" t="s">
        <v>752</v>
      </c>
      <c r="E550" s="355"/>
      <c r="F550" s="343"/>
      <c r="G550" s="154">
        <f t="shared" si="39"/>
        <v>40108030</v>
      </c>
      <c r="H550" s="77">
        <v>5287307</v>
      </c>
      <c r="I550" s="77">
        <v>0</v>
      </c>
      <c r="J550" s="77">
        <v>3795027</v>
      </c>
      <c r="K550" s="77">
        <v>1492279</v>
      </c>
      <c r="M550" s="301" t="s">
        <v>753</v>
      </c>
      <c r="N550" s="301"/>
      <c r="O550" s="301"/>
      <c r="P550" s="301"/>
      <c r="Q550" s="301"/>
      <c r="R550" s="301"/>
      <c r="S550" s="301"/>
    </row>
    <row r="551" spans="1:19" ht="12.75">
      <c r="A551" s="355">
        <f t="shared" si="38"/>
        <v>4</v>
      </c>
      <c r="B551" s="355">
        <v>0</v>
      </c>
      <c r="C551" s="355">
        <v>108</v>
      </c>
      <c r="D551" s="362" t="s">
        <v>755</v>
      </c>
      <c r="E551" s="355"/>
      <c r="F551" s="343"/>
      <c r="G551" s="154">
        <f t="shared" si="39"/>
        <v>40108050</v>
      </c>
      <c r="H551" s="77">
        <v>624572</v>
      </c>
      <c r="I551" s="77">
        <v>0</v>
      </c>
      <c r="J551" s="77">
        <v>0</v>
      </c>
      <c r="K551" s="77">
        <v>624572</v>
      </c>
      <c r="M551" s="301" t="s">
        <v>754</v>
      </c>
      <c r="N551" s="301"/>
      <c r="O551" s="301"/>
      <c r="P551" s="301"/>
      <c r="Q551" s="301"/>
      <c r="R551" s="301"/>
      <c r="S551" s="301"/>
    </row>
    <row r="552" spans="1:19" ht="12.75">
      <c r="A552" s="355">
        <f t="shared" si="38"/>
        <v>4</v>
      </c>
      <c r="B552" s="355">
        <v>0</v>
      </c>
      <c r="C552" s="355">
        <v>124</v>
      </c>
      <c r="D552" s="356">
        <v>350</v>
      </c>
      <c r="E552" s="355"/>
      <c r="F552" s="343"/>
      <c r="G552" s="154">
        <f aca="true" t="shared" si="40" ref="G552:G571">A552*10000000+B552*1000000+C552*1000+D552</f>
        <v>40124350</v>
      </c>
      <c r="H552" s="77">
        <v>65409</v>
      </c>
      <c r="I552" s="77">
        <v>0</v>
      </c>
      <c r="J552" s="77">
        <v>0</v>
      </c>
      <c r="K552" s="77">
        <v>65409</v>
      </c>
      <c r="M552" s="301"/>
      <c r="N552" s="301"/>
      <c r="O552" s="301"/>
      <c r="P552" s="301"/>
      <c r="Q552" s="301"/>
      <c r="R552" s="301"/>
      <c r="S552" s="301"/>
    </row>
    <row r="553" spans="1:19" ht="12.75">
      <c r="A553" s="355">
        <f t="shared" si="38"/>
        <v>4</v>
      </c>
      <c r="B553" s="355">
        <v>0</v>
      </c>
      <c r="C553" s="355">
        <v>124</v>
      </c>
      <c r="D553" s="356">
        <v>900</v>
      </c>
      <c r="E553" s="355"/>
      <c r="F553" s="343"/>
      <c r="G553" s="154">
        <f t="shared" si="40"/>
        <v>40124900</v>
      </c>
      <c r="H553" s="77">
        <v>79626000</v>
      </c>
      <c r="I553" s="77">
        <v>0</v>
      </c>
      <c r="J553" s="77">
        <v>79626000</v>
      </c>
      <c r="K553" s="77">
        <v>0</v>
      </c>
      <c r="M553" s="301"/>
      <c r="N553" s="301"/>
      <c r="O553" s="301"/>
      <c r="P553" s="301"/>
      <c r="Q553" s="301"/>
      <c r="R553" s="301"/>
      <c r="S553" s="301"/>
    </row>
    <row r="554" spans="1:19" ht="12.75">
      <c r="A554" s="355">
        <f t="shared" si="38"/>
        <v>4</v>
      </c>
      <c r="B554" s="355">
        <v>0</v>
      </c>
      <c r="C554" s="355">
        <v>124</v>
      </c>
      <c r="D554" s="356">
        <v>930</v>
      </c>
      <c r="E554" s="355"/>
      <c r="F554" s="343"/>
      <c r="G554" s="154">
        <f t="shared" si="40"/>
        <v>40124930</v>
      </c>
      <c r="H554" s="77">
        <v>-51655208</v>
      </c>
      <c r="I554" s="77">
        <v>0</v>
      </c>
      <c r="J554" s="77">
        <v>-51655208</v>
      </c>
      <c r="K554" s="77">
        <v>0</v>
      </c>
      <c r="M554" s="301"/>
      <c r="N554" s="301"/>
      <c r="O554" s="301"/>
      <c r="P554" s="301"/>
      <c r="Q554" s="301"/>
      <c r="R554" s="301"/>
      <c r="S554" s="301"/>
    </row>
    <row r="555" spans="1:19" ht="12.75">
      <c r="A555" s="355">
        <f t="shared" si="38"/>
        <v>4</v>
      </c>
      <c r="B555" s="355">
        <v>7</v>
      </c>
      <c r="C555" s="355">
        <v>182</v>
      </c>
      <c r="D555" s="356">
        <v>310</v>
      </c>
      <c r="E555" s="355"/>
      <c r="F555" s="343"/>
      <c r="G555" s="154">
        <f t="shared" si="40"/>
        <v>47182310</v>
      </c>
      <c r="H555" s="77">
        <v>101416753</v>
      </c>
      <c r="I555" s="77">
        <v>101416753</v>
      </c>
      <c r="J555" s="77">
        <v>0</v>
      </c>
      <c r="K555" s="77">
        <v>0</v>
      </c>
      <c r="M555" s="301"/>
      <c r="N555" s="301"/>
      <c r="O555" s="301"/>
      <c r="P555" s="301"/>
      <c r="Q555" s="301"/>
      <c r="R555" s="301"/>
      <c r="S555" s="301"/>
    </row>
    <row r="556" spans="1:19" ht="12.75">
      <c r="A556" s="355">
        <f t="shared" si="38"/>
        <v>4</v>
      </c>
      <c r="B556" s="355">
        <v>0</v>
      </c>
      <c r="C556" s="355">
        <v>186</v>
      </c>
      <c r="D556" s="356">
        <v>100</v>
      </c>
      <c r="E556" s="355"/>
      <c r="F556" s="343"/>
      <c r="G556" s="154">
        <f t="shared" si="40"/>
        <v>40186100</v>
      </c>
      <c r="H556" s="77">
        <v>3466641</v>
      </c>
      <c r="I556" s="77">
        <v>0</v>
      </c>
      <c r="J556" s="77">
        <v>1110999</v>
      </c>
      <c r="K556" s="77">
        <v>2355642</v>
      </c>
      <c r="M556" s="301"/>
      <c r="N556" s="301"/>
      <c r="O556" s="301"/>
      <c r="P556" s="301"/>
      <c r="Q556" s="301"/>
      <c r="R556" s="301"/>
      <c r="S556" s="301"/>
    </row>
    <row r="557" spans="1:19" ht="12.75">
      <c r="A557" s="355">
        <f t="shared" si="38"/>
        <v>4</v>
      </c>
      <c r="B557" s="355">
        <v>9</v>
      </c>
      <c r="C557" s="355">
        <v>186</v>
      </c>
      <c r="D557" s="356">
        <v>11</v>
      </c>
      <c r="E557" s="355"/>
      <c r="F557" s="343"/>
      <c r="G557" s="154">
        <f t="shared" si="40"/>
        <v>49186011</v>
      </c>
      <c r="H557" s="77"/>
      <c r="I557" s="77"/>
      <c r="J557" s="77"/>
      <c r="K557" s="77"/>
      <c r="M557" s="301"/>
      <c r="N557" s="301"/>
      <c r="O557" s="301"/>
      <c r="P557" s="301"/>
      <c r="Q557" s="301"/>
      <c r="R557" s="301"/>
      <c r="S557" s="301"/>
    </row>
    <row r="558" spans="1:19" ht="12.75">
      <c r="A558" s="355">
        <f aca="true" t="shared" si="41" ref="A558:A569">IF(rbcalc="e",3,IF(months=1,5,4))</f>
        <v>4</v>
      </c>
      <c r="B558" s="355">
        <v>0</v>
      </c>
      <c r="C558" s="355">
        <v>186</v>
      </c>
      <c r="D558" s="356">
        <v>710</v>
      </c>
      <c r="E558" s="355"/>
      <c r="F558" s="343"/>
      <c r="G558" s="154">
        <f t="shared" si="40"/>
        <v>40186710</v>
      </c>
      <c r="H558" s="77">
        <v>2243985</v>
      </c>
      <c r="I558" s="77">
        <v>0</v>
      </c>
      <c r="J558" s="77">
        <v>0</v>
      </c>
      <c r="K558" s="77">
        <v>2243985</v>
      </c>
      <c r="M558" s="301" t="s">
        <v>111</v>
      </c>
      <c r="N558" s="301"/>
      <c r="O558" s="301"/>
      <c r="P558" s="301"/>
      <c r="Q558" s="301"/>
      <c r="R558" s="301"/>
      <c r="S558" s="301"/>
    </row>
    <row r="559" spans="1:19" ht="12.75">
      <c r="A559" s="355">
        <f t="shared" si="41"/>
        <v>4</v>
      </c>
      <c r="B559" s="355">
        <v>0</v>
      </c>
      <c r="C559" s="355">
        <v>186</v>
      </c>
      <c r="D559" s="356">
        <v>800</v>
      </c>
      <c r="E559" s="355"/>
      <c r="F559" s="343"/>
      <c r="G559" s="154">
        <f t="shared" si="40"/>
        <v>40186800</v>
      </c>
      <c r="H559" s="77">
        <v>568444</v>
      </c>
      <c r="I559" s="77">
        <v>0</v>
      </c>
      <c r="J559" s="77">
        <v>238108</v>
      </c>
      <c r="K559" s="77">
        <v>330336</v>
      </c>
      <c r="M559" s="301"/>
      <c r="N559" s="301"/>
      <c r="O559" s="301"/>
      <c r="P559" s="301"/>
      <c r="Q559" s="301"/>
      <c r="R559" s="301"/>
      <c r="S559" s="301"/>
    </row>
    <row r="560" spans="1:19" ht="12.75">
      <c r="A560" s="355">
        <f t="shared" si="41"/>
        <v>4</v>
      </c>
      <c r="B560" s="355">
        <v>0</v>
      </c>
      <c r="C560" s="355">
        <v>190</v>
      </c>
      <c r="D560" s="343">
        <v>40</v>
      </c>
      <c r="E560" s="355"/>
      <c r="F560" s="343"/>
      <c r="G560" s="154">
        <f t="shared" si="40"/>
        <v>40190040</v>
      </c>
      <c r="H560" s="77">
        <v>683454</v>
      </c>
      <c r="I560" s="77">
        <v>0</v>
      </c>
      <c r="J560" s="77">
        <v>0</v>
      </c>
      <c r="K560" s="77">
        <v>683454</v>
      </c>
      <c r="M560" s="301" t="s">
        <v>671</v>
      </c>
      <c r="N560" s="301"/>
      <c r="O560" s="301"/>
      <c r="P560" s="301"/>
      <c r="Q560" s="301"/>
      <c r="R560" s="301"/>
      <c r="S560" s="301"/>
    </row>
    <row r="561" spans="1:19" ht="12.75">
      <c r="A561" s="355">
        <f t="shared" si="41"/>
        <v>4</v>
      </c>
      <c r="B561" s="355">
        <v>0</v>
      </c>
      <c r="C561" s="355">
        <v>190</v>
      </c>
      <c r="D561" s="356">
        <v>610</v>
      </c>
      <c r="E561" s="355"/>
      <c r="F561" s="343"/>
      <c r="G561" s="154">
        <f t="shared" si="40"/>
        <v>40190610</v>
      </c>
      <c r="H561" s="77">
        <v>11431827</v>
      </c>
      <c r="I561" s="77">
        <v>0</v>
      </c>
      <c r="J561" s="77">
        <v>7245701</v>
      </c>
      <c r="K561" s="77">
        <v>4186126</v>
      </c>
      <c r="M561" s="301"/>
      <c r="N561" s="301"/>
      <c r="O561" s="301"/>
      <c r="P561" s="301"/>
      <c r="Q561" s="301"/>
      <c r="R561" s="301"/>
      <c r="S561" s="301"/>
    </row>
    <row r="562" spans="1:19" ht="12.75">
      <c r="A562" s="355">
        <f t="shared" si="41"/>
        <v>4</v>
      </c>
      <c r="B562" s="355">
        <v>9</v>
      </c>
      <c r="C562" s="355">
        <v>190</v>
      </c>
      <c r="D562" s="356">
        <v>63</v>
      </c>
      <c r="E562" s="355"/>
      <c r="F562" s="343"/>
      <c r="G562" s="154">
        <f t="shared" si="40"/>
        <v>49190063</v>
      </c>
      <c r="H562" s="77"/>
      <c r="I562" s="77"/>
      <c r="J562" s="77"/>
      <c r="K562" s="77"/>
      <c r="M562" s="301"/>
      <c r="N562" s="301"/>
      <c r="O562" s="301"/>
      <c r="P562" s="301"/>
      <c r="Q562" s="301"/>
      <c r="R562" s="301"/>
      <c r="S562" s="301"/>
    </row>
    <row r="563" spans="1:19" ht="12.75">
      <c r="A563" s="355">
        <f t="shared" si="41"/>
        <v>4</v>
      </c>
      <c r="B563" s="355">
        <v>0</v>
      </c>
      <c r="C563" s="355">
        <v>190</v>
      </c>
      <c r="D563" s="356">
        <v>850</v>
      </c>
      <c r="E563" s="355"/>
      <c r="F563" s="343"/>
      <c r="G563" s="154">
        <f t="shared" si="40"/>
        <v>40190850</v>
      </c>
      <c r="H563" s="77">
        <v>257375</v>
      </c>
      <c r="I563" s="77">
        <v>257375</v>
      </c>
      <c r="J563" s="77">
        <v>0</v>
      </c>
      <c r="K563" s="77">
        <v>0</v>
      </c>
      <c r="M563" s="301"/>
      <c r="N563" s="301"/>
      <c r="O563" s="301"/>
      <c r="P563" s="301"/>
      <c r="Q563" s="301"/>
      <c r="R563" s="301"/>
      <c r="S563" s="301"/>
    </row>
    <row r="564" spans="1:19" ht="12.75">
      <c r="A564" s="355">
        <f t="shared" si="41"/>
        <v>4</v>
      </c>
      <c r="B564" s="355">
        <v>0</v>
      </c>
      <c r="C564" s="355">
        <v>253</v>
      </c>
      <c r="D564" s="356">
        <v>850</v>
      </c>
      <c r="E564" s="355"/>
      <c r="F564" s="343"/>
      <c r="G564" s="154">
        <f t="shared" si="40"/>
        <v>40253850</v>
      </c>
      <c r="H564" s="77">
        <v>-735345</v>
      </c>
      <c r="I564" s="77">
        <v>-735345</v>
      </c>
      <c r="J564" s="77">
        <v>0</v>
      </c>
      <c r="K564" s="77">
        <v>0</v>
      </c>
      <c r="M564" s="301"/>
      <c r="N564" s="301"/>
      <c r="O564" s="301"/>
      <c r="P564" s="301"/>
      <c r="Q564" s="301"/>
      <c r="R564" s="301"/>
      <c r="S564" s="301"/>
    </row>
    <row r="565" spans="1:19" ht="12.75">
      <c r="A565" s="355">
        <f t="shared" si="41"/>
        <v>4</v>
      </c>
      <c r="B565" s="355">
        <v>0</v>
      </c>
      <c r="C565" s="355">
        <v>254</v>
      </c>
      <c r="D565" s="356">
        <v>110</v>
      </c>
      <c r="E565" s="355"/>
      <c r="F565" s="343"/>
      <c r="G565" s="154">
        <f t="shared" si="40"/>
        <v>40254110</v>
      </c>
      <c r="H565" s="77"/>
      <c r="I565" s="77"/>
      <c r="J565" s="77"/>
      <c r="K565" s="77"/>
      <c r="M565" s="301" t="s">
        <v>668</v>
      </c>
      <c r="N565" s="301"/>
      <c r="O565" s="301"/>
      <c r="P565" s="301"/>
      <c r="Q565" s="301"/>
      <c r="R565" s="301"/>
      <c r="S565" s="301"/>
    </row>
    <row r="566" spans="1:19" ht="12.75">
      <c r="A566" s="355">
        <f t="shared" si="41"/>
        <v>4</v>
      </c>
      <c r="B566" s="355">
        <v>0</v>
      </c>
      <c r="C566" s="355">
        <v>282</v>
      </c>
      <c r="D566" s="356">
        <v>900</v>
      </c>
      <c r="E566" s="355"/>
      <c r="F566" s="343"/>
      <c r="G566" s="154">
        <f t="shared" si="40"/>
        <v>40282900</v>
      </c>
      <c r="H566" s="77">
        <v>-222668508</v>
      </c>
      <c r="I566" s="77">
        <v>-222668508</v>
      </c>
      <c r="J566" s="77">
        <v>0</v>
      </c>
      <c r="K566" s="77">
        <v>0</v>
      </c>
      <c r="M566" s="301"/>
      <c r="N566" s="301"/>
      <c r="O566" s="301"/>
      <c r="P566" s="301"/>
      <c r="Q566" s="301"/>
      <c r="R566" s="301"/>
      <c r="S566" s="301"/>
    </row>
    <row r="567" spans="1:19" ht="12.75">
      <c r="A567" s="355">
        <f t="shared" si="41"/>
        <v>4</v>
      </c>
      <c r="B567" s="355">
        <v>7</v>
      </c>
      <c r="C567" s="355">
        <v>282</v>
      </c>
      <c r="D567" s="356">
        <v>900</v>
      </c>
      <c r="E567" s="355"/>
      <c r="F567" s="343"/>
      <c r="G567" s="154">
        <f t="shared" si="40"/>
        <v>47282900</v>
      </c>
      <c r="H567" s="77">
        <v>-9338525</v>
      </c>
      <c r="I567" s="77">
        <v>-9338525</v>
      </c>
      <c r="J567" s="77">
        <v>0</v>
      </c>
      <c r="K567" s="77">
        <v>0</v>
      </c>
      <c r="M567" s="301"/>
      <c r="N567" s="301"/>
      <c r="O567" s="301"/>
      <c r="P567" s="301"/>
      <c r="Q567" s="301"/>
      <c r="R567" s="301"/>
      <c r="S567" s="301"/>
    </row>
    <row r="568" spans="1:19" ht="12.75">
      <c r="A568" s="355">
        <f t="shared" si="41"/>
        <v>4</v>
      </c>
      <c r="B568" s="355">
        <v>8</v>
      </c>
      <c r="C568" s="355">
        <v>282</v>
      </c>
      <c r="D568" s="356">
        <v>900</v>
      </c>
      <c r="E568" s="355"/>
      <c r="F568" s="343"/>
      <c r="G568" s="154">
        <f t="shared" si="40"/>
        <v>48282900</v>
      </c>
      <c r="H568" s="77">
        <v>0</v>
      </c>
      <c r="I568" s="77">
        <v>0</v>
      </c>
      <c r="J568" s="77">
        <v>0</v>
      </c>
      <c r="K568" s="77">
        <v>0</v>
      </c>
      <c r="M568" s="301"/>
      <c r="N568" s="301"/>
      <c r="O568" s="301"/>
      <c r="P568" s="301"/>
      <c r="Q568" s="301"/>
      <c r="R568" s="301"/>
      <c r="S568" s="301"/>
    </row>
    <row r="569" spans="1:19" ht="12.75">
      <c r="A569" s="355">
        <f t="shared" si="41"/>
        <v>4</v>
      </c>
      <c r="B569" s="355">
        <v>9</v>
      </c>
      <c r="C569" s="355">
        <v>282</v>
      </c>
      <c r="D569" s="356">
        <v>900</v>
      </c>
      <c r="E569" s="355"/>
      <c r="F569" s="343"/>
      <c r="G569" s="154">
        <f t="shared" si="40"/>
        <v>49282900</v>
      </c>
      <c r="H569" s="77">
        <v>-1531264</v>
      </c>
      <c r="I569" s="77">
        <v>-1531264</v>
      </c>
      <c r="J569" s="77">
        <v>0</v>
      </c>
      <c r="K569" s="77">
        <v>0</v>
      </c>
      <c r="M569" s="301"/>
      <c r="N569" s="301"/>
      <c r="O569" s="301"/>
      <c r="P569" s="301"/>
      <c r="Q569" s="301"/>
      <c r="R569" s="301"/>
      <c r="S569" s="301"/>
    </row>
    <row r="570" spans="1:19" ht="12.75">
      <c r="A570" s="355">
        <f>IF(rbcalc="e",3,IF(months=1,5,4))</f>
        <v>4</v>
      </c>
      <c r="B570" s="355">
        <v>7</v>
      </c>
      <c r="C570" s="355">
        <v>283</v>
      </c>
      <c r="D570" s="356">
        <v>150</v>
      </c>
      <c r="E570" s="355"/>
      <c r="F570" s="343"/>
      <c r="G570" s="154">
        <f t="shared" si="40"/>
        <v>47283150</v>
      </c>
      <c r="H570" s="77">
        <v>106556</v>
      </c>
      <c r="I570" s="77">
        <v>106556</v>
      </c>
      <c r="J570" s="77">
        <v>0</v>
      </c>
      <c r="K570" s="77">
        <v>0</v>
      </c>
      <c r="M570" s="301"/>
      <c r="N570" s="301"/>
      <c r="O570" s="301"/>
      <c r="P570" s="301"/>
      <c r="Q570" s="301"/>
      <c r="R570" s="301"/>
      <c r="S570" s="301"/>
    </row>
    <row r="571" spans="1:19" ht="12.75">
      <c r="A571" s="355">
        <f>IF(rbcalc="e",3,IF(months=1,5,4))</f>
        <v>4</v>
      </c>
      <c r="B571" s="355">
        <v>7</v>
      </c>
      <c r="C571" s="355">
        <v>283</v>
      </c>
      <c r="D571" s="356">
        <v>170</v>
      </c>
      <c r="E571" s="355"/>
      <c r="F571" s="343"/>
      <c r="G571" s="154">
        <f t="shared" si="40"/>
        <v>47283170</v>
      </c>
      <c r="H571" s="77">
        <v>-101416753</v>
      </c>
      <c r="I571" s="77">
        <v>-101416753</v>
      </c>
      <c r="J571" s="77">
        <v>0</v>
      </c>
      <c r="K571" s="77">
        <v>0</v>
      </c>
      <c r="M571" s="301"/>
      <c r="N571" s="301"/>
      <c r="O571" s="301"/>
      <c r="P571" s="301"/>
      <c r="Q571" s="301"/>
      <c r="R571" s="301"/>
      <c r="S571" s="301"/>
    </row>
    <row r="572" spans="1:19" ht="12.75">
      <c r="A572" s="355">
        <f>IF(rbcalc="e",3,IF(months=1,5,4))</f>
        <v>4</v>
      </c>
      <c r="B572" s="355">
        <v>0</v>
      </c>
      <c r="C572" s="355">
        <v>283</v>
      </c>
      <c r="D572" s="356">
        <v>200</v>
      </c>
      <c r="E572" s="355"/>
      <c r="F572" s="343"/>
      <c r="G572" s="154">
        <f>A572*10000000+B572*1000000+C572*1000+D572</f>
        <v>40283200</v>
      </c>
      <c r="H572" s="77">
        <v>-697837</v>
      </c>
      <c r="I572" s="77">
        <v>-697837</v>
      </c>
      <c r="J572" s="77">
        <v>0</v>
      </c>
      <c r="K572" s="77">
        <v>0</v>
      </c>
      <c r="M572" s="301"/>
      <c r="N572" s="301"/>
      <c r="O572" s="301"/>
      <c r="P572" s="301"/>
      <c r="Q572" s="301"/>
      <c r="R572" s="301"/>
      <c r="S572" s="301"/>
    </row>
    <row r="573" spans="1:19" ht="12.75">
      <c r="A573" s="355">
        <f>IF(rbcalc="e",3,IF(months=1,5,4))</f>
        <v>4</v>
      </c>
      <c r="B573" s="355">
        <v>0</v>
      </c>
      <c r="C573" s="355">
        <v>283</v>
      </c>
      <c r="D573" s="356">
        <v>720</v>
      </c>
      <c r="E573" s="355"/>
      <c r="F573" s="343"/>
      <c r="G573" s="154">
        <f>A573*10000000+B573*1000000+C573*1000+D573</f>
        <v>40283720</v>
      </c>
      <c r="H573" s="77">
        <v>-785395</v>
      </c>
      <c r="I573" s="77">
        <v>0</v>
      </c>
      <c r="J573" s="77">
        <v>0</v>
      </c>
      <c r="K573" s="77">
        <v>-785395</v>
      </c>
      <c r="M573" s="301"/>
      <c r="N573" s="301"/>
      <c r="O573" s="301"/>
      <c r="P573" s="301"/>
      <c r="Q573" s="301"/>
      <c r="R573" s="301"/>
      <c r="S573" s="301"/>
    </row>
    <row r="574" spans="1:19" ht="12.75">
      <c r="A574" s="355">
        <f>IF(rbcalc="e",3,IF(months=1,5,4))</f>
        <v>4</v>
      </c>
      <c r="B574" s="355">
        <v>7</v>
      </c>
      <c r="C574" s="355">
        <v>283</v>
      </c>
      <c r="D574" s="356">
        <v>850</v>
      </c>
      <c r="E574" s="355"/>
      <c r="F574" s="343"/>
      <c r="G574" s="154">
        <f>A574*10000000+B574*1000000+C574*1000+D574</f>
        <v>47283850</v>
      </c>
      <c r="H574" s="77">
        <v>-5226667</v>
      </c>
      <c r="I574" s="77">
        <v>-5226667</v>
      </c>
      <c r="J574" s="77">
        <v>0</v>
      </c>
      <c r="K574" s="77">
        <v>0</v>
      </c>
      <c r="M574" s="301"/>
      <c r="N574" s="301"/>
      <c r="O574" s="301"/>
      <c r="P574" s="301"/>
      <c r="Q574" s="301"/>
      <c r="R574" s="301"/>
      <c r="S574" s="301"/>
    </row>
    <row r="575" spans="1:19" ht="12.75">
      <c r="A575" s="355"/>
      <c r="B575" s="355"/>
      <c r="C575" s="355"/>
      <c r="D575" s="356"/>
      <c r="E575" s="340"/>
      <c r="F575" s="350"/>
      <c r="G575" s="350"/>
      <c r="H575" s="77"/>
      <c r="I575" s="77"/>
      <c r="J575" s="77"/>
      <c r="K575" s="77"/>
      <c r="M575" s="301"/>
      <c r="N575" s="301"/>
      <c r="O575" s="301"/>
      <c r="P575" s="301"/>
      <c r="Q575" s="301"/>
      <c r="R575" s="301"/>
      <c r="S575" s="301"/>
    </row>
    <row r="576" spans="1:19" ht="12.75">
      <c r="A576" s="360" t="s">
        <v>840</v>
      </c>
      <c r="B576" s="355"/>
      <c r="C576" s="355"/>
      <c r="D576" s="356"/>
      <c r="E576" s="340"/>
      <c r="F576" s="350"/>
      <c r="G576" s="350"/>
      <c r="H576" s="77"/>
      <c r="I576" s="77"/>
      <c r="J576" s="77"/>
      <c r="K576" s="77"/>
      <c r="M576" s="301"/>
      <c r="N576" s="301"/>
      <c r="O576" s="301"/>
      <c r="P576" s="301"/>
      <c r="Q576" s="301"/>
      <c r="R576" s="301"/>
      <c r="S576" s="301"/>
    </row>
    <row r="577" spans="1:19" ht="12.75">
      <c r="A577" s="355">
        <f>IF(months=1,1,2)</f>
        <v>2</v>
      </c>
      <c r="B577" s="355">
        <v>0</v>
      </c>
      <c r="C577" s="355">
        <v>908</v>
      </c>
      <c r="D577" s="356">
        <v>79</v>
      </c>
      <c r="E577" s="340"/>
      <c r="F577" s="350"/>
      <c r="G577" s="154">
        <f>A577*10000000+B577*1000000+C577*1000+D577</f>
        <v>20908079</v>
      </c>
      <c r="H577" s="77"/>
      <c r="I577" s="77"/>
      <c r="J577" s="77"/>
      <c r="K577" s="77"/>
      <c r="M577" s="301"/>
      <c r="N577" s="301"/>
      <c r="O577" s="301"/>
      <c r="P577" s="301"/>
      <c r="Q577" s="301"/>
      <c r="R577" s="301"/>
      <c r="S577" s="301"/>
    </row>
    <row r="578" spans="1:19" ht="12.75">
      <c r="A578" s="301" t="s">
        <v>841</v>
      </c>
      <c r="B578" s="340"/>
      <c r="C578" s="340"/>
      <c r="D578" s="341"/>
      <c r="E578" s="340"/>
      <c r="F578" s="350"/>
      <c r="G578" s="350"/>
      <c r="I578" s="301"/>
      <c r="J578" s="301"/>
      <c r="K578" s="301"/>
      <c r="L578" s="301"/>
      <c r="M578" s="301"/>
      <c r="N578" s="301"/>
      <c r="O578" s="301"/>
      <c r="P578" s="301"/>
      <c r="Q578" s="301"/>
      <c r="R578" s="301"/>
      <c r="S578" s="301"/>
    </row>
    <row r="579" spans="1:19" ht="12.75">
      <c r="A579" s="302"/>
      <c r="B579" s="340"/>
      <c r="C579" s="340"/>
      <c r="D579" s="341"/>
      <c r="E579" s="340"/>
      <c r="F579" s="350"/>
      <c r="G579" s="350"/>
      <c r="H579" s="301"/>
      <c r="I579" s="301"/>
      <c r="J579" s="301"/>
      <c r="K579" s="301"/>
      <c r="L579" s="301"/>
      <c r="M579" s="301"/>
      <c r="N579" s="301"/>
      <c r="O579" s="301"/>
      <c r="P579" s="301"/>
      <c r="Q579" s="301"/>
      <c r="R579" s="301"/>
      <c r="S579" s="301"/>
    </row>
  </sheetData>
  <printOptions/>
  <pageMargins left="0.75" right="0.75" top="1" bottom="1" header="0.5" footer="0.5"/>
  <pageSetup horizontalDpi="300" verticalDpi="300" orientation="portrait" r:id="rId3"/>
  <ignoredErrors>
    <ignoredError sqref="M168:S173 M415:S579 M276:S413 M163:S166 N89:S162 M89:M102 M104:M162 M175:S175 M177:S177 M261:S274 M179:S191 M197:S259 M194:S195 M46:S87" evalError="1"/>
  </ignoredErrors>
  <legacyDrawing r:id="rId2"/>
</worksheet>
</file>

<file path=xl/worksheets/sheet4.xml><?xml version="1.0" encoding="utf-8"?>
<worksheet xmlns="http://schemas.openxmlformats.org/spreadsheetml/2006/main" xmlns:r="http://schemas.openxmlformats.org/officeDocument/2006/relationships">
  <sheetPr codeName="Sheet3"/>
  <dimension ref="A1:R151"/>
  <sheetViews>
    <sheetView workbookViewId="0" topLeftCell="A1">
      <pane xSplit="5" ySplit="5" topLeftCell="F6" activePane="bottomRight" state="frozen"/>
      <selection pane="topLeft" activeCell="H8" sqref="H8"/>
      <selection pane="topRight" activeCell="H8" sqref="H8"/>
      <selection pane="bottomLeft" activeCell="H8" sqref="H8"/>
      <selection pane="bottomRight" activeCell="F6" sqref="F6"/>
    </sheetView>
  </sheetViews>
  <sheetFormatPr defaultColWidth="9.00390625" defaultRowHeight="12.75"/>
  <cols>
    <col min="1" max="1" width="8.875" style="84" customWidth="1"/>
    <col min="2" max="2" width="12.875" style="84" customWidth="1"/>
    <col min="3" max="4" width="15.875" style="84" customWidth="1"/>
    <col min="5" max="5" width="16.50390625" style="84" bestFit="1" customWidth="1"/>
    <col min="6" max="6" width="17.625" style="84" bestFit="1" customWidth="1"/>
    <col min="7" max="7" width="17.125" style="84" bestFit="1" customWidth="1"/>
    <col min="8" max="8" width="16.375" style="84" bestFit="1" customWidth="1"/>
    <col min="9" max="9" width="15.125" style="84" bestFit="1" customWidth="1"/>
    <col min="10" max="16384" width="9.375" style="84" customWidth="1"/>
  </cols>
  <sheetData>
    <row r="1" spans="1:18" ht="13.5" customHeight="1">
      <c r="A1" s="205"/>
      <c r="B1" s="116"/>
      <c r="C1" s="116"/>
      <c r="D1" s="206"/>
      <c r="E1" s="116"/>
      <c r="F1" s="207"/>
      <c r="G1" s="77"/>
      <c r="H1" s="77"/>
      <c r="I1" s="77"/>
      <c r="J1" s="77"/>
      <c r="K1" s="77"/>
      <c r="L1" s="77"/>
      <c r="M1" s="77"/>
      <c r="N1" s="77"/>
      <c r="O1" s="77"/>
      <c r="P1" s="77"/>
      <c r="Q1" s="77"/>
      <c r="R1" s="77"/>
    </row>
    <row r="2" spans="1:18" ht="13.5" customHeight="1">
      <c r="A2" s="85" t="s">
        <v>875</v>
      </c>
      <c r="B2" s="86"/>
      <c r="C2" s="87"/>
      <c r="D2" s="88"/>
      <c r="E2" s="89" t="s">
        <v>725</v>
      </c>
      <c r="F2" s="77"/>
      <c r="G2" s="77"/>
      <c r="H2" s="77"/>
      <c r="I2" s="77"/>
      <c r="J2" s="77"/>
      <c r="K2" s="77"/>
      <c r="L2" s="77"/>
      <c r="M2" s="77"/>
      <c r="N2" s="77"/>
      <c r="O2" s="77"/>
      <c r="P2" s="77"/>
      <c r="Q2" s="77"/>
      <c r="R2" s="77"/>
    </row>
    <row r="3" spans="1:18" ht="13.5" customHeight="1">
      <c r="A3" s="91" t="str">
        <f>tp_heading</f>
        <v>For Twelve Months Ended September 30, 2008</v>
      </c>
      <c r="D3" s="92"/>
      <c r="E3" s="93" t="str">
        <f>"E-ALL-"&amp;months&amp;rbcalc</f>
        <v>E-ALL-12A</v>
      </c>
      <c r="F3" s="77"/>
      <c r="G3" s="77"/>
      <c r="H3" s="77"/>
      <c r="I3" s="77"/>
      <c r="J3" s="77"/>
      <c r="K3" s="77"/>
      <c r="L3" s="77"/>
      <c r="M3" s="77"/>
      <c r="N3" s="77"/>
      <c r="O3" s="77"/>
      <c r="P3" s="77"/>
      <c r="Q3" s="77"/>
      <c r="R3" s="77"/>
    </row>
    <row r="4" spans="1:18" ht="13.5" customHeight="1">
      <c r="A4" s="94" t="str">
        <f>rbcalc_heading</f>
        <v>Average of Monthly Averages Basis</v>
      </c>
      <c r="B4" s="95"/>
      <c r="C4" s="96"/>
      <c r="D4" s="97"/>
      <c r="E4" s="98"/>
      <c r="F4" s="77"/>
      <c r="G4" s="77"/>
      <c r="H4" s="77"/>
      <c r="I4" s="77"/>
      <c r="J4" s="77"/>
      <c r="K4" s="77"/>
      <c r="L4" s="77"/>
      <c r="M4" s="77"/>
      <c r="N4" s="77"/>
      <c r="O4" s="77"/>
      <c r="P4" s="77"/>
      <c r="Q4" s="77"/>
      <c r="R4" s="77"/>
    </row>
    <row r="5" spans="1:18" ht="13.5" customHeight="1">
      <c r="A5" s="99" t="s">
        <v>876</v>
      </c>
      <c r="B5" s="100" t="s">
        <v>877</v>
      </c>
      <c r="C5" s="99" t="s">
        <v>844</v>
      </c>
      <c r="D5" s="96"/>
      <c r="E5" s="96"/>
      <c r="F5" s="99" t="s">
        <v>878</v>
      </c>
      <c r="G5" s="99" t="s">
        <v>861</v>
      </c>
      <c r="H5" s="99" t="s">
        <v>862</v>
      </c>
      <c r="I5" s="101"/>
      <c r="J5" s="82"/>
      <c r="K5" s="82"/>
      <c r="L5" s="77"/>
      <c r="M5" s="77"/>
      <c r="N5" s="77"/>
      <c r="O5" s="77"/>
      <c r="P5" s="77"/>
      <c r="Q5" s="77"/>
      <c r="R5" s="77"/>
    </row>
    <row r="6" spans="2:18" ht="13.5" customHeight="1">
      <c r="B6" s="83"/>
      <c r="C6" s="77"/>
      <c r="F6" s="77"/>
      <c r="G6" s="77"/>
      <c r="H6" s="77"/>
      <c r="I6" s="109"/>
      <c r="J6" s="77"/>
      <c r="K6" s="77"/>
      <c r="L6" s="77"/>
      <c r="M6" s="77"/>
      <c r="N6" s="77"/>
      <c r="O6" s="77"/>
      <c r="P6" s="77"/>
      <c r="Q6" s="77"/>
      <c r="R6" s="77"/>
    </row>
    <row r="7" spans="1:18" ht="13.5" customHeight="1" thickBot="1">
      <c r="A7" s="82">
        <v>1</v>
      </c>
      <c r="B7" s="82" t="s">
        <v>879</v>
      </c>
      <c r="C7" s="77" t="s">
        <v>880</v>
      </c>
      <c r="E7" s="208">
        <v>37985</v>
      </c>
      <c r="F7" s="209">
        <f>+G7+H7</f>
        <v>1</v>
      </c>
      <c r="G7" s="210">
        <v>0.6459</v>
      </c>
      <c r="H7" s="210">
        <v>0.3541</v>
      </c>
      <c r="I7" s="77" t="str">
        <f>IF(F7=1," ",1)</f>
        <v> </v>
      </c>
      <c r="J7" s="77"/>
      <c r="K7" s="77"/>
      <c r="L7" s="211"/>
      <c r="M7" s="77"/>
      <c r="N7" s="77"/>
      <c r="O7" s="77"/>
      <c r="P7" s="77"/>
      <c r="Q7" s="77"/>
      <c r="R7" s="77"/>
    </row>
    <row r="8" spans="1:18" ht="13.5" customHeight="1" thickTop="1">
      <c r="A8" s="82"/>
      <c r="B8" s="82"/>
      <c r="C8" s="77"/>
      <c r="E8" s="212"/>
      <c r="F8" s="118"/>
      <c r="G8" s="118"/>
      <c r="H8" s="118"/>
      <c r="I8" s="117"/>
      <c r="J8" s="77"/>
      <c r="K8" s="77"/>
      <c r="L8" s="211"/>
      <c r="M8" s="77"/>
      <c r="N8" s="77"/>
      <c r="O8" s="77"/>
      <c r="P8" s="77"/>
      <c r="Q8" s="77"/>
      <c r="R8" s="77"/>
    </row>
    <row r="9" spans="1:18" ht="13.5" customHeight="1">
      <c r="A9" s="82"/>
      <c r="B9" s="82"/>
      <c r="C9" s="77"/>
      <c r="E9" s="213"/>
      <c r="F9" s="117"/>
      <c r="G9" s="117"/>
      <c r="H9" s="117"/>
      <c r="I9" s="117"/>
      <c r="J9" s="77"/>
      <c r="K9" s="77"/>
      <c r="L9" s="77"/>
      <c r="M9" s="77"/>
      <c r="N9" s="77"/>
      <c r="O9" s="77"/>
      <c r="P9" s="77"/>
      <c r="Q9" s="77"/>
      <c r="R9" s="77"/>
    </row>
    <row r="10" spans="2:18" ht="13.5" customHeight="1">
      <c r="B10" s="82" t="s">
        <v>879</v>
      </c>
      <c r="C10" s="77" t="s">
        <v>881</v>
      </c>
      <c r="E10" s="212">
        <f>+'E-CHK'!E95</f>
        <v>38259</v>
      </c>
      <c r="F10" s="77">
        <f>+G10+H10</f>
        <v>351432</v>
      </c>
      <c r="G10" s="77">
        <f>+'E-CHK'!G95</f>
        <v>231096</v>
      </c>
      <c r="H10" s="77">
        <f>+'E-CHK'!H95</f>
        <v>120336</v>
      </c>
      <c r="I10" s="77"/>
      <c r="J10" s="77"/>
      <c r="K10" s="77"/>
      <c r="L10" s="77"/>
      <c r="M10" s="77"/>
      <c r="N10" s="77"/>
      <c r="O10" s="77"/>
      <c r="P10" s="77"/>
      <c r="Q10" s="77"/>
      <c r="R10" s="77"/>
    </row>
    <row r="11" spans="1:18" ht="13.5" customHeight="1" thickBot="1">
      <c r="A11" s="82">
        <v>2</v>
      </c>
      <c r="C11" s="77" t="s">
        <v>882</v>
      </c>
      <c r="E11" s="213"/>
      <c r="F11" s="214">
        <f>+G11+H11</f>
        <v>1</v>
      </c>
      <c r="G11" s="214">
        <f>G10/F10</f>
        <v>0.65758</v>
      </c>
      <c r="H11" s="214">
        <f>H10/F10</f>
        <v>0.34242</v>
      </c>
      <c r="I11" s="117"/>
      <c r="J11" s="77"/>
      <c r="K11" s="77"/>
      <c r="L11" s="77"/>
      <c r="M11" s="77"/>
      <c r="N11" s="77"/>
      <c r="O11" s="77"/>
      <c r="P11" s="77"/>
      <c r="Q11" s="77"/>
      <c r="R11" s="77"/>
    </row>
    <row r="12" spans="1:18" ht="13.5" customHeight="1" thickTop="1">
      <c r="A12" s="82"/>
      <c r="C12" s="77"/>
      <c r="E12" s="213"/>
      <c r="F12" s="117"/>
      <c r="G12" s="117"/>
      <c r="H12" s="117"/>
      <c r="I12" s="117"/>
      <c r="J12" s="77"/>
      <c r="K12" s="77"/>
      <c r="L12" s="77"/>
      <c r="M12" s="77"/>
      <c r="N12" s="77"/>
      <c r="O12" s="77"/>
      <c r="P12" s="77"/>
      <c r="Q12" s="77"/>
      <c r="R12" s="77"/>
    </row>
    <row r="13" spans="1:18" ht="13.5" customHeight="1">
      <c r="A13" s="82"/>
      <c r="B13" s="82"/>
      <c r="C13" s="77"/>
      <c r="E13" s="213"/>
      <c r="F13" s="117"/>
      <c r="G13" s="117"/>
      <c r="H13" s="117"/>
      <c r="I13" s="117"/>
      <c r="J13" s="77"/>
      <c r="K13" s="77"/>
      <c r="L13" s="77"/>
      <c r="M13" s="77"/>
      <c r="N13" s="77"/>
      <c r="O13" s="77"/>
      <c r="P13" s="77"/>
      <c r="Q13" s="77"/>
      <c r="R13" s="77"/>
    </row>
    <row r="14" spans="2:18" ht="13.5" customHeight="1">
      <c r="B14" s="82" t="s">
        <v>737</v>
      </c>
      <c r="C14" s="77" t="s">
        <v>883</v>
      </c>
      <c r="E14" s="213"/>
      <c r="F14" s="77">
        <f>'Electric Operations - IS'!F150</f>
        <v>20146255</v>
      </c>
      <c r="G14" s="77">
        <f>'Electric Operations - IS'!I150</f>
        <v>13461886</v>
      </c>
      <c r="H14" s="77">
        <f>'Electric Operations - IS'!L150</f>
        <v>6684369</v>
      </c>
      <c r="I14" s="77"/>
      <c r="J14" s="77"/>
      <c r="K14" s="77"/>
      <c r="L14" s="77"/>
      <c r="M14" s="77"/>
      <c r="N14" s="77"/>
      <c r="O14" s="77"/>
      <c r="P14" s="77"/>
      <c r="Q14" s="77"/>
      <c r="R14" s="77"/>
    </row>
    <row r="15" spans="1:18" ht="13.5" customHeight="1" thickBot="1">
      <c r="A15" s="82">
        <v>3</v>
      </c>
      <c r="C15" s="77" t="s">
        <v>882</v>
      </c>
      <c r="E15" s="213"/>
      <c r="F15" s="214">
        <f>+G15+H15</f>
        <v>1</v>
      </c>
      <c r="G15" s="214">
        <f>G14/F14</f>
        <v>0.66821</v>
      </c>
      <c r="H15" s="214">
        <f>H14/F14</f>
        <v>0.33179</v>
      </c>
      <c r="I15" s="117"/>
      <c r="J15" s="77" t="str">
        <f>IF(F15=1," ",1)</f>
        <v> </v>
      </c>
      <c r="K15" s="77"/>
      <c r="L15" s="77"/>
      <c r="M15" s="77"/>
      <c r="N15" s="77"/>
      <c r="O15" s="77"/>
      <c r="P15" s="77"/>
      <c r="Q15" s="77"/>
      <c r="R15" s="77"/>
    </row>
    <row r="16" spans="1:18" ht="13.5" customHeight="1" thickTop="1">
      <c r="A16" s="82"/>
      <c r="C16" s="77"/>
      <c r="E16" s="213"/>
      <c r="F16" s="117"/>
      <c r="G16" s="117"/>
      <c r="H16" s="117"/>
      <c r="I16" s="117"/>
      <c r="J16" s="77"/>
      <c r="K16" s="77"/>
      <c r="L16" s="77"/>
      <c r="M16" s="77"/>
      <c r="N16" s="77"/>
      <c r="O16" s="77"/>
      <c r="P16" s="77"/>
      <c r="Q16" s="77"/>
      <c r="R16" s="77"/>
    </row>
    <row r="17" spans="1:18" ht="13.5" customHeight="1">
      <c r="A17" s="82"/>
      <c r="B17" s="83"/>
      <c r="C17" s="77"/>
      <c r="E17" s="213"/>
      <c r="F17" s="77"/>
      <c r="G17" s="77"/>
      <c r="H17" s="77"/>
      <c r="I17" s="77"/>
      <c r="J17" s="77"/>
      <c r="K17" s="77"/>
      <c r="L17" s="77"/>
      <c r="M17" s="77"/>
      <c r="N17" s="77"/>
      <c r="O17" s="77"/>
      <c r="P17" s="77"/>
      <c r="Q17" s="77"/>
      <c r="R17" s="77"/>
    </row>
    <row r="18" spans="1:18" ht="13.5" customHeight="1">
      <c r="A18" s="82"/>
      <c r="B18" s="215" t="s">
        <v>879</v>
      </c>
      <c r="C18" s="216" t="s">
        <v>884</v>
      </c>
      <c r="D18" s="217"/>
      <c r="E18" s="218">
        <v>37985</v>
      </c>
      <c r="F18" s="219"/>
      <c r="G18" s="219"/>
      <c r="H18" s="219"/>
      <c r="I18" s="77"/>
      <c r="J18" s="77"/>
      <c r="K18" s="77"/>
      <c r="L18" s="77"/>
      <c r="M18" s="77"/>
      <c r="N18" s="77"/>
      <c r="O18" s="77"/>
      <c r="P18" s="77"/>
      <c r="Q18" s="77"/>
      <c r="R18" s="77"/>
    </row>
    <row r="19" spans="1:18" ht="13.5" customHeight="1">
      <c r="A19" s="82"/>
      <c r="B19" s="220"/>
      <c r="C19" s="216" t="s">
        <v>885</v>
      </c>
      <c r="D19" s="217"/>
      <c r="E19" s="221"/>
      <c r="F19" s="219">
        <f>+G19+H19</f>
        <v>11559229</v>
      </c>
      <c r="G19" s="74">
        <v>7556633</v>
      </c>
      <c r="H19" s="74">
        <v>4002596</v>
      </c>
      <c r="I19" s="77"/>
      <c r="J19" s="77"/>
      <c r="K19" s="77"/>
      <c r="L19" s="77"/>
      <c r="M19" s="77"/>
      <c r="N19" s="77"/>
      <c r="O19" s="77"/>
      <c r="P19" s="77"/>
      <c r="Q19" s="77"/>
      <c r="R19" s="77"/>
    </row>
    <row r="20" spans="1:18" ht="13.5" customHeight="1">
      <c r="A20" s="82"/>
      <c r="B20" s="219"/>
      <c r="C20" s="216" t="s">
        <v>890</v>
      </c>
      <c r="D20" s="217"/>
      <c r="E20" s="221"/>
      <c r="F20" s="219">
        <f>+G20+H20</f>
        <v>4694608</v>
      </c>
      <c r="G20" s="74">
        <v>3198651</v>
      </c>
      <c r="H20" s="74">
        <v>1495957</v>
      </c>
      <c r="I20" s="77"/>
      <c r="J20" s="77"/>
      <c r="K20" s="77"/>
      <c r="L20" s="77"/>
      <c r="M20" s="77"/>
      <c r="N20" s="77"/>
      <c r="O20" s="77"/>
      <c r="P20" s="77"/>
      <c r="Q20" s="77"/>
      <c r="R20" s="77"/>
    </row>
    <row r="21" spans="1:18" ht="13.5" customHeight="1">
      <c r="A21" s="82"/>
      <c r="B21" s="220"/>
      <c r="C21" s="216" t="s">
        <v>891</v>
      </c>
      <c r="D21" s="217"/>
      <c r="E21" s="221"/>
      <c r="F21" s="222">
        <f>+G21+H21</f>
        <v>16253837</v>
      </c>
      <c r="G21" s="222">
        <f>SUM(G19:G20)</f>
        <v>10755284</v>
      </c>
      <c r="H21" s="222">
        <f>SUM(H19:H20)</f>
        <v>5498553</v>
      </c>
      <c r="I21" s="77"/>
      <c r="J21" s="77"/>
      <c r="K21" s="77"/>
      <c r="L21" s="77"/>
      <c r="M21" s="77"/>
      <c r="N21" s="77"/>
      <c r="O21" s="77"/>
      <c r="P21" s="77"/>
      <c r="Q21" s="77"/>
      <c r="R21" s="77"/>
    </row>
    <row r="22" spans="1:18" ht="13.5" customHeight="1">
      <c r="A22" s="82"/>
      <c r="B22" s="219"/>
      <c r="C22" s="216" t="s">
        <v>892</v>
      </c>
      <c r="D22" s="217"/>
      <c r="E22" s="221"/>
      <c r="F22" s="223">
        <f>+G22+H22</f>
        <v>1</v>
      </c>
      <c r="G22" s="223">
        <f>ROUND(G21/F21,5)</f>
        <v>0.66171</v>
      </c>
      <c r="H22" s="223">
        <f>ROUND(H21/F21,5)</f>
        <v>0.33829</v>
      </c>
      <c r="I22" s="77"/>
      <c r="J22" s="77" t="str">
        <f>IF(F22=1," ",1)</f>
        <v> </v>
      </c>
      <c r="K22" s="77"/>
      <c r="L22" s="77"/>
      <c r="M22" s="77"/>
      <c r="N22" s="77"/>
      <c r="O22" s="77"/>
      <c r="P22" s="77"/>
      <c r="Q22" s="77"/>
      <c r="R22" s="77"/>
    </row>
    <row r="23" spans="1:18" ht="13.5" customHeight="1">
      <c r="A23" s="82"/>
      <c r="B23" s="219"/>
      <c r="C23" s="219"/>
      <c r="D23" s="217"/>
      <c r="E23" s="221"/>
      <c r="F23" s="224"/>
      <c r="G23" s="224"/>
      <c r="H23" s="224"/>
      <c r="I23" s="77"/>
      <c r="J23" s="77"/>
      <c r="K23" s="77"/>
      <c r="L23" s="77"/>
      <c r="M23" s="77"/>
      <c r="N23" s="77"/>
      <c r="O23" s="77"/>
      <c r="P23" s="77"/>
      <c r="Q23" s="77"/>
      <c r="R23" s="77"/>
    </row>
    <row r="24" spans="1:18" ht="13.5" customHeight="1">
      <c r="A24" s="82"/>
      <c r="B24" s="219"/>
      <c r="C24" s="216" t="s">
        <v>277</v>
      </c>
      <c r="D24" s="217"/>
      <c r="E24" s="221"/>
      <c r="F24" s="219">
        <f>+G24+H24</f>
        <v>8151214</v>
      </c>
      <c r="G24" s="74">
        <v>5390180</v>
      </c>
      <c r="H24" s="74">
        <v>2761034</v>
      </c>
      <c r="I24" s="77"/>
      <c r="J24" s="77"/>
      <c r="K24" s="77"/>
      <c r="L24" s="77"/>
      <c r="M24" s="77"/>
      <c r="N24" s="77"/>
      <c r="O24" s="77"/>
      <c r="P24" s="77"/>
      <c r="Q24" s="77"/>
      <c r="R24" s="77"/>
    </row>
    <row r="25" spans="1:18" ht="13.5" customHeight="1">
      <c r="A25" s="82"/>
      <c r="B25" s="219"/>
      <c r="C25" s="216" t="s">
        <v>893</v>
      </c>
      <c r="D25" s="217"/>
      <c r="E25" s="221"/>
      <c r="F25" s="219">
        <f>+G25+H25</f>
        <v>2573723</v>
      </c>
      <c r="G25" s="74">
        <v>1969412</v>
      </c>
      <c r="H25" s="74">
        <v>604311</v>
      </c>
      <c r="I25" s="77"/>
      <c r="J25" s="77"/>
      <c r="K25" s="77"/>
      <c r="L25" s="77"/>
      <c r="M25" s="77"/>
      <c r="N25" s="77"/>
      <c r="O25" s="77"/>
      <c r="P25" s="77"/>
      <c r="Q25" s="77"/>
      <c r="R25" s="77"/>
    </row>
    <row r="26" spans="1:18" ht="13.5" customHeight="1">
      <c r="A26" s="82"/>
      <c r="B26" s="219"/>
      <c r="C26" s="216" t="s">
        <v>891</v>
      </c>
      <c r="D26" s="217"/>
      <c r="E26" s="221"/>
      <c r="F26" s="222">
        <f>+G26+H26</f>
        <v>10724937</v>
      </c>
      <c r="G26" s="222">
        <f>SUM(G24:G25)</f>
        <v>7359592</v>
      </c>
      <c r="H26" s="222">
        <f>SUM(H24:H25)</f>
        <v>3365345</v>
      </c>
      <c r="I26" s="77"/>
      <c r="J26" s="77"/>
      <c r="K26" s="77"/>
      <c r="L26" s="77"/>
      <c r="M26" s="77"/>
      <c r="N26" s="77"/>
      <c r="O26" s="77"/>
      <c r="P26" s="77"/>
      <c r="Q26" s="77"/>
      <c r="R26" s="77"/>
    </row>
    <row r="27" spans="1:18" ht="13.5" customHeight="1">
      <c r="A27" s="82"/>
      <c r="B27" s="219"/>
      <c r="C27" s="216" t="s">
        <v>892</v>
      </c>
      <c r="D27" s="217"/>
      <c r="E27" s="221"/>
      <c r="F27" s="223">
        <f>+G27+H27</f>
        <v>1</v>
      </c>
      <c r="G27" s="223">
        <f>ROUND(G26/F26,5)</f>
        <v>0.68621</v>
      </c>
      <c r="H27" s="223">
        <f>ROUND(H26/F26,5)</f>
        <v>0.31379</v>
      </c>
      <c r="I27" s="77"/>
      <c r="J27" s="77" t="str">
        <f>IF(F27=1," ",1)</f>
        <v> </v>
      </c>
      <c r="K27" s="77"/>
      <c r="L27" s="77"/>
      <c r="M27" s="77"/>
      <c r="N27" s="77"/>
      <c r="O27" s="77"/>
      <c r="P27" s="77"/>
      <c r="Q27" s="77"/>
      <c r="R27" s="77"/>
    </row>
    <row r="28" spans="1:18" ht="13.5" customHeight="1">
      <c r="A28" s="82"/>
      <c r="B28" s="219"/>
      <c r="C28" s="219"/>
      <c r="D28" s="217"/>
      <c r="E28" s="221"/>
      <c r="F28" s="224"/>
      <c r="G28" s="224"/>
      <c r="H28" s="224"/>
      <c r="I28" s="77"/>
      <c r="J28" s="77"/>
      <c r="K28" s="77"/>
      <c r="L28" s="77"/>
      <c r="M28" s="77"/>
      <c r="N28" s="77"/>
      <c r="O28" s="77"/>
      <c r="P28" s="77"/>
      <c r="Q28" s="77"/>
      <c r="R28" s="77"/>
    </row>
    <row r="29" spans="1:18" ht="13.5" customHeight="1">
      <c r="A29" s="82"/>
      <c r="B29" s="219"/>
      <c r="C29" s="216" t="s">
        <v>894</v>
      </c>
      <c r="D29" s="217"/>
      <c r="E29" s="221"/>
      <c r="F29" s="219">
        <f>+G29+H29</f>
        <v>351585</v>
      </c>
      <c r="G29" s="74">
        <v>231300</v>
      </c>
      <c r="H29" s="74">
        <v>120285</v>
      </c>
      <c r="I29" s="77"/>
      <c r="J29" s="77"/>
      <c r="K29" s="77"/>
      <c r="L29" s="77"/>
      <c r="M29" s="77"/>
      <c r="N29" s="77"/>
      <c r="O29" s="77"/>
      <c r="P29" s="77"/>
      <c r="Q29" s="77"/>
      <c r="R29" s="77"/>
    </row>
    <row r="30" spans="1:18" ht="13.5" customHeight="1">
      <c r="A30" s="82"/>
      <c r="B30" s="219"/>
      <c r="C30" s="216" t="s">
        <v>892</v>
      </c>
      <c r="D30" s="217"/>
      <c r="E30" s="221"/>
      <c r="F30" s="223">
        <f>+G30+H30</f>
        <v>1</v>
      </c>
      <c r="G30" s="223">
        <f>ROUND(G29/F29,5)</f>
        <v>0.65788</v>
      </c>
      <c r="H30" s="223">
        <f>ROUND(H29/F29,5)</f>
        <v>0.34212</v>
      </c>
      <c r="I30" s="77"/>
      <c r="J30" s="77" t="str">
        <f>IF(F30=1," ",1)</f>
        <v> </v>
      </c>
      <c r="K30" s="77"/>
      <c r="L30" s="77"/>
      <c r="M30" s="77"/>
      <c r="N30" s="77"/>
      <c r="O30" s="77"/>
      <c r="P30" s="77"/>
      <c r="Q30" s="77"/>
      <c r="R30" s="77"/>
    </row>
    <row r="31" spans="1:18" ht="13.5" customHeight="1">
      <c r="A31" s="82"/>
      <c r="B31" s="219"/>
      <c r="C31" s="219"/>
      <c r="D31" s="217"/>
      <c r="E31" s="221"/>
      <c r="F31" s="224"/>
      <c r="G31" s="224"/>
      <c r="H31" s="224"/>
      <c r="I31" s="77"/>
      <c r="J31" s="77"/>
      <c r="K31" s="77"/>
      <c r="L31" s="77"/>
      <c r="M31" s="77"/>
      <c r="N31" s="77"/>
      <c r="O31" s="77"/>
      <c r="P31" s="77"/>
      <c r="Q31" s="77"/>
      <c r="R31" s="77"/>
    </row>
    <row r="32" spans="1:18" ht="13.5" customHeight="1">
      <c r="A32" s="82"/>
      <c r="B32" s="219"/>
      <c r="C32" s="216" t="s">
        <v>895</v>
      </c>
      <c r="D32" s="217"/>
      <c r="E32" s="221"/>
      <c r="F32" s="219">
        <f>+G32+H32</f>
        <v>621370034</v>
      </c>
      <c r="G32" s="74">
        <v>371628226</v>
      </c>
      <c r="H32" s="74">
        <v>249741808</v>
      </c>
      <c r="I32" s="77"/>
      <c r="J32" s="77"/>
      <c r="K32" s="77"/>
      <c r="L32" s="77"/>
      <c r="M32" s="77"/>
      <c r="N32" s="77"/>
      <c r="O32" s="77"/>
      <c r="P32" s="77"/>
      <c r="Q32" s="77"/>
      <c r="R32" s="77"/>
    </row>
    <row r="33" spans="1:18" ht="13.5" customHeight="1">
      <c r="A33" s="82"/>
      <c r="B33" s="219"/>
      <c r="C33" s="216" t="s">
        <v>892</v>
      </c>
      <c r="D33" s="217"/>
      <c r="E33" s="221"/>
      <c r="F33" s="223">
        <f>+G33+H33</f>
        <v>1</v>
      </c>
      <c r="G33" s="223">
        <f>ROUND(G32/F32,5)</f>
        <v>0.59808</v>
      </c>
      <c r="H33" s="223">
        <f>ROUND(H32/F32,5)</f>
        <v>0.40192</v>
      </c>
      <c r="I33" s="77"/>
      <c r="J33" s="77" t="str">
        <f>IF(F33=1," ",1)</f>
        <v> </v>
      </c>
      <c r="K33" s="77"/>
      <c r="L33" s="77"/>
      <c r="M33" s="77"/>
      <c r="N33" s="77"/>
      <c r="O33" s="77"/>
      <c r="P33" s="77"/>
      <c r="Q33" s="77"/>
      <c r="R33" s="77"/>
    </row>
    <row r="34" spans="1:18" ht="13.5" customHeight="1">
      <c r="A34" s="82"/>
      <c r="B34" s="219"/>
      <c r="C34" s="219"/>
      <c r="D34" s="217"/>
      <c r="E34" s="221"/>
      <c r="F34" s="219"/>
      <c r="G34" s="219"/>
      <c r="H34" s="219"/>
      <c r="I34" s="77"/>
      <c r="J34" s="77"/>
      <c r="K34" s="77"/>
      <c r="L34" s="77"/>
      <c r="M34" s="77"/>
      <c r="N34" s="77"/>
      <c r="O34" s="77"/>
      <c r="P34" s="77"/>
      <c r="Q34" s="77"/>
      <c r="R34" s="77"/>
    </row>
    <row r="35" spans="1:18" ht="13.5" customHeight="1">
      <c r="A35" s="82"/>
      <c r="B35" s="83"/>
      <c r="C35" s="77" t="s">
        <v>896</v>
      </c>
      <c r="E35" s="213"/>
      <c r="F35" s="225">
        <f>+F33+F30+F27+F22</f>
        <v>4</v>
      </c>
      <c r="G35" s="225">
        <f>+G33+G30+G27+G22</f>
        <v>2.60388</v>
      </c>
      <c r="H35" s="225">
        <f>+H33+H30+H27+H22</f>
        <v>1.39612</v>
      </c>
      <c r="I35" s="109"/>
      <c r="J35" s="77"/>
      <c r="K35" s="77"/>
      <c r="L35" s="77"/>
      <c r="M35" s="77"/>
      <c r="N35" s="77"/>
      <c r="O35" s="77"/>
      <c r="P35" s="77"/>
      <c r="Q35" s="77"/>
      <c r="R35" s="77"/>
    </row>
    <row r="36" spans="1:18" ht="13.5" customHeight="1" thickBot="1">
      <c r="A36" s="82">
        <v>4</v>
      </c>
      <c r="B36" s="83"/>
      <c r="C36" s="77" t="s">
        <v>882</v>
      </c>
      <c r="E36" s="213"/>
      <c r="F36" s="214">
        <f>+G36+H36</f>
        <v>1</v>
      </c>
      <c r="G36" s="226">
        <f>ROUND(G35/4,5)-0</f>
        <v>0.65097</v>
      </c>
      <c r="H36" s="214">
        <f>ROUND(H35/4,5)</f>
        <v>0.34903</v>
      </c>
      <c r="I36" s="118"/>
      <c r="J36" s="77" t="str">
        <f>IF(F36=1," ",1)</f>
        <v> </v>
      </c>
      <c r="K36" s="77"/>
      <c r="L36" s="77"/>
      <c r="M36" s="77"/>
      <c r="N36" s="77"/>
      <c r="O36" s="77"/>
      <c r="P36" s="77"/>
      <c r="Q36" s="77"/>
      <c r="R36" s="77"/>
    </row>
    <row r="37" spans="1:18" ht="13.5" customHeight="1" thickTop="1">
      <c r="A37" s="82"/>
      <c r="B37" s="83"/>
      <c r="C37" s="77"/>
      <c r="E37" s="213"/>
      <c r="F37" s="117"/>
      <c r="G37" s="117"/>
      <c r="H37" s="117"/>
      <c r="I37" s="118"/>
      <c r="J37" s="77"/>
      <c r="K37" s="77"/>
      <c r="L37" s="77"/>
      <c r="M37" s="77"/>
      <c r="N37" s="77"/>
      <c r="O37" s="77"/>
      <c r="P37" s="77"/>
      <c r="Q37" s="77"/>
      <c r="R37" s="77"/>
    </row>
    <row r="38" spans="1:18" ht="14.25">
      <c r="A38" s="82"/>
      <c r="B38" s="83"/>
      <c r="C38" s="77"/>
      <c r="E38" s="213"/>
      <c r="F38" s="117"/>
      <c r="G38" s="117"/>
      <c r="H38" s="117"/>
      <c r="I38" s="118"/>
      <c r="J38" s="77"/>
      <c r="K38" s="77"/>
      <c r="L38" s="77"/>
      <c r="M38" s="77"/>
      <c r="N38" s="77"/>
      <c r="O38" s="77"/>
      <c r="P38" s="77"/>
      <c r="Q38" s="77"/>
      <c r="R38" s="77"/>
    </row>
    <row r="39" spans="1:18" ht="14.25">
      <c r="A39" s="219"/>
      <c r="B39" s="215" t="s">
        <v>879</v>
      </c>
      <c r="C39" s="216" t="s">
        <v>241</v>
      </c>
      <c r="D39" s="217"/>
      <c r="E39" s="218">
        <v>37986</v>
      </c>
      <c r="F39" s="227" t="s">
        <v>891</v>
      </c>
      <c r="G39" s="227" t="s">
        <v>897</v>
      </c>
      <c r="H39" s="227" t="s">
        <v>258</v>
      </c>
      <c r="I39" s="228" t="s">
        <v>246</v>
      </c>
      <c r="J39" s="77"/>
      <c r="K39" s="77"/>
      <c r="L39" s="77"/>
      <c r="M39" s="77"/>
      <c r="N39" s="77"/>
      <c r="O39" s="77"/>
      <c r="P39" s="77"/>
      <c r="Q39" s="77"/>
      <c r="R39" s="77"/>
    </row>
    <row r="40" spans="1:18" ht="14.25">
      <c r="A40" s="219"/>
      <c r="B40" s="220"/>
      <c r="C40" s="216" t="s">
        <v>689</v>
      </c>
      <c r="D40" s="217"/>
      <c r="E40" s="217"/>
      <c r="F40" s="219">
        <f>SUM(G40:I40)</f>
        <v>37750013</v>
      </c>
      <c r="G40" s="74">
        <v>32765739</v>
      </c>
      <c r="H40" s="74">
        <v>3167680</v>
      </c>
      <c r="I40" s="74">
        <v>1816594</v>
      </c>
      <c r="J40" s="77"/>
      <c r="K40" s="77"/>
      <c r="L40" s="77"/>
      <c r="M40" s="77"/>
      <c r="N40" s="77"/>
      <c r="O40" s="77"/>
      <c r="P40" s="77"/>
      <c r="Q40" s="77"/>
      <c r="R40" s="77"/>
    </row>
    <row r="41" spans="1:18" ht="14.25">
      <c r="A41" s="219"/>
      <c r="B41" s="220"/>
      <c r="C41" s="216" t="s">
        <v>890</v>
      </c>
      <c r="D41" s="217"/>
      <c r="E41" s="221"/>
      <c r="F41" s="219">
        <f>SUM(G41:I41)</f>
        <v>26326798</v>
      </c>
      <c r="G41" s="74">
        <v>16546598</v>
      </c>
      <c r="H41" s="74">
        <v>6717604</v>
      </c>
      <c r="I41" s="74">
        <v>3062596</v>
      </c>
      <c r="J41" s="77"/>
      <c r="K41" s="77"/>
      <c r="L41" s="77"/>
      <c r="M41" s="77"/>
      <c r="N41" s="77"/>
      <c r="O41" s="77"/>
      <c r="P41" s="77"/>
      <c r="Q41" s="77"/>
      <c r="R41" s="77"/>
    </row>
    <row r="42" spans="1:18" ht="14.25">
      <c r="A42" s="219"/>
      <c r="B42" s="220"/>
      <c r="C42" s="216" t="s">
        <v>898</v>
      </c>
      <c r="D42" s="217"/>
      <c r="E42" s="221"/>
      <c r="F42" s="219">
        <f>SUM(G42:I42)</f>
        <v>2365645</v>
      </c>
      <c r="G42" s="74">
        <v>1467102</v>
      </c>
      <c r="H42" s="74">
        <v>898543</v>
      </c>
      <c r="I42" s="215" t="s">
        <v>899</v>
      </c>
      <c r="J42" s="77"/>
      <c r="K42" s="77"/>
      <c r="L42" s="77"/>
      <c r="M42" s="77"/>
      <c r="N42" s="77"/>
      <c r="O42" s="77"/>
      <c r="P42" s="77"/>
      <c r="Q42" s="77"/>
      <c r="R42" s="77"/>
    </row>
    <row r="43" spans="1:18" ht="14.25">
      <c r="A43" s="219"/>
      <c r="B43" s="220"/>
      <c r="C43" s="216" t="s">
        <v>104</v>
      </c>
      <c r="D43" s="217"/>
      <c r="E43" s="221"/>
      <c r="F43" s="219">
        <f>SUM(G43:I43)</f>
        <v>0</v>
      </c>
      <c r="G43" s="74"/>
      <c r="H43" s="74"/>
      <c r="I43" s="215"/>
      <c r="J43" s="77"/>
      <c r="K43" s="77"/>
      <c r="L43" s="77"/>
      <c r="M43" s="77"/>
      <c r="N43" s="77"/>
      <c r="O43" s="77"/>
      <c r="P43" s="77"/>
      <c r="Q43" s="77"/>
      <c r="R43" s="77"/>
    </row>
    <row r="44" spans="1:18" ht="14.25">
      <c r="A44" s="219"/>
      <c r="B44" s="220"/>
      <c r="C44" s="216" t="s">
        <v>891</v>
      </c>
      <c r="D44" s="217"/>
      <c r="E44" s="221"/>
      <c r="F44" s="222">
        <f>SUM(G44:I44)</f>
        <v>66442456</v>
      </c>
      <c r="G44" s="222">
        <f>SUM(G40:G43)</f>
        <v>50779439</v>
      </c>
      <c r="H44" s="222">
        <f>SUM(H40:H43)</f>
        <v>10783827</v>
      </c>
      <c r="I44" s="222">
        <f>SUM(I40:I43)</f>
        <v>4879190</v>
      </c>
      <c r="J44" s="77"/>
      <c r="K44" s="77"/>
      <c r="L44" s="77"/>
      <c r="M44" s="77"/>
      <c r="N44" s="77"/>
      <c r="O44" s="77"/>
      <c r="P44" s="77"/>
      <c r="Q44" s="77"/>
      <c r="R44" s="77"/>
    </row>
    <row r="45" spans="1:18" ht="14.25">
      <c r="A45" s="217"/>
      <c r="B45" s="219"/>
      <c r="C45" s="216" t="s">
        <v>892</v>
      </c>
      <c r="D45" s="217"/>
      <c r="E45" s="221"/>
      <c r="F45" s="223">
        <f>+G45+H45+I45</f>
        <v>1</v>
      </c>
      <c r="G45" s="229">
        <f>ROUND(G44/F44,5)+0.00001</f>
        <v>0.76427</v>
      </c>
      <c r="H45" s="223">
        <f>ROUND(H44/F44,5)</f>
        <v>0.1623</v>
      </c>
      <c r="I45" s="223">
        <f>ROUND(I44/F44,5)</f>
        <v>0.07343</v>
      </c>
      <c r="J45" s="77" t="str">
        <f>IF(F45=1," ",1)</f>
        <v> </v>
      </c>
      <c r="K45" s="77"/>
      <c r="L45" s="77"/>
      <c r="M45" s="77"/>
      <c r="N45" s="77"/>
      <c r="O45" s="77"/>
      <c r="P45" s="77"/>
      <c r="Q45" s="77"/>
      <c r="R45" s="77"/>
    </row>
    <row r="46" spans="1:18" ht="14.25">
      <c r="A46" s="217"/>
      <c r="B46" s="219"/>
      <c r="C46" s="219"/>
      <c r="D46" s="217"/>
      <c r="E46" s="221"/>
      <c r="F46" s="224"/>
      <c r="G46" s="224"/>
      <c r="H46" s="224"/>
      <c r="I46" s="224"/>
      <c r="J46" s="77"/>
      <c r="K46" s="77"/>
      <c r="L46" s="77"/>
      <c r="M46" s="77"/>
      <c r="N46" s="77"/>
      <c r="O46" s="77"/>
      <c r="P46" s="77"/>
      <c r="Q46" s="77"/>
      <c r="R46" s="77"/>
    </row>
    <row r="47" spans="1:18" ht="14.25">
      <c r="A47" s="217"/>
      <c r="B47" s="219"/>
      <c r="C47" s="216" t="s">
        <v>276</v>
      </c>
      <c r="D47" s="217"/>
      <c r="E47" s="221"/>
      <c r="F47" s="219">
        <f>SUM(G47:I47)</f>
        <v>47780988</v>
      </c>
      <c r="G47" s="74">
        <v>37381233</v>
      </c>
      <c r="H47" s="74">
        <v>7014016</v>
      </c>
      <c r="I47" s="74">
        <v>3385739</v>
      </c>
      <c r="J47" s="77"/>
      <c r="K47" s="77"/>
      <c r="L47" s="77"/>
      <c r="M47" s="77"/>
      <c r="N47" s="77"/>
      <c r="O47" s="77"/>
      <c r="P47" s="77"/>
      <c r="Q47" s="77"/>
      <c r="R47" s="77"/>
    </row>
    <row r="48" spans="1:18" ht="14.25">
      <c r="A48" s="217"/>
      <c r="B48" s="219"/>
      <c r="C48" s="216" t="s">
        <v>893</v>
      </c>
      <c r="D48" s="217"/>
      <c r="E48" s="221"/>
      <c r="F48" s="219">
        <f>SUM(G48:I48)</f>
        <v>4605385</v>
      </c>
      <c r="G48" s="74">
        <v>3347484</v>
      </c>
      <c r="H48" s="74">
        <v>292232</v>
      </c>
      <c r="I48" s="74">
        <v>965669</v>
      </c>
      <c r="J48" s="77"/>
      <c r="K48" s="77"/>
      <c r="L48" s="77"/>
      <c r="M48" s="77"/>
      <c r="N48" s="77"/>
      <c r="O48" s="77"/>
      <c r="P48" s="77"/>
      <c r="Q48" s="77"/>
      <c r="R48" s="77"/>
    </row>
    <row r="49" spans="1:18" ht="14.25">
      <c r="A49" s="217"/>
      <c r="B49" s="219"/>
      <c r="C49" s="216" t="s">
        <v>898</v>
      </c>
      <c r="D49" s="217"/>
      <c r="E49" s="221"/>
      <c r="F49" s="219">
        <f>SUM(G49:I49)</f>
        <v>2564972</v>
      </c>
      <c r="G49" s="74">
        <v>1590719</v>
      </c>
      <c r="H49" s="74">
        <v>974253</v>
      </c>
      <c r="I49" s="215" t="s">
        <v>899</v>
      </c>
      <c r="J49" s="77"/>
      <c r="K49" s="77"/>
      <c r="L49" s="77"/>
      <c r="M49" s="77"/>
      <c r="N49" s="77"/>
      <c r="O49" s="77"/>
      <c r="P49" s="77"/>
      <c r="Q49" s="77"/>
      <c r="R49" s="77"/>
    </row>
    <row r="50" spans="1:18" ht="14.25">
      <c r="A50" s="217"/>
      <c r="B50" s="219"/>
      <c r="C50" s="216" t="s">
        <v>891</v>
      </c>
      <c r="D50" s="217"/>
      <c r="E50" s="221"/>
      <c r="F50" s="222">
        <f>SUM(G50:I50)</f>
        <v>54951345</v>
      </c>
      <c r="G50" s="222">
        <f>SUM(G47:G49)</f>
        <v>42319436</v>
      </c>
      <c r="H50" s="222">
        <f>SUM(H47:H49)</f>
        <v>8280501</v>
      </c>
      <c r="I50" s="222">
        <f>SUM(I47:I49)</f>
        <v>4351408</v>
      </c>
      <c r="J50" s="77"/>
      <c r="K50" s="77"/>
      <c r="L50" s="77"/>
      <c r="M50" s="77"/>
      <c r="N50" s="77"/>
      <c r="O50" s="77"/>
      <c r="P50" s="77"/>
      <c r="Q50" s="77"/>
      <c r="R50" s="77"/>
    </row>
    <row r="51" spans="1:18" ht="14.25">
      <c r="A51" s="217"/>
      <c r="B51" s="219"/>
      <c r="C51" s="216" t="s">
        <v>892</v>
      </c>
      <c r="D51" s="217"/>
      <c r="E51" s="221"/>
      <c r="F51" s="223">
        <f>+G51+H51+I51</f>
        <v>1</v>
      </c>
      <c r="G51" s="229">
        <f>ROUND(G50/F50,5)-0.00001</f>
        <v>0.77012</v>
      </c>
      <c r="H51" s="223">
        <f>ROUND(H50/F50,5)</f>
        <v>0.15069</v>
      </c>
      <c r="I51" s="223">
        <f>ROUND(I50/F50,5)</f>
        <v>0.07919</v>
      </c>
      <c r="J51" s="77" t="str">
        <f>IF(F51=1," ",1)</f>
        <v> </v>
      </c>
      <c r="K51" s="77"/>
      <c r="L51" s="77"/>
      <c r="M51" s="77"/>
      <c r="N51" s="77"/>
      <c r="O51" s="77"/>
      <c r="P51" s="77"/>
      <c r="Q51" s="77"/>
      <c r="R51" s="77"/>
    </row>
    <row r="52" spans="1:18" ht="14.25">
      <c r="A52" s="217"/>
      <c r="B52" s="219"/>
      <c r="C52" s="219"/>
      <c r="D52" s="217"/>
      <c r="E52" s="221"/>
      <c r="F52" s="224"/>
      <c r="G52" s="224"/>
      <c r="H52" s="224"/>
      <c r="I52" s="224"/>
      <c r="J52" s="77"/>
      <c r="K52" s="77"/>
      <c r="L52" s="77"/>
      <c r="M52" s="77"/>
      <c r="N52" s="77"/>
      <c r="O52" s="77"/>
      <c r="P52" s="77"/>
      <c r="Q52" s="77"/>
      <c r="R52" s="77"/>
    </row>
    <row r="53" spans="1:18" ht="14.25">
      <c r="A53" s="217"/>
      <c r="B53" s="219"/>
      <c r="C53" s="230" t="s">
        <v>546</v>
      </c>
      <c r="D53" s="217"/>
      <c r="E53" s="221"/>
      <c r="F53" s="219">
        <f>SUM(G53:I53)</f>
        <v>662260</v>
      </c>
      <c r="G53" s="74">
        <v>351585</v>
      </c>
      <c r="H53" s="74">
        <v>215336</v>
      </c>
      <c r="I53" s="74">
        <v>95339</v>
      </c>
      <c r="J53" s="77"/>
      <c r="K53" s="77"/>
      <c r="L53" s="77"/>
      <c r="M53" s="77"/>
      <c r="N53" s="77"/>
      <c r="O53" s="77"/>
      <c r="P53" s="77"/>
      <c r="Q53" s="77"/>
      <c r="R53" s="77"/>
    </row>
    <row r="54" spans="1:18" ht="14.25">
      <c r="A54" s="217"/>
      <c r="B54" s="219"/>
      <c r="C54" s="216" t="s">
        <v>892</v>
      </c>
      <c r="D54" s="217"/>
      <c r="E54" s="221"/>
      <c r="F54" s="223">
        <f>+G54+H54+I54</f>
        <v>1</v>
      </c>
      <c r="G54" s="229">
        <f>ROUND(G53/F53,5)</f>
        <v>0.53089</v>
      </c>
      <c r="H54" s="223">
        <f>ROUND(H53/F53,5)</f>
        <v>0.32515</v>
      </c>
      <c r="I54" s="223">
        <f>ROUND(I53/F53,5)</f>
        <v>0.14396</v>
      </c>
      <c r="J54" s="77" t="str">
        <f>IF(F54=1," ",1)</f>
        <v> </v>
      </c>
      <c r="K54" s="77"/>
      <c r="L54" s="77"/>
      <c r="M54" s="77"/>
      <c r="N54" s="77"/>
      <c r="O54" s="77"/>
      <c r="P54" s="77"/>
      <c r="Q54" s="77"/>
      <c r="R54" s="77"/>
    </row>
    <row r="55" spans="1:18" ht="14.25">
      <c r="A55" s="217"/>
      <c r="B55" s="219"/>
      <c r="C55" s="219"/>
      <c r="D55" s="217"/>
      <c r="E55" s="221"/>
      <c r="F55" s="224"/>
      <c r="G55" s="224"/>
      <c r="H55" s="224"/>
      <c r="I55" s="224"/>
      <c r="J55" s="77"/>
      <c r="K55" s="77"/>
      <c r="L55" s="77"/>
      <c r="M55" s="77"/>
      <c r="N55" s="77"/>
      <c r="O55" s="77"/>
      <c r="P55" s="77"/>
      <c r="Q55" s="77"/>
      <c r="R55" s="77"/>
    </row>
    <row r="56" spans="1:18" ht="14.25">
      <c r="A56" s="217"/>
      <c r="B56" s="219"/>
      <c r="C56" s="216" t="s">
        <v>895</v>
      </c>
      <c r="D56" s="217"/>
      <c r="E56" s="221"/>
      <c r="F56" s="219">
        <f>SUM(G56:I56)</f>
        <v>1973206694</v>
      </c>
      <c r="G56" s="74">
        <v>1604463392</v>
      </c>
      <c r="H56" s="74">
        <v>254636776</v>
      </c>
      <c r="I56" s="74">
        <v>114106526</v>
      </c>
      <c r="J56" s="77"/>
      <c r="K56" s="77"/>
      <c r="L56" s="77"/>
      <c r="M56" s="77"/>
      <c r="N56" s="77"/>
      <c r="O56" s="77"/>
      <c r="P56" s="77"/>
      <c r="Q56" s="77"/>
      <c r="R56" s="77"/>
    </row>
    <row r="57" spans="1:18" ht="14.25">
      <c r="A57" s="217"/>
      <c r="B57" s="219"/>
      <c r="C57" s="216" t="s">
        <v>892</v>
      </c>
      <c r="D57" s="217"/>
      <c r="E57" s="221"/>
      <c r="F57" s="223">
        <f>+G57+H57+I57</f>
        <v>1</v>
      </c>
      <c r="G57" s="229">
        <f>ROUND(G56/F56,5)</f>
        <v>0.81312</v>
      </c>
      <c r="H57" s="223">
        <f>ROUND(H56/F56,5)+0</f>
        <v>0.12905</v>
      </c>
      <c r="I57" s="223">
        <f>ROUND(I56/F56,5)</f>
        <v>0.05783</v>
      </c>
      <c r="J57" s="77" t="str">
        <f>IF(F57=1," ",1)</f>
        <v> </v>
      </c>
      <c r="K57" s="77"/>
      <c r="L57" s="77"/>
      <c r="M57" s="77"/>
      <c r="N57" s="77"/>
      <c r="O57" s="77"/>
      <c r="P57" s="77"/>
      <c r="Q57" s="77"/>
      <c r="R57" s="77"/>
    </row>
    <row r="58" spans="1:18" ht="14.25">
      <c r="A58" s="217"/>
      <c r="B58" s="219"/>
      <c r="C58" s="219"/>
      <c r="D58" s="217"/>
      <c r="E58" s="221"/>
      <c r="F58" s="219"/>
      <c r="G58" s="219"/>
      <c r="H58" s="219"/>
      <c r="I58" s="224"/>
      <c r="J58" s="77"/>
      <c r="K58" s="77"/>
      <c r="L58" s="77"/>
      <c r="M58" s="77"/>
      <c r="N58" s="77"/>
      <c r="O58" s="77"/>
      <c r="P58" s="77"/>
      <c r="Q58" s="77"/>
      <c r="R58" s="77"/>
    </row>
    <row r="59" spans="1:18" ht="14.25">
      <c r="A59" s="217"/>
      <c r="B59" s="219"/>
      <c r="C59" s="216" t="s">
        <v>896</v>
      </c>
      <c r="D59" s="217"/>
      <c r="E59" s="221"/>
      <c r="F59" s="223">
        <f>+F57+F54+F51+F45</f>
        <v>4</v>
      </c>
      <c r="G59" s="223">
        <f>+G57+G54+G51+G45</f>
        <v>2.8784</v>
      </c>
      <c r="H59" s="223">
        <f>+H57+H54+H51+H45</f>
        <v>0.76719</v>
      </c>
      <c r="I59" s="223">
        <f>+I57+I54+I51+I45</f>
        <v>0.35441</v>
      </c>
      <c r="J59" s="77"/>
      <c r="K59" s="77"/>
      <c r="L59" s="77"/>
      <c r="M59" s="77"/>
      <c r="N59" s="77"/>
      <c r="O59" s="77"/>
      <c r="P59" s="77"/>
      <c r="Q59" s="77"/>
      <c r="R59" s="77"/>
    </row>
    <row r="60" spans="1:18" ht="15" thickBot="1">
      <c r="A60" s="215">
        <v>7</v>
      </c>
      <c r="B60" s="220"/>
      <c r="C60" s="216" t="s">
        <v>924</v>
      </c>
      <c r="D60" s="217"/>
      <c r="E60" s="221"/>
      <c r="F60" s="76">
        <f>+G60+H60+I60</f>
        <v>1</v>
      </c>
      <c r="G60" s="75">
        <f>ROUND(G59/4,5)</f>
        <v>0.7196</v>
      </c>
      <c r="H60" s="76">
        <f>ROUND(H59/4,5)</f>
        <v>0.1918</v>
      </c>
      <c r="I60" s="76">
        <f>ROUND(I59/4,5)</f>
        <v>0.0886</v>
      </c>
      <c r="J60" s="77" t="str">
        <f>IF(F60=1," ",1)</f>
        <v> </v>
      </c>
      <c r="K60" s="77"/>
      <c r="L60" s="77"/>
      <c r="M60" s="77"/>
      <c r="N60" s="77"/>
      <c r="O60" s="77"/>
      <c r="P60" s="77"/>
      <c r="Q60" s="77"/>
      <c r="R60" s="77"/>
    </row>
    <row r="61" spans="1:18" ht="15" thickTop="1">
      <c r="A61" s="215"/>
      <c r="B61" s="220"/>
      <c r="C61" s="216"/>
      <c r="D61" s="217"/>
      <c r="E61" s="221"/>
      <c r="F61" s="224"/>
      <c r="G61" s="224"/>
      <c r="H61" s="224"/>
      <c r="I61" s="224"/>
      <c r="J61" s="77"/>
      <c r="K61" s="77"/>
      <c r="L61" s="77"/>
      <c r="M61" s="77"/>
      <c r="N61" s="77"/>
      <c r="O61" s="77"/>
      <c r="P61" s="77"/>
      <c r="Q61" s="77"/>
      <c r="R61" s="77"/>
    </row>
    <row r="62" spans="1:18" ht="14.25">
      <c r="A62" s="219"/>
      <c r="B62" s="215" t="s">
        <v>879</v>
      </c>
      <c r="C62" s="216" t="s">
        <v>242</v>
      </c>
      <c r="D62" s="217"/>
      <c r="E62" s="231">
        <f>+E39</f>
        <v>37986</v>
      </c>
      <c r="F62" s="227" t="s">
        <v>891</v>
      </c>
      <c r="G62" s="227" t="s">
        <v>897</v>
      </c>
      <c r="H62" s="227" t="s">
        <v>258</v>
      </c>
      <c r="I62" s="228" t="s">
        <v>246</v>
      </c>
      <c r="J62" s="77"/>
      <c r="K62" s="77"/>
      <c r="L62" s="77"/>
      <c r="M62" s="77"/>
      <c r="N62" s="77"/>
      <c r="O62" s="77"/>
      <c r="P62" s="77"/>
      <c r="Q62" s="77"/>
      <c r="R62" s="77"/>
    </row>
    <row r="63" spans="1:18" ht="14.25">
      <c r="A63" s="219"/>
      <c r="B63" s="220"/>
      <c r="C63" s="216" t="s">
        <v>689</v>
      </c>
      <c r="D63" s="217"/>
      <c r="E63" s="231"/>
      <c r="F63" s="219">
        <f>SUM(G63:I63)</f>
        <v>4984274</v>
      </c>
      <c r="G63" s="219">
        <v>0</v>
      </c>
      <c r="H63" s="219">
        <f aca="true" t="shared" si="0" ref="H63:I65">+H40</f>
        <v>3167680</v>
      </c>
      <c r="I63" s="219">
        <f t="shared" si="0"/>
        <v>1816594</v>
      </c>
      <c r="J63" s="77"/>
      <c r="K63" s="77"/>
      <c r="L63" s="77"/>
      <c r="M63" s="77"/>
      <c r="N63" s="77"/>
      <c r="O63" s="77"/>
      <c r="P63" s="77"/>
      <c r="Q63" s="77"/>
      <c r="R63" s="77"/>
    </row>
    <row r="64" spans="1:18" ht="14.25">
      <c r="A64" s="219"/>
      <c r="B64" s="220"/>
      <c r="C64" s="216" t="s">
        <v>890</v>
      </c>
      <c r="D64" s="217"/>
      <c r="E64" s="221"/>
      <c r="F64" s="219">
        <f>SUM(G64:I64)</f>
        <v>9780200</v>
      </c>
      <c r="G64" s="219">
        <v>0</v>
      </c>
      <c r="H64" s="219">
        <f t="shared" si="0"/>
        <v>6717604</v>
      </c>
      <c r="I64" s="219">
        <f t="shared" si="0"/>
        <v>3062596</v>
      </c>
      <c r="J64" s="77"/>
      <c r="K64" s="77"/>
      <c r="L64" s="77"/>
      <c r="M64" s="77"/>
      <c r="N64" s="77"/>
      <c r="O64" s="77"/>
      <c r="P64" s="77"/>
      <c r="Q64" s="77"/>
      <c r="R64" s="77"/>
    </row>
    <row r="65" spans="1:18" ht="14.25">
      <c r="A65" s="219"/>
      <c r="B65" s="219"/>
      <c r="C65" s="216" t="s">
        <v>901</v>
      </c>
      <c r="D65" s="217"/>
      <c r="E65" s="221"/>
      <c r="F65" s="219">
        <f>SUM(G65:I65)</f>
        <v>898543</v>
      </c>
      <c r="G65" s="219">
        <v>0</v>
      </c>
      <c r="H65" s="232">
        <f t="shared" si="0"/>
        <v>898543</v>
      </c>
      <c r="I65" s="215" t="str">
        <f t="shared" si="0"/>
        <v>XXXXXX</v>
      </c>
      <c r="J65" s="77"/>
      <c r="K65" s="77"/>
      <c r="L65" s="77"/>
      <c r="M65" s="77"/>
      <c r="N65" s="77"/>
      <c r="O65" s="77"/>
      <c r="P65" s="77"/>
      <c r="Q65" s="77"/>
      <c r="R65" s="77"/>
    </row>
    <row r="66" spans="1:18" ht="14.25">
      <c r="A66" s="219"/>
      <c r="B66" s="220"/>
      <c r="C66" s="216" t="s">
        <v>891</v>
      </c>
      <c r="D66" s="217"/>
      <c r="E66" s="221"/>
      <c r="F66" s="222">
        <f>SUM(G66:I66)</f>
        <v>15663017</v>
      </c>
      <c r="G66" s="222">
        <f>SUM(G63:G65)</f>
        <v>0</v>
      </c>
      <c r="H66" s="222">
        <f>SUM(H63:H65)</f>
        <v>10783827</v>
      </c>
      <c r="I66" s="222">
        <f>SUM(I63:I65)</f>
        <v>4879190</v>
      </c>
      <c r="J66" s="77"/>
      <c r="K66" s="77"/>
      <c r="L66" s="77"/>
      <c r="M66" s="77"/>
      <c r="N66" s="77"/>
      <c r="O66" s="77"/>
      <c r="P66" s="77"/>
      <c r="Q66" s="77"/>
      <c r="R66" s="77"/>
    </row>
    <row r="67" spans="1:18" ht="14.25">
      <c r="A67" s="217"/>
      <c r="B67" s="219"/>
      <c r="C67" s="216" t="s">
        <v>892</v>
      </c>
      <c r="D67" s="217"/>
      <c r="E67" s="221"/>
      <c r="F67" s="223">
        <f>+G67+H67+I67</f>
        <v>1</v>
      </c>
      <c r="G67" s="223">
        <f>ROUND(G66/F66,5)</f>
        <v>0</v>
      </c>
      <c r="H67" s="223">
        <f>ROUND(H66/F66,5)</f>
        <v>0.68849</v>
      </c>
      <c r="I67" s="223">
        <f>ROUND(I66/F66,5)</f>
        <v>0.31151</v>
      </c>
      <c r="J67" s="77" t="str">
        <f>IF(F67=1," ",1)</f>
        <v> </v>
      </c>
      <c r="K67" s="77"/>
      <c r="L67" s="77"/>
      <c r="M67" s="77"/>
      <c r="N67" s="77"/>
      <c r="O67" s="77"/>
      <c r="P67" s="77"/>
      <c r="Q67" s="77"/>
      <c r="R67" s="77"/>
    </row>
    <row r="68" spans="1:18" ht="9.75" customHeight="1">
      <c r="A68" s="217"/>
      <c r="B68" s="219"/>
      <c r="C68" s="219"/>
      <c r="D68" s="217"/>
      <c r="E68" s="221"/>
      <c r="F68" s="224"/>
      <c r="G68" s="224"/>
      <c r="H68" s="224"/>
      <c r="I68" s="224"/>
      <c r="J68" s="77"/>
      <c r="K68" s="77"/>
      <c r="L68" s="77"/>
      <c r="M68" s="77"/>
      <c r="N68" s="77"/>
      <c r="O68" s="77"/>
      <c r="P68" s="77"/>
      <c r="Q68" s="77"/>
      <c r="R68" s="77"/>
    </row>
    <row r="69" spans="1:18" ht="14.25">
      <c r="A69" s="217"/>
      <c r="B69" s="219"/>
      <c r="C69" s="216" t="s">
        <v>276</v>
      </c>
      <c r="D69" s="217"/>
      <c r="E69" s="221"/>
      <c r="F69" s="219">
        <f>SUM(G69:I69)</f>
        <v>10399755</v>
      </c>
      <c r="G69" s="219">
        <v>0</v>
      </c>
      <c r="H69" s="219">
        <f aca="true" t="shared" si="1" ref="H69:I71">+H47</f>
        <v>7014016</v>
      </c>
      <c r="I69" s="219">
        <f t="shared" si="1"/>
        <v>3385739</v>
      </c>
      <c r="J69" s="77"/>
      <c r="K69" s="77"/>
      <c r="L69" s="77"/>
      <c r="M69" s="77"/>
      <c r="N69" s="77"/>
      <c r="O69" s="77"/>
      <c r="P69" s="77"/>
      <c r="Q69" s="77"/>
      <c r="R69" s="77"/>
    </row>
    <row r="70" spans="1:18" ht="14.25">
      <c r="A70" s="217"/>
      <c r="B70" s="219"/>
      <c r="C70" s="216" t="s">
        <v>893</v>
      </c>
      <c r="D70" s="217"/>
      <c r="E70" s="221"/>
      <c r="F70" s="219">
        <f>SUM(G70:I70)</f>
        <v>1257901</v>
      </c>
      <c r="G70" s="219">
        <v>0</v>
      </c>
      <c r="H70" s="219">
        <f t="shared" si="1"/>
        <v>292232</v>
      </c>
      <c r="I70" s="219">
        <f t="shared" si="1"/>
        <v>965669</v>
      </c>
      <c r="J70" s="77"/>
      <c r="K70" s="77"/>
      <c r="L70" s="77"/>
      <c r="M70" s="77"/>
      <c r="N70" s="77"/>
      <c r="O70" s="77"/>
      <c r="P70" s="77"/>
      <c r="Q70" s="77"/>
      <c r="R70" s="77"/>
    </row>
    <row r="71" spans="1:18" ht="14.25">
      <c r="A71" s="217"/>
      <c r="B71" s="219"/>
      <c r="C71" s="216" t="s">
        <v>901</v>
      </c>
      <c r="D71" s="217"/>
      <c r="E71" s="221"/>
      <c r="F71" s="219">
        <f>SUM(G71:I71)</f>
        <v>974253</v>
      </c>
      <c r="G71" s="219">
        <v>0</v>
      </c>
      <c r="H71" s="219">
        <f t="shared" si="1"/>
        <v>974253</v>
      </c>
      <c r="I71" s="215" t="str">
        <f t="shared" si="1"/>
        <v>XXXXXX</v>
      </c>
      <c r="J71" s="77"/>
      <c r="K71" s="77"/>
      <c r="L71" s="77"/>
      <c r="M71" s="77"/>
      <c r="N71" s="77"/>
      <c r="O71" s="77"/>
      <c r="P71" s="77"/>
      <c r="Q71" s="77"/>
      <c r="R71" s="77"/>
    </row>
    <row r="72" spans="1:18" ht="14.25">
      <c r="A72" s="217"/>
      <c r="B72" s="219"/>
      <c r="C72" s="216" t="s">
        <v>891</v>
      </c>
      <c r="D72" s="217"/>
      <c r="E72" s="221"/>
      <c r="F72" s="222">
        <f>SUM(G72:I72)</f>
        <v>12631909</v>
      </c>
      <c r="G72" s="222">
        <f>SUM(G69:G71)</f>
        <v>0</v>
      </c>
      <c r="H72" s="222">
        <f>SUM(H69:H71)</f>
        <v>8280501</v>
      </c>
      <c r="I72" s="222">
        <f>SUM(I69:I71)</f>
        <v>4351408</v>
      </c>
      <c r="J72" s="77"/>
      <c r="K72" s="77"/>
      <c r="L72" s="77"/>
      <c r="M72" s="77"/>
      <c r="N72" s="77"/>
      <c r="O72" s="77"/>
      <c r="P72" s="77"/>
      <c r="Q72" s="77"/>
      <c r="R72" s="77"/>
    </row>
    <row r="73" spans="1:18" ht="14.25">
      <c r="A73" s="217"/>
      <c r="B73" s="219"/>
      <c r="C73" s="216" t="s">
        <v>892</v>
      </c>
      <c r="D73" s="217"/>
      <c r="E73" s="221"/>
      <c r="F73" s="223">
        <f>+G73+H73+I73</f>
        <v>1</v>
      </c>
      <c r="G73" s="223">
        <f>ROUND(G72/F72,5)</f>
        <v>0</v>
      </c>
      <c r="H73" s="223">
        <f>ROUND(H72/F72,5)</f>
        <v>0.65552</v>
      </c>
      <c r="I73" s="223">
        <f>ROUND(I72/F72,5)</f>
        <v>0.34448</v>
      </c>
      <c r="J73" s="77" t="str">
        <f>IF(F73=1," ",1)</f>
        <v> </v>
      </c>
      <c r="K73" s="77"/>
      <c r="L73" s="77"/>
      <c r="M73" s="77"/>
      <c r="N73" s="77"/>
      <c r="O73" s="77"/>
      <c r="P73" s="77"/>
      <c r="Q73" s="77"/>
      <c r="R73" s="77"/>
    </row>
    <row r="74" spans="1:18" ht="12" customHeight="1">
      <c r="A74" s="217"/>
      <c r="B74" s="219"/>
      <c r="C74" s="219"/>
      <c r="D74" s="217"/>
      <c r="E74" s="221"/>
      <c r="F74" s="224"/>
      <c r="G74" s="224"/>
      <c r="H74" s="224"/>
      <c r="I74" s="224"/>
      <c r="J74" s="77"/>
      <c r="K74" s="77"/>
      <c r="L74" s="77"/>
      <c r="M74" s="77"/>
      <c r="N74" s="77"/>
      <c r="O74" s="77"/>
      <c r="P74" s="77"/>
      <c r="Q74" s="77"/>
      <c r="R74" s="77"/>
    </row>
    <row r="75" spans="1:18" ht="14.25">
      <c r="A75" s="217"/>
      <c r="B75" s="219"/>
      <c r="C75" s="216" t="str">
        <f>+C53</f>
        <v>   Number of Customers at 12/31/07</v>
      </c>
      <c r="D75" s="217"/>
      <c r="E75" s="221"/>
      <c r="F75" s="219">
        <f>SUM(G75:I75)</f>
        <v>310675</v>
      </c>
      <c r="G75" s="219">
        <v>0</v>
      </c>
      <c r="H75" s="219">
        <f>+H53</f>
        <v>215336</v>
      </c>
      <c r="I75" s="219">
        <f>+I53</f>
        <v>95339</v>
      </c>
      <c r="J75" s="77"/>
      <c r="K75" s="77"/>
      <c r="L75" s="77"/>
      <c r="M75" s="77"/>
      <c r="N75" s="77"/>
      <c r="O75" s="77"/>
      <c r="P75" s="77"/>
      <c r="Q75" s="77"/>
      <c r="R75" s="77"/>
    </row>
    <row r="76" spans="1:18" ht="14.25">
      <c r="A76" s="217"/>
      <c r="B76" s="219"/>
      <c r="C76" s="216" t="s">
        <v>892</v>
      </c>
      <c r="D76" s="217"/>
      <c r="E76" s="221"/>
      <c r="F76" s="223">
        <f>+G76+H76+I76</f>
        <v>1</v>
      </c>
      <c r="G76" s="223">
        <f>ROUND(G75/F75,5)</f>
        <v>0</v>
      </c>
      <c r="H76" s="223">
        <f>ROUND(H75/F75,5)</f>
        <v>0.69312</v>
      </c>
      <c r="I76" s="223">
        <f>ROUND(I75/F75,5)</f>
        <v>0.30688</v>
      </c>
      <c r="J76" s="77" t="str">
        <f>IF(F76=1," ",1)</f>
        <v> </v>
      </c>
      <c r="K76" s="77"/>
      <c r="L76" s="77"/>
      <c r="M76" s="77"/>
      <c r="N76" s="77"/>
      <c r="O76" s="77"/>
      <c r="P76" s="77"/>
      <c r="Q76" s="77"/>
      <c r="R76" s="77"/>
    </row>
    <row r="77" spans="1:18" ht="12" customHeight="1">
      <c r="A77" s="217"/>
      <c r="B77" s="219"/>
      <c r="C77" s="219"/>
      <c r="D77" s="217"/>
      <c r="E77" s="221"/>
      <c r="F77" s="224"/>
      <c r="G77" s="224"/>
      <c r="H77" s="224"/>
      <c r="I77" s="224"/>
      <c r="J77" s="77"/>
      <c r="K77" s="77"/>
      <c r="L77" s="77"/>
      <c r="M77" s="77"/>
      <c r="N77" s="77"/>
      <c r="O77" s="77"/>
      <c r="P77" s="77"/>
      <c r="Q77" s="77"/>
      <c r="R77" s="77"/>
    </row>
    <row r="78" spans="1:18" ht="14.25">
      <c r="A78" s="217"/>
      <c r="B78" s="219"/>
      <c r="C78" s="216" t="s">
        <v>895</v>
      </c>
      <c r="D78" s="217"/>
      <c r="E78" s="221"/>
      <c r="F78" s="219">
        <f>SUM(G78:I78)</f>
        <v>365638826</v>
      </c>
      <c r="G78" s="74"/>
      <c r="H78" s="74">
        <v>251988153</v>
      </c>
      <c r="I78" s="74">
        <v>113650673</v>
      </c>
      <c r="J78" s="77"/>
      <c r="K78" s="77"/>
      <c r="L78" s="77"/>
      <c r="M78" s="77"/>
      <c r="N78" s="77"/>
      <c r="O78" s="77"/>
      <c r="P78" s="77"/>
      <c r="Q78" s="77"/>
      <c r="R78" s="77"/>
    </row>
    <row r="79" spans="1:18" ht="14.25">
      <c r="A79" s="217"/>
      <c r="B79" s="219"/>
      <c r="C79" s="216" t="s">
        <v>892</v>
      </c>
      <c r="D79" s="217"/>
      <c r="E79" s="221"/>
      <c r="F79" s="223">
        <f>+G79+H79+I79</f>
        <v>1</v>
      </c>
      <c r="G79" s="223">
        <f>ROUND(G78/F78,5)</f>
        <v>0</v>
      </c>
      <c r="H79" s="223">
        <f>ROUND(H78/F78,5)</f>
        <v>0.68917</v>
      </c>
      <c r="I79" s="223">
        <f>ROUND(I78/F78,5)</f>
        <v>0.31083</v>
      </c>
      <c r="J79" s="77" t="str">
        <f>IF(F79=1," ",1)</f>
        <v> </v>
      </c>
      <c r="K79" s="77"/>
      <c r="L79" s="77"/>
      <c r="M79" s="77"/>
      <c r="N79" s="77"/>
      <c r="O79" s="77"/>
      <c r="P79" s="77"/>
      <c r="Q79" s="77"/>
      <c r="R79" s="77"/>
    </row>
    <row r="80" spans="1:18" ht="12" customHeight="1">
      <c r="A80" s="217"/>
      <c r="B80" s="219"/>
      <c r="C80" s="219"/>
      <c r="D80" s="217"/>
      <c r="E80" s="221"/>
      <c r="F80" s="219"/>
      <c r="G80" s="219"/>
      <c r="H80" s="219"/>
      <c r="I80" s="224"/>
      <c r="J80" s="77"/>
      <c r="K80" s="77"/>
      <c r="L80" s="77"/>
      <c r="M80" s="77"/>
      <c r="N80" s="77"/>
      <c r="O80" s="77"/>
      <c r="P80" s="77"/>
      <c r="Q80" s="77"/>
      <c r="R80" s="77"/>
    </row>
    <row r="81" spans="1:18" ht="14.25">
      <c r="A81" s="217"/>
      <c r="B81" s="219"/>
      <c r="C81" s="216" t="s">
        <v>896</v>
      </c>
      <c r="D81" s="217"/>
      <c r="E81" s="221"/>
      <c r="F81" s="223">
        <f>+F79+F76+F73+F67</f>
        <v>4</v>
      </c>
      <c r="G81" s="223">
        <f>+G79+G76+G73+G67</f>
        <v>0</v>
      </c>
      <c r="H81" s="223">
        <f>+H79+H76+H73+H67</f>
        <v>2.7263</v>
      </c>
      <c r="I81" s="223">
        <f>+I79+I76+I73+I67</f>
        <v>1.2737</v>
      </c>
      <c r="J81" s="77"/>
      <c r="K81" s="77"/>
      <c r="L81" s="77"/>
      <c r="M81" s="77"/>
      <c r="N81" s="77"/>
      <c r="O81" s="77"/>
      <c r="P81" s="77"/>
      <c r="Q81" s="77"/>
      <c r="R81" s="77"/>
    </row>
    <row r="82" spans="1:18" ht="15" thickBot="1">
      <c r="A82" s="215">
        <v>8</v>
      </c>
      <c r="B82" s="220"/>
      <c r="C82" s="216" t="s">
        <v>925</v>
      </c>
      <c r="D82" s="217"/>
      <c r="E82" s="221"/>
      <c r="F82" s="76">
        <f>+G82+H82+I82</f>
        <v>1</v>
      </c>
      <c r="G82" s="76">
        <f>ROUND(G81/4,5)</f>
        <v>0</v>
      </c>
      <c r="H82" s="75">
        <f>ROUND(H81/4,5)-0.00001</f>
        <v>0.68157</v>
      </c>
      <c r="I82" s="76">
        <f>ROUND(I81/4,5)</f>
        <v>0.31843</v>
      </c>
      <c r="J82" s="77" t="str">
        <f>IF(F82=1," ",1)</f>
        <v> </v>
      </c>
      <c r="K82" s="77"/>
      <c r="L82" s="77"/>
      <c r="M82" s="77"/>
      <c r="N82" s="77"/>
      <c r="O82" s="77"/>
      <c r="P82" s="77"/>
      <c r="Q82" s="77"/>
      <c r="R82" s="77"/>
    </row>
    <row r="83" spans="1:18" ht="15" thickTop="1">
      <c r="A83" s="215"/>
      <c r="B83" s="220"/>
      <c r="C83" s="216"/>
      <c r="D83" s="217"/>
      <c r="E83" s="221"/>
      <c r="F83" s="224"/>
      <c r="G83" s="224"/>
      <c r="H83" s="224"/>
      <c r="I83" s="224"/>
      <c r="J83" s="77"/>
      <c r="K83" s="77"/>
      <c r="L83" s="77"/>
      <c r="M83" s="77"/>
      <c r="N83" s="77"/>
      <c r="O83" s="77"/>
      <c r="P83" s="77"/>
      <c r="Q83" s="77"/>
      <c r="R83" s="77"/>
    </row>
    <row r="84" spans="1:18" ht="14.25">
      <c r="A84" s="82"/>
      <c r="B84" s="83"/>
      <c r="C84" s="77"/>
      <c r="E84" s="213"/>
      <c r="F84" s="117"/>
      <c r="G84" s="117"/>
      <c r="H84" s="117"/>
      <c r="I84" s="117"/>
      <c r="J84" s="77"/>
      <c r="K84" s="77"/>
      <c r="L84" s="77"/>
      <c r="M84" s="77"/>
      <c r="N84" s="77"/>
      <c r="O84" s="77"/>
      <c r="P84" s="77"/>
      <c r="Q84" s="77"/>
      <c r="R84" s="77"/>
    </row>
    <row r="85" spans="1:18" ht="14.25">
      <c r="A85" s="219"/>
      <c r="B85" s="215" t="s">
        <v>879</v>
      </c>
      <c r="C85" s="216" t="s">
        <v>243</v>
      </c>
      <c r="D85" s="217"/>
      <c r="E85" s="231">
        <f>+E62</f>
        <v>37986</v>
      </c>
      <c r="F85" s="227" t="s">
        <v>891</v>
      </c>
      <c r="G85" s="227" t="s">
        <v>897</v>
      </c>
      <c r="H85" s="227" t="s">
        <v>258</v>
      </c>
      <c r="I85" s="228" t="s">
        <v>246</v>
      </c>
      <c r="J85" s="77"/>
      <c r="K85" s="77"/>
      <c r="L85" s="77"/>
      <c r="M85" s="77"/>
      <c r="N85" s="77"/>
      <c r="O85" s="77"/>
      <c r="P85" s="77"/>
      <c r="Q85" s="77"/>
      <c r="R85" s="77"/>
    </row>
    <row r="86" spans="1:18" ht="14.25">
      <c r="A86" s="219"/>
      <c r="B86" s="220"/>
      <c r="C86" s="216" t="s">
        <v>689</v>
      </c>
      <c r="D86" s="217"/>
      <c r="E86" s="221"/>
      <c r="F86" s="219">
        <f>SUM(G86:I86)</f>
        <v>35933419</v>
      </c>
      <c r="G86" s="219">
        <f>+G40</f>
        <v>32765739</v>
      </c>
      <c r="H86" s="219">
        <f>+H40</f>
        <v>3167680</v>
      </c>
      <c r="I86" s="219">
        <v>0</v>
      </c>
      <c r="J86" s="77"/>
      <c r="K86" s="77"/>
      <c r="L86" s="77"/>
      <c r="M86" s="77"/>
      <c r="N86" s="77"/>
      <c r="O86" s="77"/>
      <c r="P86" s="77"/>
      <c r="Q86" s="77"/>
      <c r="R86" s="77"/>
    </row>
    <row r="87" spans="1:18" ht="14.25">
      <c r="A87" s="219"/>
      <c r="B87" s="220"/>
      <c r="C87" s="216" t="s">
        <v>890</v>
      </c>
      <c r="D87" s="217"/>
      <c r="E87" s="221"/>
      <c r="F87" s="219">
        <f>SUM(G87:I87)</f>
        <v>23264202</v>
      </c>
      <c r="G87" s="219">
        <f>+G41</f>
        <v>16546598</v>
      </c>
      <c r="H87" s="219">
        <f>+H41</f>
        <v>6717604</v>
      </c>
      <c r="I87" s="219">
        <v>0</v>
      </c>
      <c r="J87" s="77"/>
      <c r="K87" s="77"/>
      <c r="L87" s="77"/>
      <c r="M87" s="77"/>
      <c r="N87" s="77"/>
      <c r="O87" s="77"/>
      <c r="P87" s="77"/>
      <c r="Q87" s="77"/>
      <c r="R87" s="77"/>
    </row>
    <row r="88" spans="1:18" ht="14.25">
      <c r="A88" s="219"/>
      <c r="B88" s="219"/>
      <c r="C88" s="219" t="s">
        <v>105</v>
      </c>
      <c r="D88" s="217"/>
      <c r="E88" s="221"/>
      <c r="F88" s="219">
        <f>SUM(G88:I88)</f>
        <v>0</v>
      </c>
      <c r="G88" s="219">
        <f>+G43</f>
        <v>0</v>
      </c>
      <c r="H88" s="219">
        <f>+H43</f>
        <v>0</v>
      </c>
      <c r="I88" s="219">
        <v>0</v>
      </c>
      <c r="J88" s="77"/>
      <c r="K88" s="77"/>
      <c r="L88" s="77"/>
      <c r="M88" s="77"/>
      <c r="N88" s="77"/>
      <c r="O88" s="77"/>
      <c r="P88" s="77"/>
      <c r="Q88" s="77"/>
      <c r="R88" s="77"/>
    </row>
    <row r="89" spans="1:18" ht="14.25">
      <c r="A89" s="219"/>
      <c r="B89" s="220"/>
      <c r="C89" s="216" t="s">
        <v>891</v>
      </c>
      <c r="D89" s="217"/>
      <c r="E89" s="221"/>
      <c r="F89" s="222">
        <f>SUM(G89:I89)</f>
        <v>59197621</v>
      </c>
      <c r="G89" s="222">
        <f>SUM(G86:G88)</f>
        <v>49312337</v>
      </c>
      <c r="H89" s="222">
        <f>SUM(H86:H88)</f>
        <v>9885284</v>
      </c>
      <c r="I89" s="222">
        <f>SUM(I86:I88)</f>
        <v>0</v>
      </c>
      <c r="J89" s="77"/>
      <c r="K89" s="77"/>
      <c r="L89" s="77"/>
      <c r="M89" s="77"/>
      <c r="N89" s="77"/>
      <c r="O89" s="77"/>
      <c r="P89" s="77"/>
      <c r="Q89" s="77"/>
      <c r="R89" s="77"/>
    </row>
    <row r="90" spans="1:18" ht="14.25">
      <c r="A90" s="217"/>
      <c r="B90" s="219"/>
      <c r="C90" s="216" t="s">
        <v>892</v>
      </c>
      <c r="D90" s="217"/>
      <c r="E90" s="221"/>
      <c r="F90" s="223">
        <f>+G90+H90+I90</f>
        <v>1</v>
      </c>
      <c r="G90" s="223">
        <f>ROUND(G89/F89,5)</f>
        <v>0.83301</v>
      </c>
      <c r="H90" s="223">
        <f>ROUND(H89/F89,5)</f>
        <v>0.16699</v>
      </c>
      <c r="I90" s="223">
        <f>ROUND(I89/F89,5)</f>
        <v>0</v>
      </c>
      <c r="J90" s="77" t="str">
        <f>IF(F90=1," ",1)</f>
        <v> </v>
      </c>
      <c r="K90" s="77"/>
      <c r="L90" s="77"/>
      <c r="M90" s="77"/>
      <c r="N90" s="77"/>
      <c r="O90" s="77"/>
      <c r="P90" s="77"/>
      <c r="Q90" s="77"/>
      <c r="R90" s="77"/>
    </row>
    <row r="91" spans="1:18" ht="14.25">
      <c r="A91" s="217"/>
      <c r="B91" s="219"/>
      <c r="C91" s="219"/>
      <c r="D91" s="217"/>
      <c r="E91" s="221"/>
      <c r="F91" s="224"/>
      <c r="G91" s="224"/>
      <c r="H91" s="224"/>
      <c r="I91" s="224"/>
      <c r="J91" s="77"/>
      <c r="K91" s="77"/>
      <c r="L91" s="77"/>
      <c r="M91" s="77"/>
      <c r="N91" s="77"/>
      <c r="O91" s="77"/>
      <c r="P91" s="77"/>
      <c r="Q91" s="77"/>
      <c r="R91" s="77"/>
    </row>
    <row r="92" spans="1:18" ht="14.25">
      <c r="A92" s="217"/>
      <c r="B92" s="219"/>
      <c r="C92" s="216" t="s">
        <v>276</v>
      </c>
      <c r="D92" s="217"/>
      <c r="E92" s="221"/>
      <c r="F92" s="219">
        <f>SUM(G92:I92)</f>
        <v>44395249</v>
      </c>
      <c r="G92" s="219">
        <f>+G47</f>
        <v>37381233</v>
      </c>
      <c r="H92" s="219">
        <f>+H47</f>
        <v>7014016</v>
      </c>
      <c r="I92" s="219">
        <v>0</v>
      </c>
      <c r="J92" s="77"/>
      <c r="K92" s="77"/>
      <c r="L92" s="77"/>
      <c r="M92" s="77"/>
      <c r="N92" s="77"/>
      <c r="O92" s="77"/>
      <c r="P92" s="77"/>
      <c r="Q92" s="77"/>
      <c r="R92" s="77"/>
    </row>
    <row r="93" spans="1:18" ht="14.25">
      <c r="A93" s="217"/>
      <c r="B93" s="219"/>
      <c r="C93" s="216" t="s">
        <v>893</v>
      </c>
      <c r="D93" s="217"/>
      <c r="E93" s="221"/>
      <c r="F93" s="219">
        <f>SUM(G93:I93)</f>
        <v>3639716</v>
      </c>
      <c r="G93" s="219">
        <f>+G48</f>
        <v>3347484</v>
      </c>
      <c r="H93" s="219">
        <f>+H48</f>
        <v>292232</v>
      </c>
      <c r="I93" s="219">
        <v>0</v>
      </c>
      <c r="J93" s="77"/>
      <c r="K93" s="77"/>
      <c r="L93" s="77"/>
      <c r="M93" s="77"/>
      <c r="N93" s="77"/>
      <c r="O93" s="77"/>
      <c r="P93" s="77"/>
      <c r="Q93" s="77"/>
      <c r="R93" s="77"/>
    </row>
    <row r="94" spans="1:18" ht="14.25">
      <c r="A94" s="217"/>
      <c r="B94" s="219"/>
      <c r="C94" s="216"/>
      <c r="D94" s="217"/>
      <c r="E94" s="221"/>
      <c r="F94" s="219"/>
      <c r="G94" s="219"/>
      <c r="H94" s="219"/>
      <c r="I94" s="219"/>
      <c r="J94" s="77"/>
      <c r="K94" s="77"/>
      <c r="L94" s="77"/>
      <c r="M94" s="77"/>
      <c r="N94" s="77"/>
      <c r="O94" s="77"/>
      <c r="P94" s="77"/>
      <c r="Q94" s="77"/>
      <c r="R94" s="77"/>
    </row>
    <row r="95" spans="1:18" ht="14.25">
      <c r="A95" s="217"/>
      <c r="B95" s="219"/>
      <c r="C95" s="216" t="s">
        <v>891</v>
      </c>
      <c r="D95" s="217"/>
      <c r="E95" s="221"/>
      <c r="F95" s="222">
        <f>SUM(G95:I95)</f>
        <v>48034965</v>
      </c>
      <c r="G95" s="222">
        <f>SUM(G92:G94)</f>
        <v>40728717</v>
      </c>
      <c r="H95" s="222">
        <f>SUM(H92:H94)</f>
        <v>7306248</v>
      </c>
      <c r="I95" s="222">
        <f>SUM(I92:I94)</f>
        <v>0</v>
      </c>
      <c r="J95" s="77"/>
      <c r="K95" s="77"/>
      <c r="L95" s="77"/>
      <c r="M95" s="77"/>
      <c r="N95" s="77"/>
      <c r="O95" s="77"/>
      <c r="P95" s="77"/>
      <c r="Q95" s="77"/>
      <c r="R95" s="77"/>
    </row>
    <row r="96" spans="1:18" ht="14.25">
      <c r="A96" s="217"/>
      <c r="B96" s="219"/>
      <c r="C96" s="216" t="s">
        <v>892</v>
      </c>
      <c r="D96" s="217"/>
      <c r="E96" s="221"/>
      <c r="F96" s="223">
        <f>+G96+H96+I96</f>
        <v>1</v>
      </c>
      <c r="G96" s="223">
        <f>ROUND(G95/F95,5)</f>
        <v>0.8479</v>
      </c>
      <c r="H96" s="223">
        <f>ROUND(H95/F95,5)</f>
        <v>0.1521</v>
      </c>
      <c r="I96" s="223">
        <f>ROUND(I95/F95,5)</f>
        <v>0</v>
      </c>
      <c r="J96" s="77" t="str">
        <f>IF(F96=1," ",1)</f>
        <v> </v>
      </c>
      <c r="K96" s="77"/>
      <c r="L96" s="77"/>
      <c r="M96" s="77"/>
      <c r="N96" s="77"/>
      <c r="O96" s="77"/>
      <c r="P96" s="77"/>
      <c r="Q96" s="77"/>
      <c r="R96" s="77"/>
    </row>
    <row r="97" spans="1:18" ht="14.25">
      <c r="A97" s="217"/>
      <c r="B97" s="219"/>
      <c r="C97" s="219"/>
      <c r="D97" s="217"/>
      <c r="E97" s="221"/>
      <c r="F97" s="224"/>
      <c r="G97" s="224"/>
      <c r="H97" s="224"/>
      <c r="I97" s="224"/>
      <c r="J97" s="77"/>
      <c r="K97" s="77"/>
      <c r="L97" s="77"/>
      <c r="M97" s="77"/>
      <c r="N97" s="77"/>
      <c r="O97" s="77"/>
      <c r="P97" s="77"/>
      <c r="Q97" s="77"/>
      <c r="R97" s="77"/>
    </row>
    <row r="98" spans="1:18" ht="14.25">
      <c r="A98" s="217"/>
      <c r="B98" s="219"/>
      <c r="C98" s="216" t="str">
        <f>+C75</f>
        <v>   Number of Customers at 12/31/07</v>
      </c>
      <c r="D98" s="217"/>
      <c r="E98" s="221"/>
      <c r="F98" s="219">
        <f>SUM(G98:I98)</f>
        <v>566921</v>
      </c>
      <c r="G98" s="219">
        <f>+G53</f>
        <v>351585</v>
      </c>
      <c r="H98" s="219">
        <f>+H53</f>
        <v>215336</v>
      </c>
      <c r="I98" s="219">
        <v>0</v>
      </c>
      <c r="J98" s="77"/>
      <c r="K98" s="77"/>
      <c r="L98" s="77"/>
      <c r="M98" s="77"/>
      <c r="N98" s="77"/>
      <c r="O98" s="77"/>
      <c r="P98" s="77"/>
      <c r="Q98" s="77"/>
      <c r="R98" s="77"/>
    </row>
    <row r="99" spans="1:18" ht="14.25">
      <c r="A99" s="217"/>
      <c r="B99" s="219"/>
      <c r="C99" s="216" t="s">
        <v>892</v>
      </c>
      <c r="D99" s="217"/>
      <c r="E99" s="221"/>
      <c r="F99" s="223">
        <f>+G99+H99+I99</f>
        <v>1</v>
      </c>
      <c r="G99" s="223">
        <f>ROUND(G98/F98,5)</f>
        <v>0.62017</v>
      </c>
      <c r="H99" s="223">
        <f>ROUND(H98/F98,5)</f>
        <v>0.37983</v>
      </c>
      <c r="I99" s="223">
        <f>ROUND(I98/F98,5)</f>
        <v>0</v>
      </c>
      <c r="J99" s="77" t="str">
        <f>IF(F99=1," ",1)</f>
        <v> </v>
      </c>
      <c r="K99" s="77"/>
      <c r="L99" s="77"/>
      <c r="M99" s="77"/>
      <c r="N99" s="77"/>
      <c r="O99" s="77"/>
      <c r="P99" s="77"/>
      <c r="Q99" s="77"/>
      <c r="R99" s="77"/>
    </row>
    <row r="100" spans="1:18" ht="14.25">
      <c r="A100" s="217"/>
      <c r="B100" s="219"/>
      <c r="C100" s="219"/>
      <c r="D100" s="217"/>
      <c r="E100" s="221"/>
      <c r="F100" s="224"/>
      <c r="G100" s="224"/>
      <c r="H100" s="224"/>
      <c r="I100" s="224"/>
      <c r="J100" s="77"/>
      <c r="K100" s="77"/>
      <c r="L100" s="77"/>
      <c r="M100" s="77"/>
      <c r="N100" s="77"/>
      <c r="O100" s="77"/>
      <c r="P100" s="77"/>
      <c r="Q100" s="77"/>
      <c r="R100" s="77"/>
    </row>
    <row r="101" spans="1:18" ht="14.25">
      <c r="A101" s="217"/>
      <c r="B101" s="219"/>
      <c r="C101" s="216" t="s">
        <v>895</v>
      </c>
      <c r="D101" s="217"/>
      <c r="E101" s="221"/>
      <c r="F101" s="219">
        <f>SUM(G101:I101)</f>
        <v>1850111655</v>
      </c>
      <c r="G101" s="74">
        <v>1598123502</v>
      </c>
      <c r="H101" s="219">
        <f>+H78</f>
        <v>251988153</v>
      </c>
      <c r="I101" s="74">
        <v>0</v>
      </c>
      <c r="J101" s="77"/>
      <c r="K101" s="77"/>
      <c r="L101" s="77"/>
      <c r="M101" s="77"/>
      <c r="N101" s="77"/>
      <c r="O101" s="77"/>
      <c r="P101" s="77"/>
      <c r="Q101" s="77"/>
      <c r="R101" s="77"/>
    </row>
    <row r="102" spans="1:18" ht="14.25">
      <c r="A102" s="217"/>
      <c r="B102" s="219"/>
      <c r="C102" s="216" t="s">
        <v>892</v>
      </c>
      <c r="D102" s="217"/>
      <c r="E102" s="221"/>
      <c r="F102" s="223">
        <f>+G102+H102+I102</f>
        <v>1</v>
      </c>
      <c r="G102" s="223">
        <f>ROUND(G101/F101,5)</f>
        <v>0.8638</v>
      </c>
      <c r="H102" s="223">
        <f>ROUND(H101/F101,5)</f>
        <v>0.1362</v>
      </c>
      <c r="I102" s="223">
        <f>ROUND(I101/F101,5)</f>
        <v>0</v>
      </c>
      <c r="J102" s="77" t="str">
        <f>IF(F102=1," ",1)</f>
        <v> </v>
      </c>
      <c r="K102" s="77"/>
      <c r="L102" s="77"/>
      <c r="M102" s="77"/>
      <c r="N102" s="77"/>
      <c r="O102" s="77"/>
      <c r="P102" s="77"/>
      <c r="Q102" s="77"/>
      <c r="R102" s="77"/>
    </row>
    <row r="103" spans="1:18" ht="14.25">
      <c r="A103" s="217"/>
      <c r="B103" s="219"/>
      <c r="C103" s="219"/>
      <c r="D103" s="217"/>
      <c r="E103" s="221"/>
      <c r="F103" s="219"/>
      <c r="G103" s="219"/>
      <c r="H103" s="219"/>
      <c r="I103" s="224"/>
      <c r="J103" s="77"/>
      <c r="K103" s="77"/>
      <c r="L103" s="77"/>
      <c r="M103" s="77"/>
      <c r="N103" s="77"/>
      <c r="O103" s="77"/>
      <c r="P103" s="77"/>
      <c r="Q103" s="77"/>
      <c r="R103" s="77"/>
    </row>
    <row r="104" spans="1:18" ht="14.25">
      <c r="A104" s="217"/>
      <c r="B104" s="219"/>
      <c r="C104" s="216" t="s">
        <v>896</v>
      </c>
      <c r="D104" s="217"/>
      <c r="E104" s="221"/>
      <c r="F104" s="223">
        <f>+F102+F99+F96+F90</f>
        <v>4</v>
      </c>
      <c r="G104" s="223">
        <f>+G102+G99+G96+G90</f>
        <v>3.16488</v>
      </c>
      <c r="H104" s="223">
        <f>+H102+H99+H96+H90</f>
        <v>0.83512</v>
      </c>
      <c r="I104" s="223">
        <f>+I102+I99+I96+I90</f>
        <v>0</v>
      </c>
      <c r="J104" s="77"/>
      <c r="K104" s="77"/>
      <c r="L104" s="77"/>
      <c r="M104" s="77"/>
      <c r="N104" s="77"/>
      <c r="O104" s="77"/>
      <c r="P104" s="77"/>
      <c r="Q104" s="77"/>
      <c r="R104" s="77"/>
    </row>
    <row r="105" spans="1:18" ht="15" thickBot="1">
      <c r="A105" s="215">
        <v>9</v>
      </c>
      <c r="B105" s="220"/>
      <c r="C105" s="216" t="s">
        <v>926</v>
      </c>
      <c r="D105" s="217"/>
      <c r="E105" s="221"/>
      <c r="F105" s="76">
        <f>+G105+H105+I105</f>
        <v>1</v>
      </c>
      <c r="G105" s="75">
        <f>ROUND(G104/4,5)</f>
        <v>0.79122</v>
      </c>
      <c r="H105" s="76">
        <f>ROUND(H104/4,5)</f>
        <v>0.20878</v>
      </c>
      <c r="I105" s="76">
        <f>ROUND(I104/4,5)</f>
        <v>0</v>
      </c>
      <c r="J105" s="77" t="str">
        <f>IF(F105=1," ",1)</f>
        <v> </v>
      </c>
      <c r="K105" s="77"/>
      <c r="L105" s="77"/>
      <c r="M105" s="77"/>
      <c r="N105" s="77"/>
      <c r="O105" s="77"/>
      <c r="P105" s="77"/>
      <c r="Q105" s="77"/>
      <c r="R105" s="77"/>
    </row>
    <row r="106" spans="1:18" ht="15" thickTop="1">
      <c r="A106" s="215"/>
      <c r="B106" s="220"/>
      <c r="C106" s="216"/>
      <c r="D106" s="217"/>
      <c r="E106" s="221"/>
      <c r="F106" s="224"/>
      <c r="G106" s="224"/>
      <c r="H106" s="224"/>
      <c r="I106" s="224"/>
      <c r="J106" s="77"/>
      <c r="K106" s="77"/>
      <c r="L106" s="77"/>
      <c r="M106" s="77"/>
      <c r="N106" s="77"/>
      <c r="O106" s="77"/>
      <c r="P106" s="77"/>
      <c r="Q106" s="77"/>
      <c r="R106" s="77"/>
    </row>
    <row r="107" spans="1:18" ht="14.25">
      <c r="A107" s="82"/>
      <c r="B107" s="83"/>
      <c r="C107" s="77"/>
      <c r="E107" s="213"/>
      <c r="F107" s="117"/>
      <c r="G107" s="117"/>
      <c r="H107" s="117"/>
      <c r="I107" s="117"/>
      <c r="J107" s="77"/>
      <c r="K107" s="77"/>
      <c r="L107" s="77"/>
      <c r="M107" s="77"/>
      <c r="N107" s="77"/>
      <c r="O107" s="77"/>
      <c r="P107" s="77"/>
      <c r="Q107" s="77"/>
      <c r="R107" s="77"/>
    </row>
    <row r="108" spans="2:18" ht="14.25">
      <c r="B108" s="82" t="s">
        <v>751</v>
      </c>
      <c r="C108" s="77" t="s">
        <v>902</v>
      </c>
      <c r="E108" s="213"/>
      <c r="F108" s="77">
        <f>'Electric Plant'!H74-'Electric Plant'!H99</f>
        <v>619325642</v>
      </c>
      <c r="G108" s="77">
        <f>'Electric Plant'!K74-'Electric Plant'!K99</f>
        <v>382942992</v>
      </c>
      <c r="H108" s="77">
        <f>'Electric Plant'!N74-'Electric Plant'!N99</f>
        <v>236382650</v>
      </c>
      <c r="I108" s="77"/>
      <c r="J108" s="77"/>
      <c r="K108" s="77"/>
      <c r="L108" s="77"/>
      <c r="M108" s="77"/>
      <c r="N108" s="77"/>
      <c r="O108" s="77"/>
      <c r="P108" s="77"/>
      <c r="Q108" s="77"/>
      <c r="R108" s="77"/>
    </row>
    <row r="109" spans="1:18" ht="15" thickBot="1">
      <c r="A109" s="82">
        <v>10</v>
      </c>
      <c r="B109" s="82"/>
      <c r="C109" s="77" t="s">
        <v>882</v>
      </c>
      <c r="E109" s="213"/>
      <c r="F109" s="214">
        <f>+G109+H109</f>
        <v>1</v>
      </c>
      <c r="G109" s="214">
        <f>G108/F108</f>
        <v>0.61832</v>
      </c>
      <c r="H109" s="214">
        <f>H108/F108</f>
        <v>0.38168</v>
      </c>
      <c r="I109" s="117"/>
      <c r="J109" s="77" t="str">
        <f>IF(F109=1," ",1)</f>
        <v> </v>
      </c>
      <c r="K109" s="77"/>
      <c r="L109" s="77"/>
      <c r="M109" s="77"/>
      <c r="N109" s="77"/>
      <c r="O109" s="77"/>
      <c r="P109" s="77"/>
      <c r="Q109" s="77"/>
      <c r="R109" s="77"/>
    </row>
    <row r="110" spans="1:18" ht="15" thickTop="1">
      <c r="A110" s="82"/>
      <c r="B110" s="82"/>
      <c r="C110" s="77"/>
      <c r="E110" s="213"/>
      <c r="F110" s="117"/>
      <c r="G110" s="117"/>
      <c r="H110" s="117"/>
      <c r="I110" s="117"/>
      <c r="J110" s="77"/>
      <c r="K110" s="77"/>
      <c r="L110" s="77"/>
      <c r="M110" s="77"/>
      <c r="N110" s="77"/>
      <c r="O110" s="77"/>
      <c r="P110" s="77"/>
      <c r="Q110" s="77"/>
      <c r="R110" s="77"/>
    </row>
    <row r="111" spans="1:18" ht="14.25">
      <c r="A111" s="82"/>
      <c r="B111" s="83"/>
      <c r="C111" s="77"/>
      <c r="E111" s="213"/>
      <c r="F111" s="117"/>
      <c r="G111" s="117"/>
      <c r="H111" s="117"/>
      <c r="I111" s="117"/>
      <c r="J111" s="77"/>
      <c r="K111" s="77"/>
      <c r="L111" s="77"/>
      <c r="M111" s="77"/>
      <c r="N111" s="77"/>
      <c r="O111" s="77"/>
      <c r="P111" s="77"/>
      <c r="Q111" s="77"/>
      <c r="R111" s="77"/>
    </row>
    <row r="112" spans="2:18" ht="14.25">
      <c r="B112" s="82" t="s">
        <v>737</v>
      </c>
      <c r="C112" s="77" t="s">
        <v>903</v>
      </c>
      <c r="E112" s="213"/>
      <c r="F112" s="77">
        <f>'Electric Operations - IS'!H105+'Electric Operations - IS'!H106+'Electric Operations - IS'!H110+'Electric Operations - IS'!H151+'Electric Operations - IS'!H191+'Electric Operations - IS'!H192</f>
        <v>70439042</v>
      </c>
      <c r="G112" s="77">
        <f>'Electric Operations - IS'!K105+'Electric Operations - IS'!K106+'Electric Operations - IS'!K110+'Electric Operations - IS'!K151+'Electric Operations - IS'!K191+'Electric Operations - IS'!K192</f>
        <v>45232826</v>
      </c>
      <c r="H112" s="77">
        <f>'Electric Operations - IS'!N105+'Electric Operations - IS'!N106+'Electric Operations - IS'!N110+'Electric Operations - IS'!N151+'Electric Operations - IS'!N191+'Electric Operations - IS'!N192</f>
        <v>25206216</v>
      </c>
      <c r="I112" s="77"/>
      <c r="J112" s="77"/>
      <c r="K112" s="77"/>
      <c r="L112" s="77"/>
      <c r="M112" s="77"/>
      <c r="N112" s="77"/>
      <c r="O112" s="77"/>
      <c r="P112" s="77"/>
      <c r="Q112" s="77"/>
      <c r="R112" s="77"/>
    </row>
    <row r="113" spans="1:18" ht="15" thickBot="1">
      <c r="A113" s="82">
        <v>11</v>
      </c>
      <c r="C113" s="77" t="s">
        <v>882</v>
      </c>
      <c r="E113" s="213"/>
      <c r="F113" s="214">
        <f>+G113+H113</f>
        <v>1</v>
      </c>
      <c r="G113" s="214">
        <f>G112/F112</f>
        <v>0.64216</v>
      </c>
      <c r="H113" s="214">
        <f>H112/F112</f>
        <v>0.35784</v>
      </c>
      <c r="I113" s="117"/>
      <c r="J113" s="77" t="str">
        <f>IF(F113=1," ",1)</f>
        <v> </v>
      </c>
      <c r="K113" s="77"/>
      <c r="L113" s="77"/>
      <c r="M113" s="77"/>
      <c r="N113" s="77"/>
      <c r="O113" s="77"/>
      <c r="P113" s="77"/>
      <c r="Q113" s="77"/>
      <c r="R113" s="77"/>
    </row>
    <row r="114" spans="1:18" ht="15" thickTop="1">
      <c r="A114" s="82"/>
      <c r="C114" s="77"/>
      <c r="E114" s="213"/>
      <c r="F114" s="117"/>
      <c r="G114" s="117"/>
      <c r="H114" s="117"/>
      <c r="I114" s="117"/>
      <c r="J114" s="77"/>
      <c r="K114" s="77"/>
      <c r="L114" s="77"/>
      <c r="M114" s="77"/>
      <c r="N114" s="77"/>
      <c r="O114" s="77"/>
      <c r="P114" s="77"/>
      <c r="Q114" s="77"/>
      <c r="R114" s="77"/>
    </row>
    <row r="115" spans="1:18" ht="14.25">
      <c r="A115" s="82"/>
      <c r="B115" s="83"/>
      <c r="C115" s="77"/>
      <c r="E115" s="213"/>
      <c r="F115" s="117"/>
      <c r="G115" s="117"/>
      <c r="H115" s="117"/>
      <c r="I115" s="117"/>
      <c r="J115" s="77"/>
      <c r="K115" s="77"/>
      <c r="L115" s="77"/>
      <c r="M115" s="77"/>
      <c r="N115" s="77"/>
      <c r="O115" s="77"/>
      <c r="P115" s="77"/>
      <c r="Q115" s="77"/>
      <c r="R115" s="77"/>
    </row>
    <row r="116" spans="2:18" ht="14.25">
      <c r="B116" s="82" t="s">
        <v>751</v>
      </c>
      <c r="C116" s="77" t="s">
        <v>904</v>
      </c>
      <c r="E116" s="213"/>
      <c r="F116" s="77">
        <f>'Electric Plant'!H113</f>
        <v>1658985076</v>
      </c>
      <c r="G116" s="77">
        <f>'Electric Plant'!K113</f>
        <v>1053828415</v>
      </c>
      <c r="H116" s="77">
        <f>'Electric Plant'!N113</f>
        <v>605156661</v>
      </c>
      <c r="I116" s="77"/>
      <c r="J116" s="77"/>
      <c r="K116" s="77"/>
      <c r="L116" s="77"/>
      <c r="M116" s="77"/>
      <c r="N116" s="77"/>
      <c r="O116" s="77"/>
      <c r="P116" s="77"/>
      <c r="Q116" s="77"/>
      <c r="R116" s="77"/>
    </row>
    <row r="117" spans="1:18" ht="15" thickBot="1">
      <c r="A117" s="82">
        <v>12</v>
      </c>
      <c r="B117" s="82"/>
      <c r="C117" s="77" t="s">
        <v>882</v>
      </c>
      <c r="E117" s="213"/>
      <c r="F117" s="214">
        <f>+G117+H117</f>
        <v>1</v>
      </c>
      <c r="G117" s="214">
        <f>G116/F116</f>
        <v>0.63522</v>
      </c>
      <c r="H117" s="214">
        <f>H116/F116</f>
        <v>0.36478</v>
      </c>
      <c r="I117" s="117"/>
      <c r="J117" s="77" t="str">
        <f>IF(F117=1," ",1)</f>
        <v> </v>
      </c>
      <c r="K117" s="77"/>
      <c r="L117" s="77"/>
      <c r="M117" s="77"/>
      <c r="N117" s="77"/>
      <c r="O117" s="77"/>
      <c r="P117" s="77"/>
      <c r="Q117" s="77"/>
      <c r="R117" s="77"/>
    </row>
    <row r="118" spans="1:18" ht="15" thickTop="1">
      <c r="A118" s="82"/>
      <c r="B118" s="82"/>
      <c r="C118" s="77"/>
      <c r="E118" s="213"/>
      <c r="F118" s="117"/>
      <c r="G118" s="117"/>
      <c r="H118" s="117"/>
      <c r="I118" s="117"/>
      <c r="J118" s="77"/>
      <c r="K118" s="77"/>
      <c r="L118" s="77"/>
      <c r="M118" s="77"/>
      <c r="N118" s="77"/>
      <c r="O118" s="77"/>
      <c r="P118" s="77"/>
      <c r="Q118" s="77"/>
      <c r="R118" s="77"/>
    </row>
    <row r="119" spans="1:18" ht="14.25">
      <c r="A119" s="82"/>
      <c r="B119" s="82"/>
      <c r="C119" s="77"/>
      <c r="E119" s="213"/>
      <c r="F119" s="117"/>
      <c r="G119" s="117"/>
      <c r="H119" s="117"/>
      <c r="I119" s="117"/>
      <c r="J119" s="77"/>
      <c r="K119" s="77"/>
      <c r="L119" s="77"/>
      <c r="M119" s="77"/>
      <c r="N119" s="77"/>
      <c r="O119" s="77"/>
      <c r="P119" s="77"/>
      <c r="Q119" s="77"/>
      <c r="R119" s="77"/>
    </row>
    <row r="120" spans="2:18" ht="14.25">
      <c r="B120" s="82" t="s">
        <v>751</v>
      </c>
      <c r="C120" s="77" t="s">
        <v>905</v>
      </c>
      <c r="E120" s="213"/>
      <c r="F120" s="77">
        <f>'Electric Plant'!H88-'Electric Plant'!H100-'Electric Plant'!H101</f>
        <v>76525538</v>
      </c>
      <c r="G120" s="77">
        <f>'Electric Plant'!K88-'Electric Plant'!K100-'Electric Plant'!K101</f>
        <v>48735392</v>
      </c>
      <c r="H120" s="77">
        <f>'Electric Plant'!N88-'Electric Plant'!N100-'Electric Plant'!N101</f>
        <v>27790146</v>
      </c>
      <c r="I120" s="77"/>
      <c r="J120" s="77"/>
      <c r="K120" s="77"/>
      <c r="L120" s="77"/>
      <c r="M120" s="77"/>
      <c r="N120" s="77"/>
      <c r="O120" s="77"/>
      <c r="P120" s="77"/>
      <c r="Q120" s="77"/>
      <c r="R120" s="77"/>
    </row>
    <row r="121" spans="1:18" ht="15" thickBot="1">
      <c r="A121" s="82">
        <v>13</v>
      </c>
      <c r="B121" s="82"/>
      <c r="C121" s="77" t="s">
        <v>882</v>
      </c>
      <c r="E121" s="213"/>
      <c r="F121" s="214">
        <f>+G121+H121</f>
        <v>1</v>
      </c>
      <c r="G121" s="214">
        <f>G120/F120</f>
        <v>0.63685</v>
      </c>
      <c r="H121" s="214">
        <f>H120/F120</f>
        <v>0.36315</v>
      </c>
      <c r="I121" s="117"/>
      <c r="J121" s="77" t="str">
        <f>IF(F121=1," ",1)</f>
        <v> </v>
      </c>
      <c r="K121" s="77"/>
      <c r="L121" s="77"/>
      <c r="M121" s="77"/>
      <c r="N121" s="77"/>
      <c r="O121" s="77"/>
      <c r="P121" s="77"/>
      <c r="Q121" s="77"/>
      <c r="R121" s="77"/>
    </row>
    <row r="122" spans="1:18" ht="15" thickTop="1">
      <c r="A122" s="82"/>
      <c r="B122" s="82"/>
      <c r="C122" s="77"/>
      <c r="E122" s="213"/>
      <c r="F122" s="117"/>
      <c r="G122" s="117"/>
      <c r="H122" s="117"/>
      <c r="I122" s="117"/>
      <c r="J122" s="77"/>
      <c r="K122" s="77"/>
      <c r="L122" s="77"/>
      <c r="M122" s="77"/>
      <c r="N122" s="77"/>
      <c r="O122" s="77"/>
      <c r="P122" s="77"/>
      <c r="Q122" s="77"/>
      <c r="R122" s="77"/>
    </row>
    <row r="123" spans="1:18" ht="14.25">
      <c r="A123" s="82"/>
      <c r="B123" s="82" t="s">
        <v>745</v>
      </c>
      <c r="C123" s="77" t="s">
        <v>312</v>
      </c>
      <c r="E123" s="213"/>
      <c r="F123" s="77">
        <f>+'E-SCM'!G84-'E-SCM'!G100</f>
        <v>-59632599</v>
      </c>
      <c r="G123" s="77">
        <f>+'E-SCM'!J84-'E-SCM'!J100</f>
        <v>-38097711</v>
      </c>
      <c r="H123" s="77">
        <f>+'E-SCM'!M84-'E-SCM'!M100</f>
        <v>-21534888</v>
      </c>
      <c r="I123" s="77"/>
      <c r="J123" s="77"/>
      <c r="K123" s="77"/>
      <c r="L123" s="77"/>
      <c r="M123" s="77"/>
      <c r="N123" s="77"/>
      <c r="O123" s="77"/>
      <c r="P123" s="77"/>
      <c r="Q123" s="77"/>
      <c r="R123" s="77"/>
    </row>
    <row r="124" spans="1:18" ht="15" thickBot="1">
      <c r="A124" s="82">
        <v>14</v>
      </c>
      <c r="B124" s="82"/>
      <c r="C124" s="77" t="s">
        <v>882</v>
      </c>
      <c r="E124" s="213"/>
      <c r="F124" s="214">
        <f>+G124+H124</f>
        <v>1</v>
      </c>
      <c r="G124" s="214">
        <f>G123/F123</f>
        <v>0.63887</v>
      </c>
      <c r="H124" s="214">
        <f>H123/F123</f>
        <v>0.36113</v>
      </c>
      <c r="I124" s="117"/>
      <c r="J124" s="77" t="str">
        <f>IF(F124=1," ",1)</f>
        <v> </v>
      </c>
      <c r="K124" s="77"/>
      <c r="L124" s="77"/>
      <c r="M124" s="77"/>
      <c r="N124" s="77"/>
      <c r="O124" s="77"/>
      <c r="P124" s="77"/>
      <c r="Q124" s="77"/>
      <c r="R124" s="77"/>
    </row>
    <row r="125" spans="1:18" ht="15" thickTop="1">
      <c r="A125" s="82"/>
      <c r="B125" s="82"/>
      <c r="C125" s="77"/>
      <c r="E125" s="213"/>
      <c r="F125" s="117"/>
      <c r="G125" s="117"/>
      <c r="H125" s="117"/>
      <c r="I125" s="117"/>
      <c r="J125" s="77"/>
      <c r="K125" s="77"/>
      <c r="L125" s="77"/>
      <c r="M125" s="77"/>
      <c r="N125" s="77"/>
      <c r="O125" s="77"/>
      <c r="P125" s="77"/>
      <c r="Q125" s="77"/>
      <c r="R125" s="77"/>
    </row>
    <row r="126" spans="1:18" ht="14.25">
      <c r="A126" s="82"/>
      <c r="B126" s="82"/>
      <c r="C126" s="77"/>
      <c r="E126" s="213"/>
      <c r="F126" s="117"/>
      <c r="G126" s="117"/>
      <c r="H126" s="117"/>
      <c r="I126" s="117"/>
      <c r="J126" s="77"/>
      <c r="K126" s="77"/>
      <c r="L126" s="77"/>
      <c r="M126" s="77"/>
      <c r="N126" s="77"/>
      <c r="O126" s="77"/>
      <c r="P126" s="77"/>
      <c r="Q126" s="77"/>
      <c r="R126" s="77"/>
    </row>
    <row r="127" spans="1:18" ht="14.25">
      <c r="A127" s="82"/>
      <c r="B127" s="82"/>
      <c r="C127" s="77"/>
      <c r="E127" s="213"/>
      <c r="F127" s="117"/>
      <c r="G127" s="117"/>
      <c r="H127" s="117"/>
      <c r="I127" s="117"/>
      <c r="J127" s="77"/>
      <c r="K127" s="77"/>
      <c r="L127" s="77"/>
      <c r="M127" s="77"/>
      <c r="N127" s="77"/>
      <c r="O127" s="77"/>
      <c r="P127" s="77"/>
      <c r="Q127" s="77"/>
      <c r="R127" s="77"/>
    </row>
    <row r="128" spans="1:18" ht="15" thickBot="1">
      <c r="A128" s="82">
        <v>99</v>
      </c>
      <c r="B128" s="82" t="s">
        <v>879</v>
      </c>
      <c r="C128" s="77" t="s">
        <v>906</v>
      </c>
      <c r="E128" s="213"/>
      <c r="F128" s="209">
        <f>+G128+H128</f>
        <v>0</v>
      </c>
      <c r="G128" s="209">
        <v>0</v>
      </c>
      <c r="H128" s="209">
        <v>0</v>
      </c>
      <c r="I128" s="117"/>
      <c r="J128" s="77" t="str">
        <f>IF(SUM(J6:J122)=0," ",1)</f>
        <v> </v>
      </c>
      <c r="K128" s="77"/>
      <c r="L128" s="77"/>
      <c r="M128" s="77"/>
      <c r="N128" s="77"/>
      <c r="O128" s="77"/>
      <c r="P128" s="77"/>
      <c r="Q128" s="77"/>
      <c r="R128" s="77"/>
    </row>
    <row r="129" spans="1:18" ht="13.5" customHeight="1" thickTop="1">
      <c r="A129" s="82"/>
      <c r="B129" s="82"/>
      <c r="C129" s="77"/>
      <c r="E129" s="213"/>
      <c r="F129" s="117"/>
      <c r="G129" s="117"/>
      <c r="H129" s="117"/>
      <c r="I129" s="117"/>
      <c r="J129" s="77"/>
      <c r="K129" s="77"/>
      <c r="L129" s="77"/>
      <c r="M129" s="77"/>
      <c r="N129" s="77"/>
      <c r="O129" s="77"/>
      <c r="P129" s="77"/>
      <c r="Q129" s="77"/>
      <c r="R129" s="77"/>
    </row>
    <row r="130" spans="1:18" ht="13.5" customHeight="1">
      <c r="A130" s="82"/>
      <c r="B130" s="82"/>
      <c r="C130" s="77"/>
      <c r="E130" s="213"/>
      <c r="F130" s="117"/>
      <c r="G130" s="117"/>
      <c r="H130" s="117"/>
      <c r="I130" s="117"/>
      <c r="J130" s="77"/>
      <c r="K130" s="77"/>
      <c r="L130" s="77"/>
      <c r="M130" s="77"/>
      <c r="N130" s="77"/>
      <c r="O130" s="77"/>
      <c r="P130" s="77"/>
      <c r="Q130" s="77"/>
      <c r="R130" s="77"/>
    </row>
    <row r="131" spans="1:18" ht="13.5" customHeight="1">
      <c r="A131" s="82"/>
      <c r="B131" s="83"/>
      <c r="C131" s="77"/>
      <c r="E131" s="213"/>
      <c r="F131" s="77"/>
      <c r="G131" s="77"/>
      <c r="H131" s="77"/>
      <c r="I131" s="77"/>
      <c r="J131" s="77"/>
      <c r="K131" s="77"/>
      <c r="L131" s="77"/>
      <c r="M131" s="77"/>
      <c r="N131" s="77"/>
      <c r="O131" s="77"/>
      <c r="P131" s="77"/>
      <c r="Q131" s="77"/>
      <c r="R131" s="77"/>
    </row>
    <row r="132" spans="1:18" ht="13.5" customHeight="1">
      <c r="A132" s="82"/>
      <c r="B132" s="82"/>
      <c r="C132" s="77" t="s">
        <v>907</v>
      </c>
      <c r="E132" s="213"/>
      <c r="F132" s="117"/>
      <c r="G132" s="117"/>
      <c r="H132" s="117"/>
      <c r="I132" s="117"/>
      <c r="J132" s="77"/>
      <c r="K132" s="77"/>
      <c r="L132" s="77"/>
      <c r="M132" s="77"/>
      <c r="N132" s="77"/>
      <c r="O132" s="77"/>
      <c r="P132" s="77"/>
      <c r="Q132" s="77"/>
      <c r="R132" s="77"/>
    </row>
    <row r="133" spans="1:18" ht="13.5" customHeight="1">
      <c r="A133" s="82"/>
      <c r="B133" s="83"/>
      <c r="C133" s="77" t="s">
        <v>908</v>
      </c>
      <c r="E133" s="213"/>
      <c r="F133" s="77"/>
      <c r="G133" s="77"/>
      <c r="H133" s="77"/>
      <c r="I133" s="77"/>
      <c r="J133" s="77"/>
      <c r="K133" s="77"/>
      <c r="L133" s="77"/>
      <c r="M133" s="77"/>
      <c r="N133" s="77"/>
      <c r="O133" s="77"/>
      <c r="P133" s="77"/>
      <c r="Q133" s="77"/>
      <c r="R133" s="77"/>
    </row>
    <row r="134" spans="1:18" ht="13.5" customHeight="1">
      <c r="A134" s="82"/>
      <c r="B134" s="83"/>
      <c r="C134" s="84" t="s">
        <v>909</v>
      </c>
      <c r="E134" s="213"/>
      <c r="F134" s="99" t="s">
        <v>861</v>
      </c>
      <c r="G134" s="99" t="s">
        <v>862</v>
      </c>
      <c r="H134" s="99" t="s">
        <v>910</v>
      </c>
      <c r="I134" s="99" t="s">
        <v>607</v>
      </c>
      <c r="J134" s="77"/>
      <c r="K134" s="77"/>
      <c r="L134" s="77"/>
      <c r="M134" s="77"/>
      <c r="N134" s="77"/>
      <c r="O134" s="77"/>
      <c r="P134" s="77"/>
      <c r="Q134" s="77"/>
      <c r="R134" s="77"/>
    </row>
    <row r="135" spans="1:18" ht="13.5" customHeight="1">
      <c r="A135" s="82"/>
      <c r="B135" s="82" t="s">
        <v>879</v>
      </c>
      <c r="C135" s="77" t="s">
        <v>911</v>
      </c>
      <c r="E135" s="208">
        <v>37985</v>
      </c>
      <c r="F135" s="82"/>
      <c r="G135" s="82"/>
      <c r="H135" s="82"/>
      <c r="I135" s="82"/>
      <c r="J135" s="77"/>
      <c r="K135" s="77"/>
      <c r="L135" s="77"/>
      <c r="M135" s="77"/>
      <c r="N135" s="77"/>
      <c r="O135" s="77"/>
      <c r="P135" s="77"/>
      <c r="Q135" s="77"/>
      <c r="R135" s="77"/>
    </row>
    <row r="136" spans="1:18" ht="13.5" customHeight="1">
      <c r="A136" s="82"/>
      <c r="B136" s="82" t="s">
        <v>879</v>
      </c>
      <c r="C136" s="77" t="s">
        <v>912</v>
      </c>
      <c r="E136" s="213"/>
      <c r="F136" s="233">
        <v>261970346</v>
      </c>
      <c r="G136" s="233">
        <v>156215446</v>
      </c>
      <c r="H136" s="233">
        <v>432004288</v>
      </c>
      <c r="I136" s="233">
        <v>159870260</v>
      </c>
      <c r="J136" s="77"/>
      <c r="K136" s="77"/>
      <c r="L136" s="77"/>
      <c r="M136" s="77"/>
      <c r="N136" s="77"/>
      <c r="O136" s="77"/>
      <c r="P136" s="77"/>
      <c r="Q136" s="77"/>
      <c r="R136" s="77"/>
    </row>
    <row r="137" spans="1:18" ht="13.5" customHeight="1">
      <c r="A137" s="82"/>
      <c r="B137" s="82" t="s">
        <v>879</v>
      </c>
      <c r="C137" s="77" t="s">
        <v>913</v>
      </c>
      <c r="E137" s="213"/>
      <c r="F137" s="233">
        <v>222600921</v>
      </c>
      <c r="G137" s="233">
        <v>155321247</v>
      </c>
      <c r="H137" s="233">
        <v>57138096</v>
      </c>
      <c r="I137" s="233">
        <v>8772167</v>
      </c>
      <c r="J137" s="77"/>
      <c r="K137" s="77"/>
      <c r="L137" s="77"/>
      <c r="M137" s="77"/>
      <c r="N137" s="77"/>
      <c r="O137" s="77"/>
      <c r="P137" s="77"/>
      <c r="Q137" s="77"/>
      <c r="R137" s="77"/>
    </row>
    <row r="138" spans="1:18" ht="13.5" customHeight="1">
      <c r="A138" s="82"/>
      <c r="B138" s="82" t="s">
        <v>879</v>
      </c>
      <c r="C138" s="77" t="s">
        <v>394</v>
      </c>
      <c r="E138" s="213"/>
      <c r="F138" s="233">
        <v>544331192</v>
      </c>
      <c r="G138" s="233">
        <v>337275739</v>
      </c>
      <c r="H138" s="233">
        <v>186641</v>
      </c>
      <c r="I138" s="233"/>
      <c r="J138" s="77"/>
      <c r="K138" s="77"/>
      <c r="L138" s="77"/>
      <c r="M138" s="77"/>
      <c r="N138" s="77"/>
      <c r="O138" s="77"/>
      <c r="P138" s="77"/>
      <c r="Q138" s="77"/>
      <c r="R138" s="77"/>
    </row>
    <row r="139" spans="1:18" ht="13.5" customHeight="1">
      <c r="A139" s="82"/>
      <c r="B139" s="82" t="s">
        <v>879</v>
      </c>
      <c r="C139" s="77" t="s">
        <v>914</v>
      </c>
      <c r="E139" s="213"/>
      <c r="F139" s="233">
        <v>8818702</v>
      </c>
      <c r="G139" s="233">
        <v>7519474</v>
      </c>
      <c r="H139" s="233"/>
      <c r="I139" s="233"/>
      <c r="J139" s="77"/>
      <c r="K139" s="77"/>
      <c r="L139" s="77"/>
      <c r="M139" s="77"/>
      <c r="N139" s="77"/>
      <c r="O139" s="77"/>
      <c r="P139" s="77"/>
      <c r="Q139" s="77"/>
      <c r="R139" s="77"/>
    </row>
    <row r="140" spans="1:18" ht="13.5" customHeight="1" thickBot="1">
      <c r="A140" s="82"/>
      <c r="B140" s="82" t="s">
        <v>879</v>
      </c>
      <c r="C140" s="77" t="s">
        <v>915</v>
      </c>
      <c r="E140" s="213"/>
      <c r="F140" s="234">
        <f>SUM(F136:F139)</f>
        <v>1037721161</v>
      </c>
      <c r="G140" s="234">
        <f>SUM(G136:G139)</f>
        <v>656331906</v>
      </c>
      <c r="H140" s="234">
        <f>SUM(H136:H139)</f>
        <v>489329025</v>
      </c>
      <c r="I140" s="234">
        <f>SUM(I136:I139)</f>
        <v>168642427</v>
      </c>
      <c r="J140" s="77"/>
      <c r="K140" s="77"/>
      <c r="L140" s="77"/>
      <c r="M140" s="77"/>
      <c r="N140" s="77"/>
      <c r="O140" s="77"/>
      <c r="P140" s="77"/>
      <c r="Q140" s="77"/>
      <c r="R140" s="77"/>
    </row>
    <row r="141" spans="1:18" ht="13.5" customHeight="1" thickTop="1">
      <c r="A141" s="82"/>
      <c r="B141" s="83"/>
      <c r="C141" s="77"/>
      <c r="E141" s="213"/>
      <c r="F141" s="90" t="str">
        <f>IF(-F140+1037721161=0," ","ERROR")</f>
        <v> </v>
      </c>
      <c r="G141" s="90" t="str">
        <f>IF(-G140+656331906=0," ","ERROR")</f>
        <v> </v>
      </c>
      <c r="H141" s="90" t="str">
        <f>IF(-H140+489329025=0," ","ERROR")</f>
        <v> </v>
      </c>
      <c r="I141" s="90" t="str">
        <f>IF(-I140+168642427=0," ","ERROR")</f>
        <v> </v>
      </c>
      <c r="J141" s="77"/>
      <c r="K141" s="77"/>
      <c r="L141" s="77"/>
      <c r="M141" s="77"/>
      <c r="N141" s="77"/>
      <c r="O141" s="77"/>
      <c r="P141" s="77"/>
      <c r="Q141" s="77"/>
      <c r="R141" s="77"/>
    </row>
    <row r="142" spans="1:18" ht="13.5" customHeight="1">
      <c r="A142" s="82"/>
      <c r="B142" s="83"/>
      <c r="C142" s="77"/>
      <c r="E142" s="213"/>
      <c r="F142" s="77"/>
      <c r="G142" s="77"/>
      <c r="H142" s="77"/>
      <c r="I142" s="77"/>
      <c r="J142" s="77"/>
      <c r="K142" s="77"/>
      <c r="L142" s="77"/>
      <c r="M142" s="77"/>
      <c r="N142" s="77"/>
      <c r="O142" s="77"/>
      <c r="P142" s="77"/>
      <c r="Q142" s="77"/>
      <c r="R142" s="77"/>
    </row>
    <row r="143" spans="2:9" ht="13.5" customHeight="1">
      <c r="B143" s="77" t="s">
        <v>916</v>
      </c>
      <c r="E143" s="235" t="s">
        <v>940</v>
      </c>
      <c r="F143" s="99" t="s">
        <v>878</v>
      </c>
      <c r="G143" s="99" t="s">
        <v>861</v>
      </c>
      <c r="H143" s="99" t="s">
        <v>862</v>
      </c>
      <c r="I143" s="101"/>
    </row>
    <row r="144" spans="2:8" ht="13.5" customHeight="1">
      <c r="B144" s="77" t="s">
        <v>917</v>
      </c>
      <c r="E144" s="213"/>
      <c r="F144" s="77"/>
      <c r="G144" s="77"/>
      <c r="H144" s="77"/>
    </row>
    <row r="145" spans="2:9" ht="13.5" customHeight="1">
      <c r="B145" s="233" t="s">
        <v>941</v>
      </c>
      <c r="E145" s="213" t="str">
        <f>IF(Data!H2=12,"ANNUALLY","MONTHLY")</f>
        <v>ANNUALLY</v>
      </c>
      <c r="F145" s="77">
        <f>+G145+H145+I145</f>
        <v>0</v>
      </c>
      <c r="G145" s="233">
        <f>IF(E3="E-ALL-1A",-16197,-201909)</f>
        <v>-201909</v>
      </c>
      <c r="H145" s="77">
        <f>-G145</f>
        <v>201909</v>
      </c>
      <c r="I145" s="77"/>
    </row>
    <row r="146" spans="2:5" ht="13.5" customHeight="1">
      <c r="B146" s="77" t="s">
        <v>918</v>
      </c>
      <c r="E146" s="213"/>
    </row>
    <row r="147" spans="2:9" ht="13.5" customHeight="1">
      <c r="B147" s="84" t="s">
        <v>601</v>
      </c>
      <c r="E147" s="213"/>
      <c r="F147" s="77"/>
      <c r="G147" s="77"/>
      <c r="H147" s="77"/>
      <c r="I147" s="77"/>
    </row>
    <row r="148" spans="2:8" ht="13.5" customHeight="1">
      <c r="B148" s="77"/>
      <c r="E148" s="213"/>
      <c r="G148" s="77"/>
      <c r="H148" s="77"/>
    </row>
    <row r="149" spans="2:9" ht="13.5" customHeight="1">
      <c r="B149" s="84" t="s">
        <v>919</v>
      </c>
      <c r="D149" s="236" t="s">
        <v>938</v>
      </c>
      <c r="F149" s="77">
        <f>+G149+H149</f>
        <v>0</v>
      </c>
      <c r="G149" s="233">
        <v>-7452320</v>
      </c>
      <c r="H149" s="77">
        <f>-G149</f>
        <v>7452320</v>
      </c>
      <c r="I149" s="77"/>
    </row>
    <row r="150" spans="1:18" ht="13.5" customHeight="1">
      <c r="A150" s="82"/>
      <c r="B150" s="83"/>
      <c r="C150" s="77"/>
      <c r="D150" s="237" t="s">
        <v>939</v>
      </c>
      <c r="F150" s="77">
        <f>+G150+H150</f>
        <v>0</v>
      </c>
      <c r="G150" s="233">
        <v>-5495751</v>
      </c>
      <c r="H150" s="77">
        <f>-G150</f>
        <v>5495751</v>
      </c>
      <c r="I150" s="77"/>
      <c r="J150" s="77"/>
      <c r="K150" s="77"/>
      <c r="L150" s="77"/>
      <c r="M150" s="77"/>
      <c r="N150" s="77"/>
      <c r="O150" s="77"/>
      <c r="P150" s="77"/>
      <c r="Q150" s="77"/>
      <c r="R150" s="77"/>
    </row>
    <row r="151" spans="1:18" ht="12.75">
      <c r="A151" s="82"/>
      <c r="B151" s="83"/>
      <c r="C151" s="77"/>
      <c r="F151" s="77"/>
      <c r="G151" s="77"/>
      <c r="H151" s="77"/>
      <c r="I151" s="77"/>
      <c r="J151" s="77"/>
      <c r="K151" s="77"/>
      <c r="L151" s="77"/>
      <c r="M151" s="77"/>
      <c r="N151" s="77"/>
      <c r="O151" s="77"/>
      <c r="P151" s="77"/>
      <c r="Q151" s="77"/>
      <c r="R151" s="77"/>
    </row>
  </sheetData>
  <printOptions/>
  <pageMargins left="0.75" right="0.75" top="0.75" bottom="1" header="0.5" footer="0.5"/>
  <pageSetup horizontalDpi="300" verticalDpi="300" orientation="landscape" scale="73" r:id="rId3"/>
  <headerFooter alignWithMargins="0">
    <oddHeader>&amp;LAVISTA UTILITIES&amp;CRESULTS OF OPERATIONS&amp;RRUN DATE: &amp;D</oddHeader>
    <oddFooter>&amp;CPage &amp;P</oddFooter>
  </headerFooter>
  <rowBreaks count="3" manualBreakCount="3">
    <brk id="37" max="255" man="1"/>
    <brk id="82" max="255" man="1"/>
    <brk id="125" max="8" man="1"/>
  </rowBreaks>
  <legacyDrawing r:id="rId2"/>
</worksheet>
</file>

<file path=xl/worksheets/sheet5.xml><?xml version="1.0" encoding="utf-8"?>
<worksheet xmlns="http://schemas.openxmlformats.org/spreadsheetml/2006/main" xmlns:r="http://schemas.openxmlformats.org/officeDocument/2006/relationships">
  <sheetPr codeName="Sheet27">
    <pageSetUpPr fitToPage="1"/>
  </sheetPr>
  <dimension ref="A1:N19"/>
  <sheetViews>
    <sheetView workbookViewId="0" topLeftCell="A1">
      <pane xSplit="5" ySplit="7" topLeftCell="F8" activePane="bottomRight" state="frozen"/>
      <selection pane="topLeft" activeCell="H8" sqref="H8"/>
      <selection pane="topRight" activeCell="H8" sqref="H8"/>
      <selection pane="bottomLeft" activeCell="H8" sqref="H8"/>
      <selection pane="bottomRight" activeCell="F8" sqref="F8"/>
    </sheetView>
  </sheetViews>
  <sheetFormatPr defaultColWidth="9.00390625" defaultRowHeight="12.75"/>
  <cols>
    <col min="1" max="1" width="8.875" style="0" customWidth="1"/>
    <col min="2" max="2" width="9.875" style="0" customWidth="1"/>
    <col min="3" max="4" width="16.875" style="0" customWidth="1"/>
    <col min="5" max="5" width="11.00390625" style="0" bestFit="1" customWidth="1"/>
    <col min="6" max="14" width="16.875" style="0" customWidth="1"/>
  </cols>
  <sheetData>
    <row r="1" spans="1:14" ht="18" customHeight="1">
      <c r="A1" s="1"/>
      <c r="B1" s="2"/>
      <c r="C1" s="3"/>
      <c r="D1" s="4"/>
      <c r="E1" s="4"/>
      <c r="F1" s="3"/>
      <c r="G1" s="3"/>
      <c r="H1" s="3"/>
      <c r="I1" s="3"/>
      <c r="J1" s="3"/>
      <c r="K1" s="3"/>
      <c r="L1" s="3"/>
      <c r="M1" s="3"/>
      <c r="N1" s="3"/>
    </row>
    <row r="2" spans="1:14" ht="18" customHeight="1">
      <c r="A2" s="6" t="s">
        <v>428</v>
      </c>
      <c r="B2" s="7"/>
      <c r="C2" s="8"/>
      <c r="D2" s="9"/>
      <c r="E2" s="10" t="s">
        <v>725</v>
      </c>
      <c r="F2" s="3"/>
      <c r="G2" s="3"/>
      <c r="H2" s="3"/>
      <c r="I2" s="3"/>
      <c r="J2" s="3"/>
      <c r="K2" s="3"/>
      <c r="L2" s="3"/>
      <c r="M2" s="3"/>
      <c r="N2" s="3"/>
    </row>
    <row r="3" spans="1:14" ht="18" customHeight="1">
      <c r="A3" s="11" t="s">
        <v>688</v>
      </c>
      <c r="B3" s="2"/>
      <c r="C3" s="4"/>
      <c r="D3" s="12"/>
      <c r="E3" s="13" t="str">
        <f>"E-555-"&amp;months&amp;rbcalc</f>
        <v>E-555-12A</v>
      </c>
      <c r="F3" s="3"/>
      <c r="G3" s="3"/>
      <c r="H3" s="3"/>
      <c r="I3" s="3"/>
      <c r="J3" s="3"/>
      <c r="K3" s="3"/>
      <c r="L3" s="3"/>
      <c r="M3" s="3"/>
      <c r="N3" s="3"/>
    </row>
    <row r="4" spans="1:14" ht="18" customHeight="1">
      <c r="A4" s="14" t="str">
        <f>tp_heading</f>
        <v>For Twelve Months Ended September 30, 2008</v>
      </c>
      <c r="B4" s="4"/>
      <c r="C4" s="4"/>
      <c r="D4" s="12"/>
      <c r="E4" s="15"/>
      <c r="F4" s="3"/>
      <c r="G4" s="3"/>
      <c r="H4" s="3"/>
      <c r="I4" s="3"/>
      <c r="J4" s="3"/>
      <c r="K4" s="3"/>
      <c r="L4" s="3"/>
      <c r="M4" s="3"/>
      <c r="N4" s="3"/>
    </row>
    <row r="5" spans="1:14" ht="18" customHeight="1">
      <c r="A5" s="16" t="str">
        <f>rbcalc_heading</f>
        <v>Average of Monthly Averages Basis</v>
      </c>
      <c r="B5" s="17"/>
      <c r="C5" s="18"/>
      <c r="D5" s="19"/>
      <c r="E5" s="20"/>
      <c r="F5" s="3" t="s">
        <v>921</v>
      </c>
      <c r="G5" s="3"/>
      <c r="H5" s="3"/>
      <c r="I5" s="3" t="s">
        <v>0</v>
      </c>
      <c r="J5" s="3"/>
      <c r="K5" s="3"/>
      <c r="L5" s="3" t="s">
        <v>1</v>
      </c>
      <c r="M5" s="3"/>
      <c r="N5" s="3"/>
    </row>
    <row r="6" spans="1:14" ht="18" customHeight="1">
      <c r="A6" s="21" t="s">
        <v>2</v>
      </c>
      <c r="B6" s="22" t="s">
        <v>815</v>
      </c>
      <c r="C6" s="21" t="s">
        <v>844</v>
      </c>
      <c r="D6" s="18"/>
      <c r="E6" s="18"/>
      <c r="F6" s="21" t="s">
        <v>3</v>
      </c>
      <c r="G6" s="21" t="s">
        <v>4</v>
      </c>
      <c r="H6" s="21" t="s">
        <v>891</v>
      </c>
      <c r="I6" s="21" t="s">
        <v>3</v>
      </c>
      <c r="J6" s="21" t="s">
        <v>4</v>
      </c>
      <c r="K6" s="21" t="s">
        <v>891</v>
      </c>
      <c r="L6" s="21" t="s">
        <v>3</v>
      </c>
      <c r="M6" s="21" t="s">
        <v>4</v>
      </c>
      <c r="N6" s="21" t="s">
        <v>891</v>
      </c>
    </row>
    <row r="7" spans="1:14" ht="18" customHeight="1">
      <c r="A7" s="1"/>
      <c r="B7" s="2"/>
      <c r="C7" s="3"/>
      <c r="D7" s="4"/>
      <c r="E7" s="4"/>
      <c r="F7" s="3"/>
      <c r="G7" s="3"/>
      <c r="H7" s="5"/>
      <c r="I7" s="3"/>
      <c r="J7" s="3"/>
      <c r="K7" s="5"/>
      <c r="L7" s="3"/>
      <c r="M7" s="3"/>
      <c r="N7" s="3"/>
    </row>
    <row r="8" spans="1:14" ht="18" customHeight="1">
      <c r="A8" s="1">
        <v>1</v>
      </c>
      <c r="B8" s="24">
        <v>555000</v>
      </c>
      <c r="C8" s="3" t="s">
        <v>674</v>
      </c>
      <c r="D8" s="4"/>
      <c r="E8" s="4"/>
      <c r="F8" s="3">
        <f aca="true" t="shared" si="0" ref="F8:F13">+I8+L8</f>
        <v>0</v>
      </c>
      <c r="G8" s="3">
        <f>+Data!I251</f>
        <v>166057598</v>
      </c>
      <c r="H8" s="5">
        <f aca="true" t="shared" si="1" ref="H8:H13">+F8+G8</f>
        <v>166057598</v>
      </c>
      <c r="I8" s="3">
        <v>0</v>
      </c>
      <c r="J8" s="3">
        <f aca="true" t="shared" si="2" ref="J8:J13">G8*VLOOKUP(A8,Allocators,7)</f>
        <v>107256603</v>
      </c>
      <c r="K8" s="5">
        <f aca="true" t="shared" si="3" ref="K8:K13">+I8+J8</f>
        <v>107256603</v>
      </c>
      <c r="L8" s="3">
        <v>0</v>
      </c>
      <c r="M8" s="3">
        <f aca="true" t="shared" si="4" ref="M8:M13">G8*VLOOKUP(A8,Allocators,8)</f>
        <v>58800995</v>
      </c>
      <c r="N8" s="3">
        <f aca="true" t="shared" si="5" ref="N8:N13">+L8+M8</f>
        <v>58800995</v>
      </c>
    </row>
    <row r="9" spans="1:14" ht="18" customHeight="1">
      <c r="A9" s="1">
        <v>1</v>
      </c>
      <c r="B9" s="24">
        <v>555750</v>
      </c>
      <c r="C9" s="3" t="s">
        <v>574</v>
      </c>
      <c r="D9" s="4"/>
      <c r="E9" s="4"/>
      <c r="F9" s="3">
        <f t="shared" si="0"/>
        <v>0</v>
      </c>
      <c r="G9" s="3">
        <f>+Data!I252</f>
        <v>0</v>
      </c>
      <c r="H9" s="5">
        <f t="shared" si="1"/>
        <v>0</v>
      </c>
      <c r="I9" s="3">
        <f>+Data!J252</f>
        <v>0</v>
      </c>
      <c r="J9" s="3">
        <f t="shared" si="2"/>
        <v>0</v>
      </c>
      <c r="K9" s="5">
        <f t="shared" si="3"/>
        <v>0</v>
      </c>
      <c r="L9" s="3">
        <f>+Data!K252</f>
        <v>0</v>
      </c>
      <c r="M9" s="3">
        <f t="shared" si="4"/>
        <v>0</v>
      </c>
      <c r="N9" s="3">
        <f t="shared" si="5"/>
        <v>0</v>
      </c>
    </row>
    <row r="10" spans="1:14" ht="18" customHeight="1">
      <c r="A10" s="1">
        <v>99</v>
      </c>
      <c r="B10" s="24">
        <v>555380</v>
      </c>
      <c r="C10" s="3" t="s">
        <v>675</v>
      </c>
      <c r="D10" s="4"/>
      <c r="E10" s="4"/>
      <c r="F10" s="3">
        <f t="shared" si="0"/>
        <v>18439119</v>
      </c>
      <c r="G10" s="3">
        <v>0</v>
      </c>
      <c r="H10" s="5">
        <f t="shared" si="1"/>
        <v>18439119</v>
      </c>
      <c r="I10" s="3">
        <v>0</v>
      </c>
      <c r="J10" s="3">
        <f t="shared" si="2"/>
        <v>0</v>
      </c>
      <c r="K10" s="5">
        <f t="shared" si="3"/>
        <v>0</v>
      </c>
      <c r="L10" s="3">
        <f>+Data!H253</f>
        <v>18439119</v>
      </c>
      <c r="M10" s="3">
        <f t="shared" si="4"/>
        <v>0</v>
      </c>
      <c r="N10" s="3">
        <f t="shared" si="5"/>
        <v>18439119</v>
      </c>
    </row>
    <row r="11" spans="1:14" ht="18" customHeight="1">
      <c r="A11" s="1">
        <v>1</v>
      </c>
      <c r="B11" s="24">
        <v>555550</v>
      </c>
      <c r="C11" s="3" t="s">
        <v>676</v>
      </c>
      <c r="D11" s="4"/>
      <c r="E11" s="4"/>
      <c r="F11" s="3">
        <f>+I11+L11</f>
        <v>0</v>
      </c>
      <c r="G11" s="3">
        <f>+Data!I254</f>
        <v>-242497</v>
      </c>
      <c r="H11" s="5">
        <f>+F11+G11</f>
        <v>-242497</v>
      </c>
      <c r="I11" s="3">
        <f>+Data!J254</f>
        <v>0</v>
      </c>
      <c r="J11" s="3">
        <f>G11*VLOOKUP(A11,Allocators,7)</f>
        <v>-156629</v>
      </c>
      <c r="K11" s="5">
        <f>+I11+J11</f>
        <v>-156629</v>
      </c>
      <c r="L11" s="3">
        <f>+Data!K254</f>
        <v>0</v>
      </c>
      <c r="M11" s="3">
        <f>G11*VLOOKUP(A11,Allocators,8)</f>
        <v>-85868</v>
      </c>
      <c r="N11" s="3">
        <f>+L11+M11</f>
        <v>-85868</v>
      </c>
    </row>
    <row r="12" spans="1:14" ht="18" customHeight="1">
      <c r="A12" s="1">
        <v>1</v>
      </c>
      <c r="B12" s="24">
        <v>555700</v>
      </c>
      <c r="C12" s="3" t="s">
        <v>697</v>
      </c>
      <c r="D12" s="4"/>
      <c r="E12" s="4"/>
      <c r="F12" s="3">
        <f>+I12+L12</f>
        <v>0</v>
      </c>
      <c r="G12" s="3">
        <f>+Data!I255</f>
        <v>61222672</v>
      </c>
      <c r="H12" s="5">
        <f>+F12+G12</f>
        <v>61222672</v>
      </c>
      <c r="I12" s="3">
        <f>+Data!J255</f>
        <v>0</v>
      </c>
      <c r="J12" s="3">
        <f>G12*VLOOKUP(A12,Allocators,7)</f>
        <v>39543724</v>
      </c>
      <c r="K12" s="5">
        <f>+I12+J12</f>
        <v>39543724</v>
      </c>
      <c r="L12" s="3">
        <f>+Data!K255</f>
        <v>0</v>
      </c>
      <c r="M12" s="3">
        <f>G12*VLOOKUP(A12,Allocators,8)</f>
        <v>21678948</v>
      </c>
      <c r="N12" s="3">
        <f>+L12+M12</f>
        <v>21678948</v>
      </c>
    </row>
    <row r="13" spans="1:14" ht="18" customHeight="1">
      <c r="A13" s="1">
        <v>1</v>
      </c>
      <c r="B13" s="24">
        <v>555710</v>
      </c>
      <c r="C13" s="3" t="s">
        <v>430</v>
      </c>
      <c r="D13" s="4"/>
      <c r="E13" s="4"/>
      <c r="F13" s="3">
        <f t="shared" si="0"/>
        <v>0</v>
      </c>
      <c r="G13" s="3">
        <f>+Data!I256</f>
        <v>670389</v>
      </c>
      <c r="H13" s="5">
        <f t="shared" si="1"/>
        <v>670389</v>
      </c>
      <c r="I13" s="3">
        <f>+Data!J256</f>
        <v>0</v>
      </c>
      <c r="J13" s="3">
        <f t="shared" si="2"/>
        <v>433004</v>
      </c>
      <c r="K13" s="5">
        <f t="shared" si="3"/>
        <v>433004</v>
      </c>
      <c r="L13" s="3">
        <f>+Data!K256</f>
        <v>0</v>
      </c>
      <c r="M13" s="3">
        <f t="shared" si="4"/>
        <v>237385</v>
      </c>
      <c r="N13" s="3">
        <f t="shared" si="5"/>
        <v>237385</v>
      </c>
    </row>
    <row r="14" spans="1:14" ht="18" customHeight="1">
      <c r="A14" s="1"/>
      <c r="B14" s="2"/>
      <c r="C14" s="3"/>
      <c r="D14" s="4"/>
      <c r="E14" s="4"/>
      <c r="F14" s="3"/>
      <c r="G14" s="3"/>
      <c r="H14" s="5"/>
      <c r="I14" s="3"/>
      <c r="J14" s="3"/>
      <c r="K14" s="5"/>
      <c r="L14" s="3"/>
      <c r="M14" s="3"/>
      <c r="N14" s="3"/>
    </row>
    <row r="15" spans="1:14" ht="18" customHeight="1">
      <c r="A15" s="1"/>
      <c r="B15" s="2"/>
      <c r="C15" s="3" t="s">
        <v>429</v>
      </c>
      <c r="D15" s="4"/>
      <c r="E15" s="4"/>
      <c r="F15" s="27">
        <f aca="true" t="shared" si="6" ref="F15:K15">SUM(F8:F14)</f>
        <v>18439119</v>
      </c>
      <c r="G15" s="27">
        <f t="shared" si="6"/>
        <v>227708162</v>
      </c>
      <c r="H15" s="28">
        <f t="shared" si="6"/>
        <v>246147281</v>
      </c>
      <c r="I15" s="27">
        <f t="shared" si="6"/>
        <v>0</v>
      </c>
      <c r="J15" s="27">
        <f t="shared" si="6"/>
        <v>147076702</v>
      </c>
      <c r="K15" s="28">
        <f t="shared" si="6"/>
        <v>147076702</v>
      </c>
      <c r="L15" s="27">
        <f>IF(L8=0,SUM(L8:L14),"ERROR")</f>
        <v>18439119</v>
      </c>
      <c r="M15" s="27">
        <f>SUM(M8:M14)</f>
        <v>80631460</v>
      </c>
      <c r="N15" s="27">
        <f>SUM(N8:N14)</f>
        <v>99070579</v>
      </c>
    </row>
    <row r="16" spans="1:14" ht="18" customHeight="1">
      <c r="A16" s="1"/>
      <c r="B16" s="2"/>
      <c r="C16" s="3"/>
      <c r="D16" s="3"/>
      <c r="E16" s="3"/>
      <c r="F16" s="3"/>
      <c r="G16" s="3"/>
      <c r="H16" s="3"/>
      <c r="I16" s="3"/>
      <c r="J16" s="3"/>
      <c r="K16" s="3"/>
      <c r="L16" s="3"/>
      <c r="M16" s="3"/>
      <c r="N16" s="3" t="str">
        <f>IF(N15+K15-H15=0," ","ERROR")</f>
        <v> </v>
      </c>
    </row>
    <row r="17" spans="1:14" ht="18" customHeight="1">
      <c r="A17" s="3" t="s">
        <v>341</v>
      </c>
      <c r="B17" s="2"/>
      <c r="C17" s="3"/>
      <c r="D17" s="4"/>
      <c r="E17" s="4"/>
      <c r="F17" s="3"/>
      <c r="G17" s="3"/>
      <c r="H17" s="3"/>
      <c r="I17" s="3"/>
      <c r="J17" s="3"/>
      <c r="K17" s="3"/>
      <c r="L17" s="3"/>
      <c r="M17" s="3"/>
      <c r="N17" s="3"/>
    </row>
    <row r="18" spans="1:14" ht="18" customHeight="1">
      <c r="A18" s="1" t="s">
        <v>735</v>
      </c>
      <c r="B18" s="29">
        <v>1</v>
      </c>
      <c r="C18" s="3" t="str">
        <f>+'E-ALL'!C7</f>
        <v>Production/Transmission  Ratio</v>
      </c>
      <c r="D18" s="4"/>
      <c r="E18" s="4"/>
      <c r="F18" s="3"/>
      <c r="G18" s="30">
        <f>VLOOKUP(B18,Allocators,6)</f>
        <v>1</v>
      </c>
      <c r="H18" s="30"/>
      <c r="I18" s="30"/>
      <c r="J18" s="30">
        <f>VLOOKUP(B18,Allocators,7)</f>
        <v>0.6459</v>
      </c>
      <c r="K18" s="30"/>
      <c r="L18" s="30"/>
      <c r="M18" s="30">
        <f>VLOOKUP(B18,Allocators,8)</f>
        <v>0.3541</v>
      </c>
      <c r="N18" s="30"/>
    </row>
    <row r="19" spans="1:14" ht="18" customHeight="1">
      <c r="A19" s="1" t="s">
        <v>735</v>
      </c>
      <c r="B19" s="29">
        <v>99</v>
      </c>
      <c r="C19" s="3" t="s">
        <v>906</v>
      </c>
      <c r="D19" s="4"/>
      <c r="E19" s="4"/>
      <c r="F19" s="3"/>
      <c r="G19" s="30">
        <f>VLOOKUP(B19,Allocators,6)</f>
        <v>0</v>
      </c>
      <c r="H19" s="30"/>
      <c r="I19" s="30"/>
      <c r="J19" s="30">
        <f>VLOOKUP(B19,Allocators,7)</f>
        <v>0</v>
      </c>
      <c r="K19" s="30"/>
      <c r="L19" s="30"/>
      <c r="M19" s="30">
        <f>VLOOKUP(B19,Allocators,8)</f>
        <v>0</v>
      </c>
      <c r="N19" s="3"/>
    </row>
  </sheetData>
  <printOptions/>
  <pageMargins left="0.75" right="0.75" top="1" bottom="0.75" header="0.5" footer="0.5"/>
  <pageSetup fitToHeight="1" fitToWidth="1" horizontalDpi="600" verticalDpi="600" orientation="landscape" scale="64" r:id="rId1"/>
  <headerFooter alignWithMargins="0">
    <oddHeader>&amp;LAVISTA UTILITIES&amp;CRESULTS OF OPERATIONS&amp;RRUN DATE: &amp;D</oddHeader>
  </headerFooter>
</worksheet>
</file>

<file path=xl/worksheets/sheet6.xml><?xml version="1.0" encoding="utf-8"?>
<worksheet xmlns="http://schemas.openxmlformats.org/spreadsheetml/2006/main" xmlns:r="http://schemas.openxmlformats.org/officeDocument/2006/relationships">
  <sheetPr codeName="Sheet28">
    <pageSetUpPr fitToPage="1"/>
  </sheetPr>
  <dimension ref="A1:O29"/>
  <sheetViews>
    <sheetView workbookViewId="0" topLeftCell="A1">
      <pane xSplit="5" ySplit="7" topLeftCell="F8" activePane="bottomRight" state="frozen"/>
      <selection pane="topLeft" activeCell="H8" sqref="H8"/>
      <selection pane="topRight" activeCell="H8" sqref="H8"/>
      <selection pane="bottomLeft" activeCell="H8" sqref="H8"/>
      <selection pane="bottomRight" activeCell="F8" sqref="F8"/>
    </sheetView>
  </sheetViews>
  <sheetFormatPr defaultColWidth="9.00390625" defaultRowHeight="12.75"/>
  <cols>
    <col min="1" max="1" width="8.875" style="123" customWidth="1"/>
    <col min="2" max="2" width="10.875" style="123" customWidth="1"/>
    <col min="3" max="4" width="16.875" style="123" customWidth="1"/>
    <col min="5" max="5" width="12.875" style="123" customWidth="1"/>
    <col min="6" max="14" width="16.875" style="123" customWidth="1"/>
    <col min="15" max="16384" width="9.375" style="123" customWidth="1"/>
  </cols>
  <sheetData>
    <row r="1" spans="1:15" ht="18" customHeight="1">
      <c r="A1" s="82"/>
      <c r="B1" s="83"/>
      <c r="C1" s="77"/>
      <c r="D1" s="84"/>
      <c r="E1" s="84"/>
      <c r="F1" s="77"/>
      <c r="G1" s="77"/>
      <c r="H1" s="77"/>
      <c r="I1" s="77"/>
      <c r="J1" s="77"/>
      <c r="K1" s="77"/>
      <c r="L1" s="77"/>
      <c r="M1" s="77"/>
      <c r="N1" s="77"/>
      <c r="O1" s="103"/>
    </row>
    <row r="2" spans="1:15" ht="18" customHeight="1">
      <c r="A2" s="85" t="s">
        <v>431</v>
      </c>
      <c r="B2" s="86"/>
      <c r="C2" s="87"/>
      <c r="D2" s="88"/>
      <c r="E2" s="89" t="s">
        <v>725</v>
      </c>
      <c r="F2" s="77"/>
      <c r="G2" s="77"/>
      <c r="H2" s="77"/>
      <c r="I2" s="77"/>
      <c r="J2" s="77"/>
      <c r="K2" s="77"/>
      <c r="L2" s="77"/>
      <c r="M2" s="77"/>
      <c r="N2" s="77"/>
      <c r="O2" s="77"/>
    </row>
    <row r="3" spans="1:15" ht="18" customHeight="1">
      <c r="A3" s="110" t="s">
        <v>887</v>
      </c>
      <c r="B3" s="83"/>
      <c r="C3" s="84"/>
      <c r="D3" s="92"/>
      <c r="E3" s="93" t="str">
        <f>"E-557-"&amp;months&amp;rbcalc</f>
        <v>E-557-12A</v>
      </c>
      <c r="F3" s="77"/>
      <c r="G3" s="77"/>
      <c r="H3" s="77"/>
      <c r="I3" s="77"/>
      <c r="J3" s="77"/>
      <c r="K3" s="77"/>
      <c r="L3" s="77"/>
      <c r="M3" s="77"/>
      <c r="N3" s="77"/>
      <c r="O3" s="77"/>
    </row>
    <row r="4" spans="1:15" ht="18" customHeight="1">
      <c r="A4" s="91" t="str">
        <f>tp_heading</f>
        <v>For Twelve Months Ended September 30, 2008</v>
      </c>
      <c r="B4" s="84"/>
      <c r="C4" s="84"/>
      <c r="D4" s="92"/>
      <c r="E4" s="238"/>
      <c r="F4" s="77"/>
      <c r="G4" s="77"/>
      <c r="H4" s="77"/>
      <c r="I4" s="77"/>
      <c r="J4" s="77"/>
      <c r="K4" s="77"/>
      <c r="L4" s="77"/>
      <c r="M4" s="77"/>
      <c r="N4" s="77"/>
      <c r="O4" s="77"/>
    </row>
    <row r="5" spans="1:15" ht="18" customHeight="1">
      <c r="A5" s="94" t="str">
        <f>rbcalc_heading</f>
        <v>Average of Monthly Averages Basis</v>
      </c>
      <c r="B5" s="95"/>
      <c r="C5" s="96"/>
      <c r="D5" s="97"/>
      <c r="E5" s="98"/>
      <c r="F5" s="77" t="s">
        <v>591</v>
      </c>
      <c r="G5" s="77"/>
      <c r="H5" s="77"/>
      <c r="I5" s="77" t="s">
        <v>590</v>
      </c>
      <c r="J5" s="77"/>
      <c r="K5" s="77"/>
      <c r="L5" s="363" t="s">
        <v>589</v>
      </c>
      <c r="M5" s="363"/>
      <c r="N5" s="363"/>
      <c r="O5" s="77"/>
    </row>
    <row r="6" spans="1:15" ht="18" customHeight="1">
      <c r="A6" s="99" t="s">
        <v>2</v>
      </c>
      <c r="B6" s="100" t="s">
        <v>815</v>
      </c>
      <c r="C6" s="99" t="s">
        <v>844</v>
      </c>
      <c r="D6" s="96"/>
      <c r="E6" s="96"/>
      <c r="F6" s="99" t="s">
        <v>3</v>
      </c>
      <c r="G6" s="99" t="s">
        <v>4</v>
      </c>
      <c r="H6" s="99" t="s">
        <v>891</v>
      </c>
      <c r="I6" s="99" t="s">
        <v>3</v>
      </c>
      <c r="J6" s="99" t="s">
        <v>4</v>
      </c>
      <c r="K6" s="99" t="s">
        <v>891</v>
      </c>
      <c r="L6" s="99" t="s">
        <v>3</v>
      </c>
      <c r="M6" s="99" t="s">
        <v>4</v>
      </c>
      <c r="N6" s="99" t="s">
        <v>891</v>
      </c>
      <c r="O6" s="101"/>
    </row>
    <row r="7" spans="1:15" ht="18" customHeight="1">
      <c r="A7" s="82"/>
      <c r="B7" s="105"/>
      <c r="C7" s="84"/>
      <c r="D7" s="84"/>
      <c r="E7" s="84"/>
      <c r="F7" s="84"/>
      <c r="G7" s="84"/>
      <c r="H7" s="92"/>
      <c r="I7" s="84"/>
      <c r="J7" s="84"/>
      <c r="K7" s="92"/>
      <c r="L7" s="84"/>
      <c r="M7" s="84"/>
      <c r="N7" s="84"/>
      <c r="O7" s="103"/>
    </row>
    <row r="8" spans="1:15" ht="18" customHeight="1">
      <c r="A8" s="82">
        <v>1</v>
      </c>
      <c r="B8" s="105">
        <v>557000</v>
      </c>
      <c r="C8" s="77" t="s">
        <v>432</v>
      </c>
      <c r="D8" s="84"/>
      <c r="E8" s="84"/>
      <c r="F8" s="77">
        <f aca="true" t="shared" si="0" ref="F8:F19">I8+L8</f>
        <v>0</v>
      </c>
      <c r="G8" s="77">
        <f>Data!I259</f>
        <v>5310863</v>
      </c>
      <c r="H8" s="78">
        <f aca="true" t="shared" si="1" ref="H8:H19">F8+G8</f>
        <v>5310863</v>
      </c>
      <c r="I8" s="77">
        <f>Data!J259</f>
        <v>0</v>
      </c>
      <c r="J8" s="77">
        <f aca="true" t="shared" si="2" ref="J8:J17">G8*VLOOKUP(A8,Allocators,7)</f>
        <v>3430286</v>
      </c>
      <c r="K8" s="78">
        <f aca="true" t="shared" si="3" ref="K8:K19">I8+J8</f>
        <v>3430286</v>
      </c>
      <c r="L8" s="77">
        <f>Data!K259</f>
        <v>0</v>
      </c>
      <c r="M8" s="77">
        <f>+G8-J8</f>
        <v>1880577</v>
      </c>
      <c r="N8" s="77">
        <f aca="true" t="shared" si="4" ref="N8:N19">L8+M8</f>
        <v>1880577</v>
      </c>
      <c r="O8" s="109"/>
    </row>
    <row r="9" spans="1:15" ht="18" customHeight="1">
      <c r="A9" s="82">
        <v>1</v>
      </c>
      <c r="B9" s="105">
        <v>557010</v>
      </c>
      <c r="C9" s="77" t="s">
        <v>930</v>
      </c>
      <c r="D9" s="84"/>
      <c r="E9" s="84"/>
      <c r="F9" s="77">
        <f>I9+L9</f>
        <v>0</v>
      </c>
      <c r="G9" s="77">
        <f>Data!I260</f>
        <v>0</v>
      </c>
      <c r="H9" s="78">
        <f>F9+G9</f>
        <v>0</v>
      </c>
      <c r="I9" s="77">
        <f>Data!J260</f>
        <v>0</v>
      </c>
      <c r="J9" s="77">
        <f>G9*VLOOKUP(A9,Allocators,7)</f>
        <v>0</v>
      </c>
      <c r="K9" s="78">
        <f>I9+J9</f>
        <v>0</v>
      </c>
      <c r="L9" s="77">
        <f>Data!K260</f>
        <v>0</v>
      </c>
      <c r="M9" s="77">
        <f>+G9-J9</f>
        <v>0</v>
      </c>
      <c r="N9" s="77">
        <f>L9+M9</f>
        <v>0</v>
      </c>
      <c r="O9" s="109"/>
    </row>
    <row r="10" spans="1:15" ht="18" customHeight="1">
      <c r="A10" s="82">
        <v>1</v>
      </c>
      <c r="B10" s="105">
        <v>557150</v>
      </c>
      <c r="C10" s="77" t="s">
        <v>677</v>
      </c>
      <c r="D10" s="84"/>
      <c r="E10" s="84"/>
      <c r="F10" s="77">
        <f t="shared" si="0"/>
        <v>0</v>
      </c>
      <c r="G10" s="77">
        <f>Data!I261</f>
        <v>39075403</v>
      </c>
      <c r="H10" s="78">
        <f t="shared" si="1"/>
        <v>39075403</v>
      </c>
      <c r="I10" s="77">
        <f>Data!J261</f>
        <v>0</v>
      </c>
      <c r="J10" s="77">
        <f t="shared" si="2"/>
        <v>25238803</v>
      </c>
      <c r="K10" s="78">
        <f t="shared" si="3"/>
        <v>25238803</v>
      </c>
      <c r="L10" s="77">
        <f>Data!K261</f>
        <v>0</v>
      </c>
      <c r="M10" s="77">
        <f>+G10-J10</f>
        <v>13836600</v>
      </c>
      <c r="N10" s="77">
        <f t="shared" si="4"/>
        <v>13836600</v>
      </c>
      <c r="O10" s="109"/>
    </row>
    <row r="11" spans="1:15" ht="18" customHeight="1">
      <c r="A11" s="82">
        <v>1</v>
      </c>
      <c r="B11" s="105">
        <v>557160</v>
      </c>
      <c r="C11" s="77" t="s">
        <v>785</v>
      </c>
      <c r="D11" s="84"/>
      <c r="E11" s="84"/>
      <c r="F11" s="77">
        <f>I11+L11</f>
        <v>0</v>
      </c>
      <c r="G11" s="77">
        <f>Data!I262</f>
        <v>3091513</v>
      </c>
      <c r="H11" s="78">
        <f>F11+G11</f>
        <v>3091513</v>
      </c>
      <c r="I11" s="77">
        <f>Data!J262</f>
        <v>0</v>
      </c>
      <c r="J11" s="77">
        <f>G11*VLOOKUP(A11,Allocators,7)</f>
        <v>1996808</v>
      </c>
      <c r="K11" s="78">
        <f>I11+J11</f>
        <v>1996808</v>
      </c>
      <c r="L11" s="77">
        <f>Data!K262</f>
        <v>0</v>
      </c>
      <c r="M11" s="77">
        <f>+G11-J11</f>
        <v>1094705</v>
      </c>
      <c r="N11" s="77">
        <f>L11+M11</f>
        <v>1094705</v>
      </c>
      <c r="O11" s="109"/>
    </row>
    <row r="12" spans="1:15" ht="18" customHeight="1">
      <c r="A12" s="82">
        <v>99</v>
      </c>
      <c r="B12" s="105">
        <v>557161</v>
      </c>
      <c r="C12" s="77" t="s">
        <v>130</v>
      </c>
      <c r="D12" s="84"/>
      <c r="E12" s="84"/>
      <c r="F12" s="77">
        <f>I12+L12</f>
        <v>226409</v>
      </c>
      <c r="G12" s="77">
        <v>0</v>
      </c>
      <c r="H12" s="78">
        <f>F12+G12</f>
        <v>226409</v>
      </c>
      <c r="I12" s="77">
        <f>Data!J263</f>
        <v>69535</v>
      </c>
      <c r="J12" s="77">
        <f>G12*VLOOKUP(A12,Allocators,7)</f>
        <v>0</v>
      </c>
      <c r="K12" s="78">
        <f>I12+J12</f>
        <v>69535</v>
      </c>
      <c r="L12" s="77">
        <f>Data!K263</f>
        <v>156874</v>
      </c>
      <c r="M12" s="77">
        <f aca="true" t="shared" si="5" ref="M12:M17">G12*VLOOKUP(A12,Allocators,8)</f>
        <v>0</v>
      </c>
      <c r="N12" s="77">
        <f>L12+M12</f>
        <v>156874</v>
      </c>
      <c r="O12" s="109"/>
    </row>
    <row r="13" spans="1:15" ht="18" customHeight="1">
      <c r="A13" s="82">
        <v>99</v>
      </c>
      <c r="B13" s="105">
        <v>557162</v>
      </c>
      <c r="C13" s="77" t="s">
        <v>131</v>
      </c>
      <c r="D13" s="84"/>
      <c r="E13" s="84"/>
      <c r="F13" s="77">
        <f>I13+L13</f>
        <v>0</v>
      </c>
      <c r="G13" s="77">
        <v>0</v>
      </c>
      <c r="H13" s="78">
        <f>F13+G13</f>
        <v>0</v>
      </c>
      <c r="I13" s="77">
        <f>Data!J264</f>
        <v>0</v>
      </c>
      <c r="J13" s="77">
        <f>G13*VLOOKUP(A13,Allocators,7)</f>
        <v>0</v>
      </c>
      <c r="K13" s="78">
        <f>I13+J13</f>
        <v>0</v>
      </c>
      <c r="L13" s="77">
        <f>Data!K264</f>
        <v>0</v>
      </c>
      <c r="M13" s="77">
        <f t="shared" si="5"/>
        <v>0</v>
      </c>
      <c r="N13" s="77">
        <f>L13+M13</f>
        <v>0</v>
      </c>
      <c r="O13" s="109"/>
    </row>
    <row r="14" spans="1:15" ht="18" customHeight="1">
      <c r="A14" s="82">
        <v>1</v>
      </c>
      <c r="B14" s="105">
        <v>557170</v>
      </c>
      <c r="C14" s="77" t="s">
        <v>228</v>
      </c>
      <c r="D14" s="84"/>
      <c r="E14" s="84"/>
      <c r="F14" s="77">
        <f>I14+L14</f>
        <v>0</v>
      </c>
      <c r="G14" s="77">
        <f>Data!I265</f>
        <v>104104</v>
      </c>
      <c r="H14" s="78">
        <f>F14+G14</f>
        <v>104104</v>
      </c>
      <c r="I14" s="77">
        <f>Data!J265</f>
        <v>0</v>
      </c>
      <c r="J14" s="77">
        <f>G14*VLOOKUP(A14,Allocators,7)</f>
        <v>67241</v>
      </c>
      <c r="K14" s="78">
        <f>I14+J14</f>
        <v>67241</v>
      </c>
      <c r="L14" s="77">
        <f>Data!K265</f>
        <v>0</v>
      </c>
      <c r="M14" s="77">
        <f>G14*VLOOKUP(A14,Allocators,8)</f>
        <v>36863</v>
      </c>
      <c r="N14" s="77">
        <f>L14+M14</f>
        <v>36863</v>
      </c>
      <c r="O14" s="109"/>
    </row>
    <row r="15" spans="1:15" ht="18" customHeight="1">
      <c r="A15" s="82">
        <v>1</v>
      </c>
      <c r="B15" s="105">
        <v>557200</v>
      </c>
      <c r="C15" s="77" t="s">
        <v>433</v>
      </c>
      <c r="D15" s="84"/>
      <c r="E15" s="84"/>
      <c r="F15" s="77">
        <f t="shared" si="0"/>
        <v>818702</v>
      </c>
      <c r="G15" s="77">
        <f>Data!I266</f>
        <v>0</v>
      </c>
      <c r="H15" s="78">
        <f t="shared" si="1"/>
        <v>818702</v>
      </c>
      <c r="I15" s="77">
        <f>Data!J266</f>
        <v>497498</v>
      </c>
      <c r="J15" s="77">
        <f t="shared" si="2"/>
        <v>0</v>
      </c>
      <c r="K15" s="78">
        <f t="shared" si="3"/>
        <v>497498</v>
      </c>
      <c r="L15" s="77">
        <f>Data!K266</f>
        <v>321204</v>
      </c>
      <c r="M15" s="77">
        <f t="shared" si="5"/>
        <v>0</v>
      </c>
      <c r="N15" s="77">
        <f t="shared" si="4"/>
        <v>321204</v>
      </c>
      <c r="O15" s="109"/>
    </row>
    <row r="16" spans="1:15" ht="18" customHeight="1">
      <c r="A16" s="82">
        <v>99</v>
      </c>
      <c r="B16" s="105">
        <v>557280</v>
      </c>
      <c r="C16" s="77" t="s">
        <v>888</v>
      </c>
      <c r="D16" s="84"/>
      <c r="E16" s="84"/>
      <c r="F16" s="77">
        <f t="shared" si="0"/>
        <v>-13605771</v>
      </c>
      <c r="G16" s="77">
        <f>Data!I267</f>
        <v>0</v>
      </c>
      <c r="H16" s="78">
        <f t="shared" si="1"/>
        <v>-13605771</v>
      </c>
      <c r="I16" s="77">
        <f>Data!J267</f>
        <v>-13605771</v>
      </c>
      <c r="J16" s="77">
        <f t="shared" si="2"/>
        <v>0</v>
      </c>
      <c r="K16" s="78">
        <f t="shared" si="3"/>
        <v>-13605771</v>
      </c>
      <c r="L16" s="77">
        <f>Data!K267</f>
        <v>0</v>
      </c>
      <c r="M16" s="77">
        <f t="shared" si="5"/>
        <v>0</v>
      </c>
      <c r="N16" s="77">
        <f t="shared" si="4"/>
        <v>0</v>
      </c>
      <c r="O16" s="109"/>
    </row>
    <row r="17" spans="1:15" ht="18" customHeight="1">
      <c r="A17" s="82">
        <v>99</v>
      </c>
      <c r="B17" s="105">
        <v>557290</v>
      </c>
      <c r="C17" s="77" t="s">
        <v>889</v>
      </c>
      <c r="D17" s="84"/>
      <c r="E17" s="84"/>
      <c r="F17" s="77">
        <f t="shared" si="0"/>
        <v>31274155</v>
      </c>
      <c r="G17" s="77">
        <f>Data!I268</f>
        <v>0</v>
      </c>
      <c r="H17" s="78">
        <f t="shared" si="1"/>
        <v>31274155</v>
      </c>
      <c r="I17" s="77">
        <f>Data!J268</f>
        <v>31274155</v>
      </c>
      <c r="J17" s="77">
        <f t="shared" si="2"/>
        <v>0</v>
      </c>
      <c r="K17" s="78">
        <f t="shared" si="3"/>
        <v>31274155</v>
      </c>
      <c r="L17" s="77">
        <f>Data!K268</f>
        <v>0</v>
      </c>
      <c r="M17" s="77">
        <f t="shared" si="5"/>
        <v>0</v>
      </c>
      <c r="N17" s="77">
        <f t="shared" si="4"/>
        <v>0</v>
      </c>
      <c r="O17" s="109"/>
    </row>
    <row r="18" spans="1:15" ht="18" customHeight="1">
      <c r="A18" s="82">
        <v>99</v>
      </c>
      <c r="B18" s="105">
        <v>557380</v>
      </c>
      <c r="C18" s="77" t="s">
        <v>678</v>
      </c>
      <c r="D18" s="84"/>
      <c r="E18" s="84"/>
      <c r="F18" s="77">
        <f t="shared" si="0"/>
        <v>-14756822</v>
      </c>
      <c r="G18" s="77">
        <f>Data!I269</f>
        <v>0</v>
      </c>
      <c r="H18" s="78">
        <f t="shared" si="1"/>
        <v>-14756822</v>
      </c>
      <c r="I18" s="77">
        <f>Data!J269</f>
        <v>0</v>
      </c>
      <c r="J18" s="77">
        <v>0</v>
      </c>
      <c r="K18" s="78">
        <f t="shared" si="3"/>
        <v>0</v>
      </c>
      <c r="L18" s="77">
        <f>Data!K269</f>
        <v>-14756822</v>
      </c>
      <c r="M18" s="77">
        <v>0</v>
      </c>
      <c r="N18" s="77">
        <f t="shared" si="4"/>
        <v>-14756822</v>
      </c>
      <c r="O18" s="109"/>
    </row>
    <row r="19" spans="1:15" ht="18" customHeight="1">
      <c r="A19" s="82">
        <v>99</v>
      </c>
      <c r="B19" s="105">
        <v>557390</v>
      </c>
      <c r="C19" s="77" t="s">
        <v>434</v>
      </c>
      <c r="D19" s="84"/>
      <c r="E19" s="84"/>
      <c r="F19" s="77">
        <f t="shared" si="0"/>
        <v>9153380</v>
      </c>
      <c r="G19" s="77">
        <f>Data!I270</f>
        <v>0</v>
      </c>
      <c r="H19" s="78">
        <f t="shared" si="1"/>
        <v>9153380</v>
      </c>
      <c r="I19" s="77">
        <f>Data!J270</f>
        <v>0</v>
      </c>
      <c r="J19" s="77">
        <v>0</v>
      </c>
      <c r="K19" s="78">
        <f t="shared" si="3"/>
        <v>0</v>
      </c>
      <c r="L19" s="77">
        <f>Data!K270</f>
        <v>9153380</v>
      </c>
      <c r="M19" s="77">
        <v>0</v>
      </c>
      <c r="N19" s="77">
        <f t="shared" si="4"/>
        <v>9153380</v>
      </c>
      <c r="O19" s="109"/>
    </row>
    <row r="20" spans="1:15" ht="18" customHeight="1">
      <c r="A20" s="82">
        <v>1</v>
      </c>
      <c r="B20" s="105">
        <v>557610</v>
      </c>
      <c r="C20" s="77" t="s">
        <v>185</v>
      </c>
      <c r="D20" s="84"/>
      <c r="E20" s="84"/>
      <c r="F20" s="77">
        <f>I20+L20</f>
        <v>0</v>
      </c>
      <c r="G20" s="77">
        <f>Data!I271</f>
        <v>4684</v>
      </c>
      <c r="H20" s="78">
        <f>F20+G20</f>
        <v>4684</v>
      </c>
      <c r="I20" s="77">
        <f>Data!J271</f>
        <v>0</v>
      </c>
      <c r="J20" s="77">
        <f>G20*VLOOKUP(A20,Allocators,7)</f>
        <v>3025</v>
      </c>
      <c r="K20" s="78">
        <f>I20+J20</f>
        <v>3025</v>
      </c>
      <c r="L20" s="77">
        <f>Data!K271</f>
        <v>0</v>
      </c>
      <c r="M20" s="77">
        <f>+G20-J20</f>
        <v>1659</v>
      </c>
      <c r="N20" s="77">
        <f>L20+M20</f>
        <v>1659</v>
      </c>
      <c r="O20" s="109"/>
    </row>
    <row r="21" spans="1:15" ht="18" customHeight="1">
      <c r="A21" s="82">
        <v>1</v>
      </c>
      <c r="B21" s="105">
        <v>557700</v>
      </c>
      <c r="C21" s="77" t="s">
        <v>184</v>
      </c>
      <c r="D21" s="84"/>
      <c r="E21" s="84"/>
      <c r="F21" s="77">
        <f>I21+L21</f>
        <v>0</v>
      </c>
      <c r="G21" s="77">
        <f>Data!I272</f>
        <v>0</v>
      </c>
      <c r="H21" s="78">
        <f>F21+G21</f>
        <v>0</v>
      </c>
      <c r="I21" s="77">
        <f>Data!J272</f>
        <v>0</v>
      </c>
      <c r="J21" s="77">
        <f>G21*VLOOKUP(A21,Allocators,7)</f>
        <v>0</v>
      </c>
      <c r="K21" s="78">
        <f>I21+J21</f>
        <v>0</v>
      </c>
      <c r="L21" s="77">
        <f>Data!K272</f>
        <v>0</v>
      </c>
      <c r="M21" s="77">
        <f>+G21-J21</f>
        <v>0</v>
      </c>
      <c r="N21" s="77">
        <f>L21+M21</f>
        <v>0</v>
      </c>
      <c r="O21" s="109"/>
    </row>
    <row r="22" spans="1:15" ht="18" customHeight="1">
      <c r="A22" s="82">
        <v>1</v>
      </c>
      <c r="B22" s="105">
        <v>557990</v>
      </c>
      <c r="C22" s="77" t="s">
        <v>584</v>
      </c>
      <c r="D22" s="84"/>
      <c r="E22" s="84"/>
      <c r="F22" s="77">
        <f>I22+L22</f>
        <v>0</v>
      </c>
      <c r="G22" s="77">
        <v>0</v>
      </c>
      <c r="H22" s="78">
        <f>F22+G22</f>
        <v>0</v>
      </c>
      <c r="I22" s="77">
        <v>0</v>
      </c>
      <c r="J22" s="77">
        <f>G22*VLOOKUP(A22,Allocators,7)</f>
        <v>0</v>
      </c>
      <c r="K22" s="78">
        <f>I22+J22</f>
        <v>0</v>
      </c>
      <c r="L22" s="77">
        <v>0</v>
      </c>
      <c r="M22" s="77">
        <f>+G22-J22</f>
        <v>0</v>
      </c>
      <c r="N22" s="77">
        <f>L22+M22</f>
        <v>0</v>
      </c>
      <c r="O22" s="109"/>
    </row>
    <row r="23" spans="1:15" ht="18" customHeight="1">
      <c r="A23" s="82"/>
      <c r="B23" s="106"/>
      <c r="C23" s="77"/>
      <c r="D23" s="84"/>
      <c r="E23" s="84"/>
      <c r="F23" s="77"/>
      <c r="G23" s="77"/>
      <c r="H23" s="78"/>
      <c r="I23" s="77"/>
      <c r="J23" s="77"/>
      <c r="K23" s="78"/>
      <c r="L23" s="77"/>
      <c r="M23" s="77"/>
      <c r="N23" s="77"/>
      <c r="O23" s="109"/>
    </row>
    <row r="24" spans="1:15" ht="18" customHeight="1">
      <c r="A24" s="82"/>
      <c r="B24" s="83"/>
      <c r="C24" s="77" t="s">
        <v>435</v>
      </c>
      <c r="D24" s="84"/>
      <c r="E24" s="84"/>
      <c r="F24" s="107">
        <f aca="true" t="shared" si="6" ref="F24:N24">SUM(F8:F23)</f>
        <v>13110053</v>
      </c>
      <c r="G24" s="107">
        <f t="shared" si="6"/>
        <v>47586567</v>
      </c>
      <c r="H24" s="108">
        <f t="shared" si="6"/>
        <v>60696620</v>
      </c>
      <c r="I24" s="107">
        <f t="shared" si="6"/>
        <v>18235417</v>
      </c>
      <c r="J24" s="107">
        <f t="shared" si="6"/>
        <v>30736163</v>
      </c>
      <c r="K24" s="108">
        <f t="shared" si="6"/>
        <v>48971580</v>
      </c>
      <c r="L24" s="107">
        <f t="shared" si="6"/>
        <v>-5125364</v>
      </c>
      <c r="M24" s="107">
        <f t="shared" si="6"/>
        <v>16850404</v>
      </c>
      <c r="N24" s="107">
        <f t="shared" si="6"/>
        <v>11725040</v>
      </c>
      <c r="O24" s="109"/>
    </row>
    <row r="25" spans="1:15" ht="18" customHeight="1">
      <c r="A25" s="82"/>
      <c r="B25" s="83"/>
      <c r="C25" s="77"/>
      <c r="D25" s="77"/>
      <c r="E25" s="77"/>
      <c r="F25" s="77"/>
      <c r="G25" s="77"/>
      <c r="H25" s="77"/>
      <c r="I25" s="77"/>
      <c r="J25" s="77"/>
      <c r="K25" s="77"/>
      <c r="L25" s="77"/>
      <c r="M25" s="77"/>
      <c r="N25" s="77" t="str">
        <f>IF(N24+K24-H24=0," ","ERROR")</f>
        <v> </v>
      </c>
      <c r="O25" s="109"/>
    </row>
    <row r="26" spans="1:15" ht="18" customHeight="1">
      <c r="A26" s="77" t="s">
        <v>341</v>
      </c>
      <c r="B26" s="83"/>
      <c r="C26" s="77"/>
      <c r="D26" s="84"/>
      <c r="E26" s="84"/>
      <c r="F26" s="77"/>
      <c r="G26" s="77"/>
      <c r="H26" s="77"/>
      <c r="I26" s="77"/>
      <c r="J26" s="77"/>
      <c r="K26" s="77"/>
      <c r="L26" s="77"/>
      <c r="M26" s="77"/>
      <c r="N26" s="77"/>
      <c r="O26" s="103"/>
    </row>
    <row r="27" spans="1:15" ht="18" customHeight="1">
      <c r="A27" s="82" t="s">
        <v>735</v>
      </c>
      <c r="B27" s="116">
        <v>1</v>
      </c>
      <c r="C27" s="77" t="str">
        <f>'E-ALL'!C7</f>
        <v>Production/Transmission  Ratio</v>
      </c>
      <c r="D27" s="84"/>
      <c r="E27" s="84"/>
      <c r="F27" s="77"/>
      <c r="G27" s="117">
        <f>VLOOKUP(B27,Allocators,6)</f>
        <v>1</v>
      </c>
      <c r="H27" s="117"/>
      <c r="I27" s="117"/>
      <c r="J27" s="117">
        <f>VLOOKUP(B27,Allocators,7)</f>
        <v>0.6459</v>
      </c>
      <c r="K27" s="117"/>
      <c r="L27" s="117"/>
      <c r="M27" s="117">
        <f>VLOOKUP(B27,Allocators,8)</f>
        <v>0.3541</v>
      </c>
      <c r="N27" s="117"/>
      <c r="O27" s="118"/>
    </row>
    <row r="28" spans="1:15" ht="18" customHeight="1">
      <c r="A28" s="82" t="s">
        <v>735</v>
      </c>
      <c r="B28" s="116">
        <v>99</v>
      </c>
      <c r="C28" s="77" t="s">
        <v>906</v>
      </c>
      <c r="D28" s="84"/>
      <c r="E28" s="84"/>
      <c r="F28" s="77"/>
      <c r="G28" s="117">
        <f>VLOOKUP(B28,Allocators,6)</f>
        <v>0</v>
      </c>
      <c r="H28" s="117"/>
      <c r="I28" s="117"/>
      <c r="J28" s="117">
        <f>VLOOKUP(B28,Allocators,7)</f>
        <v>0</v>
      </c>
      <c r="K28" s="117"/>
      <c r="L28" s="117"/>
      <c r="M28" s="117">
        <f>VLOOKUP(B28,Allocators,8)</f>
        <v>0</v>
      </c>
      <c r="N28" s="77"/>
      <c r="O28" s="109"/>
    </row>
    <row r="29" spans="1:15" ht="18" customHeight="1">
      <c r="A29" s="82"/>
      <c r="B29" s="116"/>
      <c r="C29" s="77"/>
      <c r="D29" s="84"/>
      <c r="E29" s="213"/>
      <c r="F29" s="77"/>
      <c r="G29" s="117"/>
      <c r="H29" s="117"/>
      <c r="I29" s="117"/>
      <c r="J29" s="117"/>
      <c r="K29" s="117"/>
      <c r="L29" s="117"/>
      <c r="M29" s="117"/>
      <c r="N29" s="77"/>
      <c r="O29" s="109"/>
    </row>
  </sheetData>
  <mergeCells count="1">
    <mergeCell ref="L5:N5"/>
  </mergeCells>
  <printOptions/>
  <pageMargins left="0.75" right="0.75" top="1" bottom="0.75" header="0.5" footer="0.5"/>
  <pageSetup fitToHeight="1" fitToWidth="1" horizontalDpi="600" verticalDpi="600" orientation="landscape" scale="64" r:id="rId1"/>
  <headerFooter alignWithMargins="0">
    <oddHeader>&amp;LAVISTA UTILITIES&amp;CRESULTS OF OPERATIONS&amp;RRUN DATE: &amp;D</oddHeader>
  </headerFooter>
  <ignoredErrors>
    <ignoredError sqref="F10:N25 F8:N8" evalError="1"/>
  </ignoredErrors>
</worksheet>
</file>

<file path=xl/worksheets/sheet7.xml><?xml version="1.0" encoding="utf-8"?>
<worksheet xmlns="http://schemas.openxmlformats.org/spreadsheetml/2006/main" xmlns:r="http://schemas.openxmlformats.org/officeDocument/2006/relationships">
  <sheetPr codeName="Sheet5">
    <pageSetUpPr fitToPage="1"/>
  </sheetPr>
  <dimension ref="A1:N19"/>
  <sheetViews>
    <sheetView workbookViewId="0" topLeftCell="A1">
      <pane xSplit="5" ySplit="6" topLeftCell="F7" activePane="bottomRight" state="frozen"/>
      <selection pane="topLeft" activeCell="H8" sqref="H8"/>
      <selection pane="topRight" activeCell="H8" sqref="H8"/>
      <selection pane="bottomLeft" activeCell="H8" sqref="H8"/>
      <selection pane="bottomRight" activeCell="F7" sqref="F7"/>
    </sheetView>
  </sheetViews>
  <sheetFormatPr defaultColWidth="9.00390625" defaultRowHeight="12.75"/>
  <cols>
    <col min="1" max="1" width="8.625" style="123" customWidth="1"/>
    <col min="2" max="2" width="9.875" style="123" customWidth="1"/>
    <col min="3" max="3" width="15.875" style="123" customWidth="1"/>
    <col min="4" max="4" width="13.875" style="123" customWidth="1"/>
    <col min="5" max="5" width="14.875" style="123" customWidth="1"/>
    <col min="6" max="14" width="16.875" style="123" customWidth="1"/>
    <col min="15" max="16384" width="9.375" style="123" customWidth="1"/>
  </cols>
  <sheetData>
    <row r="1" spans="1:14" ht="18" customHeight="1">
      <c r="A1" s="82"/>
      <c r="B1" s="83"/>
      <c r="C1" s="77"/>
      <c r="D1" s="84"/>
      <c r="E1" s="84"/>
      <c r="F1" s="77"/>
      <c r="G1" s="77"/>
      <c r="H1" s="77"/>
      <c r="I1" s="77"/>
      <c r="J1" s="77"/>
      <c r="K1" s="77"/>
      <c r="L1" s="77"/>
      <c r="M1" s="77"/>
      <c r="N1" s="77"/>
    </row>
    <row r="2" spans="1:14" ht="18" customHeight="1">
      <c r="A2" s="85" t="s">
        <v>342</v>
      </c>
      <c r="B2" s="86"/>
      <c r="C2" s="87"/>
      <c r="D2" s="88"/>
      <c r="E2" s="89" t="s">
        <v>725</v>
      </c>
      <c r="F2" s="77"/>
      <c r="G2" s="77"/>
      <c r="H2" s="77"/>
      <c r="I2" s="77"/>
      <c r="J2" s="77"/>
      <c r="K2" s="77"/>
      <c r="L2" s="77"/>
      <c r="M2" s="77"/>
      <c r="N2" s="77"/>
    </row>
    <row r="3" spans="1:14" ht="18" customHeight="1">
      <c r="A3" s="110" t="s">
        <v>690</v>
      </c>
      <c r="B3" s="83"/>
      <c r="C3" s="84"/>
      <c r="D3" s="92"/>
      <c r="E3" s="93" t="str">
        <f>"E-903-"&amp;months&amp;rbcalc</f>
        <v>E-903-12A</v>
      </c>
      <c r="F3" s="77"/>
      <c r="G3" s="77"/>
      <c r="H3" s="77"/>
      <c r="I3" s="77"/>
      <c r="J3" s="77"/>
      <c r="K3" s="77"/>
      <c r="L3" s="77"/>
      <c r="M3" s="77"/>
      <c r="N3" s="77"/>
    </row>
    <row r="4" spans="1:14" ht="18" customHeight="1">
      <c r="A4" s="91" t="str">
        <f>tp_heading</f>
        <v>For Twelve Months Ended September 30, 2008</v>
      </c>
      <c r="B4" s="84"/>
      <c r="C4" s="84"/>
      <c r="D4" s="92"/>
      <c r="E4" s="238"/>
      <c r="F4" s="77"/>
      <c r="G4" s="77"/>
      <c r="H4" s="77"/>
      <c r="I4" s="77"/>
      <c r="J4" s="77"/>
      <c r="K4" s="77"/>
      <c r="L4" s="77"/>
      <c r="M4" s="77"/>
      <c r="N4" s="77"/>
    </row>
    <row r="5" spans="1:14" ht="18" customHeight="1">
      <c r="A5" s="94" t="str">
        <f>rbcalc_heading</f>
        <v>Average of Monthly Averages Basis</v>
      </c>
      <c r="B5" s="95"/>
      <c r="C5" s="96"/>
      <c r="D5" s="97"/>
      <c r="E5" s="98"/>
      <c r="F5" s="77" t="s">
        <v>921</v>
      </c>
      <c r="G5" s="77"/>
      <c r="H5" s="77"/>
      <c r="I5" s="77" t="s">
        <v>0</v>
      </c>
      <c r="J5" s="77"/>
      <c r="K5" s="77"/>
      <c r="L5" s="77" t="s">
        <v>1</v>
      </c>
      <c r="M5" s="77"/>
      <c r="N5" s="77"/>
    </row>
    <row r="6" spans="1:14" ht="18" customHeight="1">
      <c r="A6" s="99" t="s">
        <v>2</v>
      </c>
      <c r="B6" s="100" t="s">
        <v>815</v>
      </c>
      <c r="C6" s="99" t="s">
        <v>844</v>
      </c>
      <c r="D6" s="96"/>
      <c r="E6" s="96"/>
      <c r="F6" s="99" t="s">
        <v>3</v>
      </c>
      <c r="G6" s="99" t="s">
        <v>4</v>
      </c>
      <c r="H6" s="99" t="s">
        <v>891</v>
      </c>
      <c r="I6" s="99" t="s">
        <v>3</v>
      </c>
      <c r="J6" s="99" t="s">
        <v>4</v>
      </c>
      <c r="K6" s="99" t="s">
        <v>891</v>
      </c>
      <c r="L6" s="99" t="s">
        <v>3</v>
      </c>
      <c r="M6" s="99" t="s">
        <v>4</v>
      </c>
      <c r="N6" s="99" t="s">
        <v>891</v>
      </c>
    </row>
    <row r="7" spans="1:14" ht="18" customHeight="1">
      <c r="A7" s="82"/>
      <c r="B7" s="83"/>
      <c r="C7" s="77"/>
      <c r="D7" s="84"/>
      <c r="E7" s="84"/>
      <c r="F7" s="77"/>
      <c r="G7" s="77"/>
      <c r="H7" s="78"/>
      <c r="I7" s="77"/>
      <c r="J7" s="77"/>
      <c r="K7" s="78"/>
      <c r="L7" s="77"/>
      <c r="M7" s="77"/>
      <c r="N7" s="77"/>
    </row>
    <row r="8" spans="1:14" ht="18" customHeight="1">
      <c r="A8" s="82">
        <v>2</v>
      </c>
      <c r="B8" s="105">
        <v>903000</v>
      </c>
      <c r="C8" s="77" t="s">
        <v>352</v>
      </c>
      <c r="D8" s="84"/>
      <c r="E8" s="84"/>
      <c r="F8" s="77">
        <f>+I8+L8</f>
        <v>1543386</v>
      </c>
      <c r="G8" s="77">
        <f>+Data!I308</f>
        <v>5158250</v>
      </c>
      <c r="H8" s="78">
        <f>+F8+G8</f>
        <v>6701636</v>
      </c>
      <c r="I8" s="77">
        <f>+Data!J308</f>
        <v>1074987</v>
      </c>
      <c r="J8" s="77">
        <f>G8*VLOOKUP(A8,Allocators,7)</f>
        <v>3391962</v>
      </c>
      <c r="K8" s="78">
        <f>+I8+J8</f>
        <v>4466949</v>
      </c>
      <c r="L8" s="77">
        <f>+Data!K308</f>
        <v>468399</v>
      </c>
      <c r="M8" s="77">
        <f>G8*VLOOKUP(A8,Allocators,8)</f>
        <v>1766288</v>
      </c>
      <c r="N8" s="77">
        <f>+L8+M8</f>
        <v>2234687</v>
      </c>
    </row>
    <row r="9" spans="1:14" ht="18" customHeight="1">
      <c r="A9" s="82"/>
      <c r="B9" s="105"/>
      <c r="C9" s="77"/>
      <c r="D9" s="84"/>
      <c r="E9" s="84"/>
      <c r="F9" s="77"/>
      <c r="G9" s="77"/>
      <c r="H9" s="78"/>
      <c r="I9" s="77"/>
      <c r="J9" s="77"/>
      <c r="K9" s="78"/>
      <c r="L9" s="77"/>
      <c r="M9" s="77"/>
      <c r="N9" s="77"/>
    </row>
    <row r="10" spans="1:14" ht="18" customHeight="1">
      <c r="A10" s="82">
        <v>12</v>
      </c>
      <c r="B10" s="105">
        <v>903920</v>
      </c>
      <c r="C10" s="77" t="s">
        <v>343</v>
      </c>
      <c r="D10" s="84"/>
      <c r="E10" s="84"/>
      <c r="F10" s="77">
        <f>+I10+L10</f>
        <v>0</v>
      </c>
      <c r="G10" s="77">
        <f>+Data!I309</f>
        <v>151658</v>
      </c>
      <c r="H10" s="78">
        <f>+F10+G10</f>
        <v>151658</v>
      </c>
      <c r="I10" s="77">
        <f>+Data!J309</f>
        <v>0</v>
      </c>
      <c r="J10" s="77">
        <f>G10*VLOOKUP(A10,Allocators,7)</f>
        <v>96336</v>
      </c>
      <c r="K10" s="78">
        <f>+I10+J10</f>
        <v>96336</v>
      </c>
      <c r="L10" s="77">
        <f>+Data!K309</f>
        <v>0</v>
      </c>
      <c r="M10" s="77">
        <f>G10*VLOOKUP(A10,Allocators,8)</f>
        <v>55322</v>
      </c>
      <c r="N10" s="77">
        <f>+L10+M10</f>
        <v>55322</v>
      </c>
    </row>
    <row r="11" spans="1:14" ht="18" customHeight="1">
      <c r="A11" s="82"/>
      <c r="B11" s="105"/>
      <c r="C11" s="77"/>
      <c r="D11" s="84"/>
      <c r="E11" s="84"/>
      <c r="F11" s="77"/>
      <c r="G11" s="77"/>
      <c r="H11" s="78"/>
      <c r="I11" s="77"/>
      <c r="J11" s="77"/>
      <c r="K11" s="78"/>
      <c r="L11" s="77"/>
      <c r="M11" s="77"/>
      <c r="N11" s="77"/>
    </row>
    <row r="12" spans="1:14" ht="18" customHeight="1">
      <c r="A12" s="82">
        <v>12</v>
      </c>
      <c r="B12" s="105">
        <v>903930</v>
      </c>
      <c r="C12" s="77" t="s">
        <v>344</v>
      </c>
      <c r="D12" s="84"/>
      <c r="E12" s="84"/>
      <c r="F12" s="77">
        <f>+I12+L12</f>
        <v>0</v>
      </c>
      <c r="G12" s="77">
        <f>+Data!I310</f>
        <v>660002</v>
      </c>
      <c r="H12" s="78">
        <f>+F12+G12</f>
        <v>660002</v>
      </c>
      <c r="I12" s="77">
        <f>+Data!J310</f>
        <v>0</v>
      </c>
      <c r="J12" s="77">
        <f>G12*VLOOKUP(A12,Allocators,7)</f>
        <v>419246</v>
      </c>
      <c r="K12" s="78">
        <f>+I12+J12</f>
        <v>419246</v>
      </c>
      <c r="L12" s="77">
        <f>+Data!K310</f>
        <v>0</v>
      </c>
      <c r="M12" s="77">
        <f>G12*VLOOKUP(A12,Allocators,8)</f>
        <v>240756</v>
      </c>
      <c r="N12" s="77">
        <f>+L12+M12</f>
        <v>240756</v>
      </c>
    </row>
    <row r="13" spans="1:14" ht="18" customHeight="1">
      <c r="A13" s="82"/>
      <c r="B13" s="83"/>
      <c r="C13" s="77"/>
      <c r="D13" s="84"/>
      <c r="E13" s="84"/>
      <c r="F13" s="77"/>
      <c r="G13" s="77"/>
      <c r="H13" s="78"/>
      <c r="I13" s="77"/>
      <c r="J13" s="77"/>
      <c r="K13" s="78"/>
      <c r="L13" s="77"/>
      <c r="M13" s="77"/>
      <c r="N13" s="77"/>
    </row>
    <row r="14" spans="1:14" ht="18" customHeight="1">
      <c r="A14" s="82"/>
      <c r="B14" s="83"/>
      <c r="C14" s="77" t="s">
        <v>345</v>
      </c>
      <c r="D14" s="84"/>
      <c r="E14" s="84"/>
      <c r="F14" s="107">
        <f aca="true" t="shared" si="0" ref="F14:N14">SUM(F8:F13)</f>
        <v>1543386</v>
      </c>
      <c r="G14" s="107">
        <f t="shared" si="0"/>
        <v>5969910</v>
      </c>
      <c r="H14" s="108">
        <f t="shared" si="0"/>
        <v>7513296</v>
      </c>
      <c r="I14" s="107">
        <f t="shared" si="0"/>
        <v>1074987</v>
      </c>
      <c r="J14" s="107">
        <f t="shared" si="0"/>
        <v>3907544</v>
      </c>
      <c r="K14" s="108">
        <f t="shared" si="0"/>
        <v>4982531</v>
      </c>
      <c r="L14" s="107">
        <f t="shared" si="0"/>
        <v>468399</v>
      </c>
      <c r="M14" s="107">
        <f t="shared" si="0"/>
        <v>2062366</v>
      </c>
      <c r="N14" s="107">
        <f t="shared" si="0"/>
        <v>2530765</v>
      </c>
    </row>
    <row r="15" spans="1:14" ht="18" customHeight="1">
      <c r="A15" s="82"/>
      <c r="B15" s="83"/>
      <c r="C15" s="77"/>
      <c r="D15" s="77"/>
      <c r="E15" s="77"/>
      <c r="F15" s="77"/>
      <c r="G15" s="77"/>
      <c r="H15" s="77"/>
      <c r="I15" s="77"/>
      <c r="J15" s="77"/>
      <c r="K15" s="77"/>
      <c r="L15" s="77"/>
      <c r="M15" s="77"/>
      <c r="N15" s="77"/>
    </row>
    <row r="16" spans="1:14" ht="18" customHeight="1">
      <c r="A16" s="77" t="s">
        <v>341</v>
      </c>
      <c r="B16" s="83"/>
      <c r="C16" s="77"/>
      <c r="D16" s="84"/>
      <c r="E16" s="84"/>
      <c r="F16" s="77"/>
      <c r="G16" s="77"/>
      <c r="H16" s="77"/>
      <c r="I16" s="77"/>
      <c r="J16" s="77"/>
      <c r="K16" s="77"/>
      <c r="L16" s="77"/>
      <c r="M16" s="77"/>
      <c r="N16" s="77"/>
    </row>
    <row r="17" spans="1:14" ht="18" customHeight="1">
      <c r="A17" s="82" t="s">
        <v>735</v>
      </c>
      <c r="B17" s="116">
        <v>2</v>
      </c>
      <c r="C17" s="77" t="str">
        <f>'E-ALL'!C10</f>
        <v>Number of Customers</v>
      </c>
      <c r="D17" s="84"/>
      <c r="E17" s="84"/>
      <c r="F17" s="77"/>
      <c r="G17" s="117">
        <f>VLOOKUP(B17,Allocators,6)</f>
        <v>1</v>
      </c>
      <c r="H17" s="117"/>
      <c r="I17" s="117"/>
      <c r="J17" s="117">
        <f>VLOOKUP(B17,Allocators,7)</f>
        <v>0.65758</v>
      </c>
      <c r="K17" s="117"/>
      <c r="L17" s="117"/>
      <c r="M17" s="117">
        <f>VLOOKUP(B17,Allocators,8)</f>
        <v>0.34242</v>
      </c>
      <c r="N17" s="117"/>
    </row>
    <row r="18" spans="1:14" ht="18" customHeight="1">
      <c r="A18" s="82" t="s">
        <v>735</v>
      </c>
      <c r="B18" s="116">
        <v>12</v>
      </c>
      <c r="C18" s="77" t="str">
        <f>+'E-ALL'!C116</f>
        <v>Net Electric Plant</v>
      </c>
      <c r="D18" s="84"/>
      <c r="E18" s="84"/>
      <c r="F18" s="77"/>
      <c r="G18" s="117">
        <f>VLOOKUP(B18,Allocators,6)</f>
        <v>1</v>
      </c>
      <c r="H18" s="117"/>
      <c r="I18" s="117"/>
      <c r="J18" s="117">
        <f>VLOOKUP(B18,Allocators,7)</f>
        <v>0.63522</v>
      </c>
      <c r="K18" s="117"/>
      <c r="L18" s="117"/>
      <c r="M18" s="117">
        <f>VLOOKUP(B18,Allocators,8)</f>
        <v>0.36478</v>
      </c>
      <c r="N18" s="117"/>
    </row>
    <row r="19" spans="1:14" ht="12.75">
      <c r="A19" s="82"/>
      <c r="B19" s="83"/>
      <c r="C19" s="77"/>
      <c r="D19" s="84"/>
      <c r="E19" s="84"/>
      <c r="F19" s="77"/>
      <c r="G19" s="77"/>
      <c r="H19" s="77"/>
      <c r="I19" s="77"/>
      <c r="J19" s="77"/>
      <c r="K19" s="77"/>
      <c r="L19" s="77"/>
      <c r="M19" s="77"/>
      <c r="N19" s="77"/>
    </row>
  </sheetData>
  <printOptions/>
  <pageMargins left="0.75" right="0.75" top="1" bottom="1" header="0.5" footer="0.5"/>
  <pageSetup fitToHeight="1" fitToWidth="1" horizontalDpi="600" verticalDpi="600" orientation="landscape" scale="64" r:id="rId1"/>
  <headerFooter alignWithMargins="0">
    <oddHeader>&amp;LAVISTA UTILITIES&amp;CRESULTS OF OPERATIONS&amp;RRUN DATE: &amp;D</oddHeader>
  </headerFooter>
</worksheet>
</file>

<file path=xl/worksheets/sheet8.xml><?xml version="1.0" encoding="utf-8"?>
<worksheet xmlns="http://schemas.openxmlformats.org/spreadsheetml/2006/main" xmlns:r="http://schemas.openxmlformats.org/officeDocument/2006/relationships">
  <sheetPr codeName="Sheet6"/>
  <dimension ref="A1:R24"/>
  <sheetViews>
    <sheetView workbookViewId="0" topLeftCell="A1">
      <pane xSplit="5" ySplit="7" topLeftCell="F8" activePane="bottomRight" state="frozen"/>
      <selection pane="topLeft" activeCell="H8" sqref="H8"/>
      <selection pane="topRight" activeCell="H8" sqref="H8"/>
      <selection pane="bottomLeft" activeCell="H8" sqref="H8"/>
      <selection pane="bottomRight" activeCell="F8" sqref="F8"/>
    </sheetView>
  </sheetViews>
  <sheetFormatPr defaultColWidth="9.00390625" defaultRowHeight="12.75"/>
  <cols>
    <col min="1" max="1" width="9.375" style="84" customWidth="1"/>
    <col min="2" max="2" width="9.875" style="84" customWidth="1"/>
    <col min="3" max="4" width="15.875" style="84" customWidth="1"/>
    <col min="5" max="5" width="11.875" style="84" customWidth="1"/>
    <col min="6" max="14" width="14.875" style="84" customWidth="1"/>
    <col min="15" max="16384" width="9.375" style="84" customWidth="1"/>
  </cols>
  <sheetData>
    <row r="1" spans="1:18" ht="15" customHeight="1">
      <c r="A1" s="82"/>
      <c r="B1" s="83"/>
      <c r="C1" s="77"/>
      <c r="F1" s="77"/>
      <c r="G1" s="77"/>
      <c r="H1" s="77"/>
      <c r="I1" s="77"/>
      <c r="J1" s="77"/>
      <c r="K1" s="77"/>
      <c r="L1" s="77"/>
      <c r="M1" s="77"/>
      <c r="N1" s="77"/>
      <c r="O1" s="103"/>
      <c r="P1" s="103"/>
      <c r="Q1" s="103"/>
      <c r="R1" s="77"/>
    </row>
    <row r="2" spans="1:18" ht="15" customHeight="1">
      <c r="A2" s="85" t="s">
        <v>346</v>
      </c>
      <c r="B2" s="86"/>
      <c r="C2" s="87"/>
      <c r="D2" s="88"/>
      <c r="E2" s="89" t="s">
        <v>725</v>
      </c>
      <c r="F2" s="77"/>
      <c r="G2" s="77"/>
      <c r="H2" s="77"/>
      <c r="I2" s="77"/>
      <c r="J2" s="77"/>
      <c r="K2" s="77"/>
      <c r="L2" s="77"/>
      <c r="M2" s="77"/>
      <c r="N2" s="77"/>
      <c r="O2" s="77"/>
      <c r="P2" s="77"/>
      <c r="Q2" s="77"/>
      <c r="R2" s="77"/>
    </row>
    <row r="3" spans="1:18" ht="15" customHeight="1">
      <c r="A3" s="110" t="s">
        <v>347</v>
      </c>
      <c r="B3" s="83"/>
      <c r="D3" s="92"/>
      <c r="E3" s="93" t="str">
        <f>"E-908-"&amp;months&amp;rbcalc</f>
        <v>E-908-12A</v>
      </c>
      <c r="F3" s="77"/>
      <c r="G3" s="77"/>
      <c r="H3" s="77"/>
      <c r="I3" s="77"/>
      <c r="J3" s="77"/>
      <c r="K3" s="77"/>
      <c r="L3" s="77"/>
      <c r="M3" s="77"/>
      <c r="N3" s="77"/>
      <c r="O3" s="77"/>
      <c r="P3" s="77"/>
      <c r="Q3" s="77"/>
      <c r="R3" s="77"/>
    </row>
    <row r="4" spans="1:18" ht="15" customHeight="1">
      <c r="A4" s="91" t="str">
        <f>tp_heading</f>
        <v>For Twelve Months Ended September 30, 2008</v>
      </c>
      <c r="D4" s="92"/>
      <c r="E4" s="238"/>
      <c r="F4" s="77"/>
      <c r="G4" s="77"/>
      <c r="H4" s="77"/>
      <c r="I4" s="77"/>
      <c r="J4" s="77"/>
      <c r="K4" s="77"/>
      <c r="L4" s="77"/>
      <c r="M4" s="77"/>
      <c r="N4" s="77"/>
      <c r="O4" s="77"/>
      <c r="P4" s="77"/>
      <c r="Q4" s="77"/>
      <c r="R4" s="77"/>
    </row>
    <row r="5" spans="1:18" ht="15" customHeight="1">
      <c r="A5" s="94" t="str">
        <f>rbcalc_heading</f>
        <v>Average of Monthly Averages Basis</v>
      </c>
      <c r="B5" s="95"/>
      <c r="C5" s="96"/>
      <c r="D5" s="97"/>
      <c r="E5" s="98"/>
      <c r="F5" s="77" t="s">
        <v>591</v>
      </c>
      <c r="G5" s="77"/>
      <c r="H5" s="77"/>
      <c r="I5" s="77" t="s">
        <v>590</v>
      </c>
      <c r="J5" s="77"/>
      <c r="K5" s="77"/>
      <c r="L5" s="363" t="s">
        <v>589</v>
      </c>
      <c r="M5" s="363"/>
      <c r="N5" s="363"/>
      <c r="O5" s="77"/>
      <c r="P5" s="77"/>
      <c r="Q5" s="77"/>
      <c r="R5" s="77"/>
    </row>
    <row r="6" spans="1:18" ht="15" customHeight="1">
      <c r="A6" s="99" t="s">
        <v>2</v>
      </c>
      <c r="B6" s="100" t="s">
        <v>815</v>
      </c>
      <c r="C6" s="99" t="s">
        <v>844</v>
      </c>
      <c r="D6" s="96"/>
      <c r="E6" s="96"/>
      <c r="F6" s="99" t="s">
        <v>3</v>
      </c>
      <c r="G6" s="99" t="s">
        <v>4</v>
      </c>
      <c r="H6" s="99" t="s">
        <v>891</v>
      </c>
      <c r="I6" s="99" t="s">
        <v>3</v>
      </c>
      <c r="J6" s="99" t="s">
        <v>4</v>
      </c>
      <c r="K6" s="99" t="s">
        <v>891</v>
      </c>
      <c r="L6" s="99" t="s">
        <v>3</v>
      </c>
      <c r="M6" s="99" t="s">
        <v>4</v>
      </c>
      <c r="N6" s="99" t="s">
        <v>891</v>
      </c>
      <c r="O6" s="101"/>
      <c r="P6" s="101"/>
      <c r="Q6" s="101"/>
      <c r="R6" s="77"/>
    </row>
    <row r="7" spans="1:18" ht="15" customHeight="1">
      <c r="A7" s="82"/>
      <c r="B7" s="105"/>
      <c r="H7" s="92"/>
      <c r="K7" s="92"/>
      <c r="O7" s="103"/>
      <c r="P7" s="103"/>
      <c r="Q7" s="103"/>
      <c r="R7" s="77"/>
    </row>
    <row r="8" spans="1:18" ht="15" customHeight="1">
      <c r="A8" s="82">
        <v>2</v>
      </c>
      <c r="B8" s="105">
        <v>908000</v>
      </c>
      <c r="C8" s="77" t="s">
        <v>348</v>
      </c>
      <c r="F8" s="77">
        <f>I8+L8</f>
        <v>381</v>
      </c>
      <c r="G8" s="77">
        <f>+Data!I313</f>
        <v>499480</v>
      </c>
      <c r="H8" s="78">
        <f>F8+G8</f>
        <v>499861</v>
      </c>
      <c r="I8" s="77">
        <f>+Data!J313</f>
        <v>0</v>
      </c>
      <c r="J8" s="77">
        <f>G8*VLOOKUP(A8,Allocators,7)</f>
        <v>328448</v>
      </c>
      <c r="K8" s="78">
        <f>I8+J8</f>
        <v>328448</v>
      </c>
      <c r="L8" s="77">
        <f>+Data!K313</f>
        <v>381</v>
      </c>
      <c r="M8" s="77">
        <f>G8*VLOOKUP(A8,Allocators,8)</f>
        <v>171032</v>
      </c>
      <c r="N8" s="77">
        <f>L8+M8</f>
        <v>171413</v>
      </c>
      <c r="O8" s="109"/>
      <c r="P8" s="109"/>
      <c r="Q8" s="109"/>
      <c r="R8" s="77"/>
    </row>
    <row r="9" spans="1:18" ht="15" customHeight="1">
      <c r="A9" s="82"/>
      <c r="B9" s="105"/>
      <c r="C9" s="77"/>
      <c r="F9" s="77"/>
      <c r="G9" s="77"/>
      <c r="H9" s="78"/>
      <c r="I9" s="77"/>
      <c r="J9" s="77"/>
      <c r="K9" s="78"/>
      <c r="L9" s="77"/>
      <c r="M9" s="77"/>
      <c r="N9" s="77"/>
      <c r="O9" s="109"/>
      <c r="P9" s="109"/>
      <c r="Q9" s="109"/>
      <c r="R9" s="77"/>
    </row>
    <row r="10" spans="1:18" ht="15" customHeight="1">
      <c r="A10" s="82">
        <v>99</v>
      </c>
      <c r="B10" s="105">
        <v>908600</v>
      </c>
      <c r="C10" s="77" t="s">
        <v>349</v>
      </c>
      <c r="F10" s="77">
        <f>I10+L10</f>
        <v>12810339</v>
      </c>
      <c r="G10" s="77">
        <v>0</v>
      </c>
      <c r="H10" s="78">
        <f>F10+G10</f>
        <v>12810339</v>
      </c>
      <c r="I10" s="77">
        <f>Data!J314</f>
        <v>10388728</v>
      </c>
      <c r="J10" s="77">
        <v>0</v>
      </c>
      <c r="K10" s="78">
        <f>I10+J10</f>
        <v>10388728</v>
      </c>
      <c r="L10" s="77">
        <f>Data!K314</f>
        <v>2421611</v>
      </c>
      <c r="M10" s="77">
        <v>0</v>
      </c>
      <c r="N10" s="77">
        <f>L10+M10</f>
        <v>2421611</v>
      </c>
      <c r="O10" s="109"/>
      <c r="P10" s="109"/>
      <c r="Q10" s="109"/>
      <c r="R10" s="77"/>
    </row>
    <row r="11" spans="1:18" ht="15" customHeight="1">
      <c r="A11" s="82"/>
      <c r="B11" s="105"/>
      <c r="C11" s="77"/>
      <c r="F11" s="77"/>
      <c r="G11" s="77"/>
      <c r="H11" s="78"/>
      <c r="I11" s="77"/>
      <c r="J11" s="77"/>
      <c r="K11" s="78"/>
      <c r="L11" s="77"/>
      <c r="M11" s="77"/>
      <c r="N11" s="77"/>
      <c r="O11" s="109"/>
      <c r="P11" s="109"/>
      <c r="Q11" s="109"/>
      <c r="R11" s="77"/>
    </row>
    <row r="12" spans="1:18" ht="15" customHeight="1">
      <c r="A12" s="82">
        <v>99</v>
      </c>
      <c r="B12" s="105">
        <v>908610</v>
      </c>
      <c r="C12" s="77" t="s">
        <v>462</v>
      </c>
      <c r="F12" s="77">
        <f>I12+L12</f>
        <v>170833</v>
      </c>
      <c r="G12" s="77">
        <v>0</v>
      </c>
      <c r="H12" s="78">
        <f>F12+G12</f>
        <v>170833</v>
      </c>
      <c r="I12" s="77">
        <f>Data!J315</f>
        <v>170833</v>
      </c>
      <c r="J12" s="77">
        <v>0</v>
      </c>
      <c r="K12" s="78">
        <f>I12+J12</f>
        <v>170833</v>
      </c>
      <c r="L12" s="77">
        <f>Data!K315</f>
        <v>0</v>
      </c>
      <c r="M12" s="77">
        <v>0</v>
      </c>
      <c r="N12" s="77">
        <f>L12+M12</f>
        <v>0</v>
      </c>
      <c r="O12" s="109"/>
      <c r="P12" s="109"/>
      <c r="Q12" s="109"/>
      <c r="R12" s="77"/>
    </row>
    <row r="13" spans="1:18" ht="15" customHeight="1">
      <c r="A13" s="82"/>
      <c r="B13" s="105"/>
      <c r="C13" s="77"/>
      <c r="F13" s="77"/>
      <c r="G13" s="77"/>
      <c r="H13" s="78"/>
      <c r="I13" s="77"/>
      <c r="J13" s="77"/>
      <c r="K13" s="78"/>
      <c r="L13" s="77"/>
      <c r="M13" s="77"/>
      <c r="N13" s="77"/>
      <c r="O13" s="109"/>
      <c r="P13" s="109"/>
      <c r="Q13" s="109"/>
      <c r="R13" s="77"/>
    </row>
    <row r="14" spans="1:18" ht="15" customHeight="1">
      <c r="A14" s="82">
        <v>99</v>
      </c>
      <c r="B14" s="105">
        <v>908690</v>
      </c>
      <c r="C14" s="77" t="s">
        <v>600</v>
      </c>
      <c r="F14" s="77">
        <f>I14+L14</f>
        <v>304346</v>
      </c>
      <c r="G14" s="77">
        <v>0</v>
      </c>
      <c r="H14" s="78">
        <f>F14+G14</f>
        <v>304346</v>
      </c>
      <c r="I14" s="77">
        <f>Data!J316</f>
        <v>298941</v>
      </c>
      <c r="J14" s="77">
        <v>0</v>
      </c>
      <c r="K14" s="78">
        <f>I14+J14</f>
        <v>298941</v>
      </c>
      <c r="L14" s="77">
        <f>Data!K316</f>
        <v>5405</v>
      </c>
      <c r="M14" s="77">
        <v>0</v>
      </c>
      <c r="N14" s="77">
        <f>L14+M14</f>
        <v>5405</v>
      </c>
      <c r="O14" s="109"/>
      <c r="P14" s="109"/>
      <c r="Q14" s="109"/>
      <c r="R14" s="77"/>
    </row>
    <row r="15" spans="1:18" ht="15" customHeight="1">
      <c r="A15" s="82"/>
      <c r="B15" s="105"/>
      <c r="C15" s="77"/>
      <c r="F15" s="77"/>
      <c r="G15" s="77"/>
      <c r="H15" s="78"/>
      <c r="I15" s="77"/>
      <c r="J15" s="77"/>
      <c r="K15" s="78"/>
      <c r="L15" s="77"/>
      <c r="M15" s="77"/>
      <c r="N15" s="77"/>
      <c r="O15" s="109"/>
      <c r="P15" s="109"/>
      <c r="Q15" s="109"/>
      <c r="R15" s="77"/>
    </row>
    <row r="16" spans="1:18" ht="15" customHeight="1">
      <c r="A16" s="82">
        <v>99</v>
      </c>
      <c r="B16" s="105">
        <v>908990</v>
      </c>
      <c r="C16" s="77" t="s">
        <v>350</v>
      </c>
      <c r="F16" s="77">
        <f>I16+L16</f>
        <v>1280293</v>
      </c>
      <c r="G16" s="77">
        <f>+Data!I317</f>
        <v>0</v>
      </c>
      <c r="H16" s="78">
        <f>F16+G16</f>
        <v>1280293</v>
      </c>
      <c r="I16" s="77">
        <f>+Data!J317</f>
        <v>0</v>
      </c>
      <c r="J16" s="77">
        <v>0</v>
      </c>
      <c r="K16" s="78">
        <f>I16+J16</f>
        <v>0</v>
      </c>
      <c r="L16" s="77">
        <f>+Data!K317</f>
        <v>1280293</v>
      </c>
      <c r="M16" s="77">
        <v>0</v>
      </c>
      <c r="N16" s="77">
        <f>L16+M16</f>
        <v>1280293</v>
      </c>
      <c r="O16" s="109"/>
      <c r="P16" s="109"/>
      <c r="Q16" s="109"/>
      <c r="R16" s="77"/>
    </row>
    <row r="17" spans="1:18" ht="15" customHeight="1">
      <c r="A17" s="82"/>
      <c r="B17" s="106"/>
      <c r="C17" s="77"/>
      <c r="F17" s="77"/>
      <c r="G17" s="77"/>
      <c r="H17" s="78"/>
      <c r="I17" s="77"/>
      <c r="J17" s="77"/>
      <c r="K17" s="78"/>
      <c r="L17" s="77"/>
      <c r="M17" s="77"/>
      <c r="N17" s="77"/>
      <c r="O17" s="109"/>
      <c r="P17" s="109"/>
      <c r="Q17" s="109"/>
      <c r="R17" s="77"/>
    </row>
    <row r="18" spans="1:18" ht="15" customHeight="1">
      <c r="A18" s="82"/>
      <c r="B18" s="83"/>
      <c r="C18" s="77" t="s">
        <v>351</v>
      </c>
      <c r="F18" s="107">
        <f aca="true" t="shared" si="0" ref="F18:N18">SUM(F8:F17)</f>
        <v>14566192</v>
      </c>
      <c r="G18" s="107">
        <f t="shared" si="0"/>
        <v>499480</v>
      </c>
      <c r="H18" s="108">
        <f t="shared" si="0"/>
        <v>15065672</v>
      </c>
      <c r="I18" s="107">
        <f t="shared" si="0"/>
        <v>10858502</v>
      </c>
      <c r="J18" s="107">
        <f t="shared" si="0"/>
        <v>328448</v>
      </c>
      <c r="K18" s="108">
        <f t="shared" si="0"/>
        <v>11186950</v>
      </c>
      <c r="L18" s="107">
        <f t="shared" si="0"/>
        <v>3707690</v>
      </c>
      <c r="M18" s="107">
        <f t="shared" si="0"/>
        <v>171032</v>
      </c>
      <c r="N18" s="107">
        <f t="shared" si="0"/>
        <v>3878722</v>
      </c>
      <c r="O18" s="109"/>
      <c r="P18" s="109"/>
      <c r="Q18" s="109"/>
      <c r="R18" s="77"/>
    </row>
    <row r="19" spans="1:18" ht="15" customHeight="1">
      <c r="A19" s="82"/>
      <c r="B19" s="83"/>
      <c r="C19" s="77"/>
      <c r="D19" s="77"/>
      <c r="E19" s="77"/>
      <c r="F19" s="77"/>
      <c r="G19" s="77"/>
      <c r="H19" s="77"/>
      <c r="I19" s="77"/>
      <c r="J19" s="77"/>
      <c r="K19" s="77"/>
      <c r="L19" s="77"/>
      <c r="M19" s="77"/>
      <c r="N19" s="77" t="str">
        <f>IF(N18+K18-H18=0," ","ERROR")</f>
        <v> </v>
      </c>
      <c r="O19" s="109"/>
      <c r="P19" s="109"/>
      <c r="Q19" s="109"/>
      <c r="R19" s="77"/>
    </row>
    <row r="20" spans="1:18" ht="15" customHeight="1">
      <c r="A20" s="77" t="s">
        <v>341</v>
      </c>
      <c r="B20" s="83"/>
      <c r="C20" s="77"/>
      <c r="F20" s="77"/>
      <c r="G20" s="77"/>
      <c r="H20" s="77"/>
      <c r="I20" s="77"/>
      <c r="J20" s="77"/>
      <c r="K20" s="77"/>
      <c r="L20" s="77"/>
      <c r="M20" s="77"/>
      <c r="N20" s="77"/>
      <c r="O20" s="103"/>
      <c r="P20" s="103"/>
      <c r="Q20" s="103"/>
      <c r="R20" s="77"/>
    </row>
    <row r="21" spans="1:18" ht="15" customHeight="1">
      <c r="A21" s="82" t="s">
        <v>735</v>
      </c>
      <c r="B21" s="116">
        <v>1</v>
      </c>
      <c r="C21" s="77" t="str">
        <f>'E-ALL'!C7</f>
        <v>Production/Transmission  Ratio</v>
      </c>
      <c r="F21" s="77"/>
      <c r="G21" s="117">
        <f>VLOOKUP(B21,Allocators,6)</f>
        <v>1</v>
      </c>
      <c r="H21" s="117"/>
      <c r="I21" s="117"/>
      <c r="J21" s="117">
        <f>VLOOKUP(B21,Allocators,7)</f>
        <v>0.6459</v>
      </c>
      <c r="K21" s="117"/>
      <c r="L21" s="117"/>
      <c r="M21" s="117">
        <f>VLOOKUP(B21,Allocators,8)</f>
        <v>0.3541</v>
      </c>
      <c r="N21" s="117"/>
      <c r="O21" s="118"/>
      <c r="P21" s="118"/>
      <c r="Q21" s="118"/>
      <c r="R21" s="77"/>
    </row>
    <row r="22" spans="1:18" ht="15" customHeight="1">
      <c r="A22" s="82" t="s">
        <v>735</v>
      </c>
      <c r="B22" s="116">
        <v>2</v>
      </c>
      <c r="C22" s="77" t="str">
        <f>'E-ALL'!C10</f>
        <v>Number of Customers</v>
      </c>
      <c r="F22" s="77"/>
      <c r="G22" s="117">
        <f>VLOOKUP(B22,Allocators,6)</f>
        <v>1</v>
      </c>
      <c r="H22" s="117"/>
      <c r="I22" s="117"/>
      <c r="J22" s="117">
        <f>VLOOKUP(B22,Allocators,7)</f>
        <v>0.65758</v>
      </c>
      <c r="K22" s="117"/>
      <c r="L22" s="117"/>
      <c r="M22" s="117">
        <f>VLOOKUP(B22,Allocators,8)</f>
        <v>0.34242</v>
      </c>
      <c r="N22" s="117"/>
      <c r="O22" s="118"/>
      <c r="P22" s="118"/>
      <c r="Q22" s="118"/>
      <c r="R22" s="77"/>
    </row>
    <row r="23" spans="1:18" ht="15" customHeight="1">
      <c r="A23" s="82" t="s">
        <v>735</v>
      </c>
      <c r="B23" s="116">
        <v>99</v>
      </c>
      <c r="C23" s="77" t="s">
        <v>906</v>
      </c>
      <c r="F23" s="77"/>
      <c r="G23" s="117">
        <f>VLOOKUP(B23,Allocators,6)</f>
        <v>0</v>
      </c>
      <c r="H23" s="117"/>
      <c r="I23" s="117"/>
      <c r="J23" s="117"/>
      <c r="K23" s="117"/>
      <c r="L23" s="117"/>
      <c r="M23" s="117"/>
      <c r="N23" s="77"/>
      <c r="O23" s="109"/>
      <c r="P23" s="109"/>
      <c r="Q23" s="109"/>
      <c r="R23" s="77"/>
    </row>
    <row r="24" spans="1:18" ht="15" customHeight="1">
      <c r="A24" s="82"/>
      <c r="B24" s="116"/>
      <c r="C24" s="77"/>
      <c r="E24" s="213"/>
      <c r="F24" s="77"/>
      <c r="G24" s="117"/>
      <c r="H24" s="117"/>
      <c r="I24" s="117"/>
      <c r="J24" s="117"/>
      <c r="K24" s="117"/>
      <c r="L24" s="117"/>
      <c r="M24" s="117"/>
      <c r="N24" s="77"/>
      <c r="O24" s="109"/>
      <c r="P24" s="109"/>
      <c r="Q24" s="109"/>
      <c r="R24" s="77"/>
    </row>
    <row r="25" ht="15" customHeight="1"/>
    <row r="26" ht="15" customHeight="1"/>
    <row r="27" ht="15" customHeight="1"/>
    <row r="28" ht="15" customHeight="1"/>
    <row r="29" ht="15" customHeight="1"/>
    <row r="30" ht="15" customHeight="1"/>
    <row r="31" ht="15" customHeight="1"/>
    <row r="32" ht="15" customHeight="1"/>
  </sheetData>
  <mergeCells count="1">
    <mergeCell ref="L5:N5"/>
  </mergeCells>
  <printOptions/>
  <pageMargins left="0.75" right="0.75" top="0.75" bottom="1" header="0.5" footer="0.5"/>
  <pageSetup horizontalDpi="300" verticalDpi="300" orientation="landscape" scale="70" r:id="rId1"/>
  <headerFooter alignWithMargins="0">
    <oddHeader>&amp;LAVISTA UTILITIES&amp;CRESULTS OF OPERATIONS&amp;RRUN DATE: &amp;D</oddHeader>
    <oddFooter>&amp;CPage &amp;P</oddFooter>
  </headerFooter>
</worksheet>
</file>

<file path=xl/worksheets/sheet9.xml><?xml version="1.0" encoding="utf-8"?>
<worksheet xmlns="http://schemas.openxmlformats.org/spreadsheetml/2006/main" xmlns:r="http://schemas.openxmlformats.org/officeDocument/2006/relationships">
  <sheetPr codeName="Sheet7">
    <pageSetUpPr fitToPage="1"/>
  </sheetPr>
  <dimension ref="A2:G28"/>
  <sheetViews>
    <sheetView workbookViewId="0" topLeftCell="A1">
      <selection activeCell="A1" sqref="A1"/>
    </sheetView>
  </sheetViews>
  <sheetFormatPr defaultColWidth="9.00390625" defaultRowHeight="12.75"/>
  <cols>
    <col min="1" max="1" width="10.875" style="0" customWidth="1"/>
    <col min="2" max="2" width="1.875" style="0" customWidth="1"/>
    <col min="3" max="3" width="33.875" style="0" customWidth="1"/>
    <col min="4" max="4" width="11.875" style="0" customWidth="1"/>
    <col min="5" max="7" width="14.875" style="0" customWidth="1"/>
  </cols>
  <sheetData>
    <row r="2" spans="1:4" ht="12.75">
      <c r="A2" s="48" t="str">
        <f>+'E-FIT'!A2</f>
        <v>FEDERAL INCOME TAXES--ELECTRIC</v>
      </c>
      <c r="B2" s="49"/>
      <c r="C2" s="49"/>
      <c r="D2" s="10" t="s">
        <v>725</v>
      </c>
    </row>
    <row r="3" spans="1:4" ht="12.75">
      <c r="A3" s="62" t="str">
        <f>+'E-FIT'!A3</f>
        <v>For Twelve Months Ended September 30, 2008</v>
      </c>
      <c r="B3" s="51"/>
      <c r="C3" s="51"/>
      <c r="D3" s="13" t="str">
        <f>"E-INT-"&amp;months&amp;rbcalc</f>
        <v>E-INT-12A</v>
      </c>
    </row>
    <row r="4" spans="1:4" ht="12.75">
      <c r="A4" s="63" t="str">
        <f>+'E-FIT'!A4</f>
        <v>Average of Monthly Averages Basis</v>
      </c>
      <c r="B4" s="52"/>
      <c r="C4" s="52"/>
      <c r="D4" s="64"/>
    </row>
    <row r="5" spans="1:7" ht="12.75">
      <c r="A5" s="21" t="s">
        <v>2</v>
      </c>
      <c r="B5" s="21"/>
      <c r="C5" s="21" t="s">
        <v>844</v>
      </c>
      <c r="D5" s="21"/>
      <c r="E5" s="54" t="s">
        <v>878</v>
      </c>
      <c r="F5" s="41" t="s">
        <v>861</v>
      </c>
      <c r="G5" s="54" t="s">
        <v>862</v>
      </c>
    </row>
    <row r="6" spans="5:7" ht="12.75">
      <c r="E6" s="41"/>
      <c r="F6" s="65"/>
      <c r="G6" s="41"/>
    </row>
    <row r="7" spans="2:7" ht="12.75">
      <c r="B7" t="s">
        <v>756</v>
      </c>
      <c r="E7" s="41"/>
      <c r="F7" s="50"/>
      <c r="G7" s="41"/>
    </row>
    <row r="8" spans="1:6" ht="12.75">
      <c r="A8" s="41">
        <v>2</v>
      </c>
      <c r="C8" t="s">
        <v>319</v>
      </c>
      <c r="E8" s="41"/>
      <c r="F8" s="59">
        <f>+'E-CHK'!G97</f>
        <v>0.493</v>
      </c>
    </row>
    <row r="9" spans="1:7" ht="12.75">
      <c r="A9" s="41">
        <v>3</v>
      </c>
      <c r="C9" t="s">
        <v>330</v>
      </c>
      <c r="E9" s="41"/>
      <c r="F9" s="59"/>
      <c r="G9" s="59">
        <f>+'E-CHK'!H97</f>
        <v>0.5008</v>
      </c>
    </row>
    <row r="10" spans="1:7" ht="12.75">
      <c r="A10" s="41">
        <v>1</v>
      </c>
      <c r="C10" t="s">
        <v>762</v>
      </c>
      <c r="E10" s="41"/>
      <c r="F10" s="60">
        <f>+'E-CHK'!G101</f>
        <v>0.06491</v>
      </c>
      <c r="G10" s="60">
        <f>+'E-CHK'!H101</f>
        <v>0.0868</v>
      </c>
    </row>
    <row r="11" spans="5:7" ht="12.75">
      <c r="E11" s="61"/>
      <c r="F11" s="61">
        <f>ROUND(F8*F10,5)</f>
        <v>0.032</v>
      </c>
      <c r="G11" s="61">
        <f>ROUND(G9*G10,5)</f>
        <v>0.04347</v>
      </c>
    </row>
    <row r="12" spans="5:7" ht="12.75">
      <c r="E12" s="41"/>
      <c r="F12" s="50"/>
      <c r="G12" s="41"/>
    </row>
    <row r="13" spans="2:7" ht="12.75">
      <c r="B13" t="s">
        <v>757</v>
      </c>
      <c r="E13" s="41"/>
      <c r="F13" s="50"/>
      <c r="G13" s="41"/>
    </row>
    <row r="14" spans="1:6" ht="12.75">
      <c r="A14" s="41">
        <v>2</v>
      </c>
      <c r="C14" t="s">
        <v>319</v>
      </c>
      <c r="E14" s="41"/>
      <c r="F14" s="60">
        <f>+'E-CHK'!G98</f>
        <v>0.047</v>
      </c>
    </row>
    <row r="15" spans="1:7" ht="12.75">
      <c r="A15" s="41">
        <v>3</v>
      </c>
      <c r="C15" t="s">
        <v>330</v>
      </c>
      <c r="E15" s="41"/>
      <c r="F15" s="60"/>
      <c r="G15" s="60">
        <f>+'E-CHK'!H99</f>
        <v>0.0557</v>
      </c>
    </row>
    <row r="16" spans="1:7" ht="12.75">
      <c r="A16" s="41">
        <v>1</v>
      </c>
      <c r="C16" t="s">
        <v>762</v>
      </c>
      <c r="E16" s="41"/>
      <c r="F16" s="60">
        <f>+'E-CHK'!G102</f>
        <v>0.06575</v>
      </c>
      <c r="G16" s="60">
        <f>+'E-CHK'!H103</f>
        <v>0.0615</v>
      </c>
    </row>
    <row r="17" spans="5:7" ht="12.75">
      <c r="E17" s="61"/>
      <c r="F17" s="61">
        <f>ROUND(F14*F16,5)</f>
        <v>0.00309</v>
      </c>
      <c r="G17" s="61">
        <f>ROUND(G15*G16,5)</f>
        <v>0.00343</v>
      </c>
    </row>
    <row r="18" spans="5:7" ht="12.75">
      <c r="E18" s="50"/>
      <c r="F18" s="50"/>
      <c r="G18" s="41"/>
    </row>
    <row r="19" spans="2:7" ht="12.75">
      <c r="B19" t="s">
        <v>765</v>
      </c>
      <c r="E19" s="61"/>
      <c r="F19" s="61">
        <f>+F11+F17</f>
        <v>0.03509</v>
      </c>
      <c r="G19" s="61">
        <f>+G11+G17</f>
        <v>0.0469</v>
      </c>
    </row>
    <row r="20" ht="12.75">
      <c r="F20" s="53"/>
    </row>
    <row r="21" spans="1:7" ht="12.75">
      <c r="A21" s="41" t="s">
        <v>772</v>
      </c>
      <c r="B21" t="s">
        <v>763</v>
      </c>
      <c r="E21" s="55">
        <f>+'E-APL'!$H$36</f>
        <v>1461760749</v>
      </c>
      <c r="F21" s="55">
        <f>+'E-APL'!$K$36</f>
        <v>934538717</v>
      </c>
      <c r="G21" s="42">
        <f>+'E-APL'!$N$36</f>
        <v>527222032</v>
      </c>
    </row>
    <row r="22" ht="12.75">
      <c r="F22" s="53"/>
    </row>
    <row r="23" spans="2:7" ht="12.75">
      <c r="B23" t="s">
        <v>764</v>
      </c>
      <c r="E23" s="66">
        <f>+F23+G23</f>
        <v>57519677</v>
      </c>
      <c r="F23" s="66">
        <f>ROUND(F19*F21,0)</f>
        <v>32792964</v>
      </c>
      <c r="G23" s="66">
        <f>ROUND(G19*G21,0)</f>
        <v>24726713</v>
      </c>
    </row>
    <row r="26" spans="1:2" ht="12.75">
      <c r="A26" s="41">
        <v>1</v>
      </c>
      <c r="B26" t="str">
        <f>+"Debt Cost "&amp;'E-CHK'!I97</f>
        <v>Debt Cost From last ID GRC (AVU-E-04-1)</v>
      </c>
    </row>
    <row r="27" spans="1:2" ht="12.75">
      <c r="A27" s="41">
        <v>2</v>
      </c>
      <c r="B27" s="42" t="str">
        <f>+'E-CHK'!I98</f>
        <v>From last WA GRC (UE-070804)</v>
      </c>
    </row>
    <row r="28" spans="1:2" ht="12.75">
      <c r="A28" s="41">
        <v>3</v>
      </c>
      <c r="B28" s="42" t="str">
        <f>+'E-CHK'!I99</f>
        <v>From last ID GRC (AVU-E-04-1)</v>
      </c>
    </row>
  </sheetData>
  <printOptions/>
  <pageMargins left="0.75" right="0.75" top="1" bottom="1" header="0.5" footer="0.5"/>
  <pageSetup fitToHeight="1" fitToWidth="1" horizontalDpi="600" verticalDpi="600" orientation="landscape" r:id="rId1"/>
  <headerFooter alignWithMargins="0">
    <oddHeader>&amp;LAVISTA UTILITIES&amp;CRESULTS OF OPERATIONS&amp;RRUN DATE: &amp;D</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ELECTRIC-1-01-05.Craig.xls</dc:title>
  <dc:subject/>
  <dc:creator>CRAIG BERTHOLF</dc:creator>
  <cp:keywords/>
  <dc:description/>
  <cp:lastModifiedBy>rzk7kq</cp:lastModifiedBy>
  <cp:lastPrinted>2008-12-09T21:05:15Z</cp:lastPrinted>
  <dcterms:created xsi:type="dcterms:W3CDTF">1999-02-22T18:41:17Z</dcterms:created>
  <dcterms:modified xsi:type="dcterms:W3CDTF">2009-04-29T23:13:14Z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Response</vt:lpwstr>
  </property>
  <property fmtid="{D5CDD505-2E9C-101B-9397-08002B2CF9AE}" pid="4" name="IsHighlyConfidenti">
    <vt:lpwstr>0</vt:lpwstr>
  </property>
  <property fmtid="{D5CDD505-2E9C-101B-9397-08002B2CF9AE}" pid="5" name="DocketNumb">
    <vt:lpwstr>090134</vt:lpwstr>
  </property>
  <property fmtid="{D5CDD505-2E9C-101B-9397-08002B2CF9AE}" pid="6" name="IsConfidenti">
    <vt:lpwstr>0</vt:lpwstr>
  </property>
  <property fmtid="{D5CDD505-2E9C-101B-9397-08002B2CF9AE}" pid="7" name="Dat">
    <vt:lpwstr>2009-05-01T00:00:00Z</vt:lpwstr>
  </property>
  <property fmtid="{D5CDD505-2E9C-101B-9397-08002B2CF9AE}" pid="8" name="CaseTy">
    <vt:lpwstr>Tariff Revision</vt:lpwstr>
  </property>
  <property fmtid="{D5CDD505-2E9C-101B-9397-08002B2CF9AE}" pid="9" name="OpenedDa">
    <vt:lpwstr>2009-01-23T00:00:00Z</vt:lpwstr>
  </property>
  <property fmtid="{D5CDD505-2E9C-101B-9397-08002B2CF9AE}" pid="10" name="Pref">
    <vt:lpwstr>UE</vt:lpwstr>
  </property>
  <property fmtid="{D5CDD505-2E9C-101B-9397-08002B2CF9AE}" pid="11" name="CaseCompanyNam">
    <vt:lpwstr>Avista Corporation</vt:lpwstr>
  </property>
  <property fmtid="{D5CDD505-2E9C-101B-9397-08002B2CF9AE}" pid="12" name="IndustryCo">
    <vt:lpwstr>140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