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white215\OneDrive - Washington State Executive Branch Agencies\Energy\Avista 2020 GRC 200900 01\Exhibits\Completed Exhibits\"/>
    </mc:Choice>
  </mc:AlternateContent>
  <xr:revisionPtr revIDLastSave="0" documentId="8_{04291FFC-FCC3-44DA-ACAC-E95E7793A2DC}" xr6:coauthVersionLast="46" xr6:coauthVersionMax="46" xr10:uidLastSave="{00000000-0000-0000-0000-000000000000}"/>
  <bookViews>
    <workbookView xWindow="-107" yWindow="-107" windowWidth="20847" windowHeight="11208" xr2:uid="{C3E762BD-3A97-48FD-B830-8F0A6439FC3F}"/>
    <workbookView xWindow="-107" yWindow="-107" windowWidth="20847" windowHeight="11208" firstSheet="4" activeTab="1" xr2:uid="{8BF7D0C6-2DF2-4775-9BFF-B683F6F26407}"/>
  </bookViews>
  <sheets>
    <sheet name="Staff RR Model" sheetId="24" r:id="rId1"/>
    <sheet name="RR Model as filed" sheetId="23" r:id="rId2"/>
    <sheet name="ADJ-E" sheetId="14" r:id="rId3"/>
    <sheet name="WF - 2020 WA E Detail " sheetId="20" r:id="rId4"/>
    <sheet name="Summary-Cost-E" sheetId="9" r:id="rId5"/>
    <sheet name="WF - 2021 WA E Detail " sheetId="21" r:id="rId6"/>
    <sheet name="ActualO&amp;MStaff DR 61allocated" sheetId="29" r:id="rId7"/>
    <sheet name="StaffO&amp;M Calculation" sheetId="30" r:id="rId8"/>
  </sheets>
  <externalReferences>
    <externalReference r:id="rId9"/>
    <externalReference r:id="rId10"/>
  </externalReferences>
  <definedNames>
    <definedName name="_xlnm._FilterDatabase" localSheetId="3" hidden="1">'WF - 2020 WA E Detail '!$A$3:$AG$6</definedName>
    <definedName name="_xlnm._FilterDatabase" localSheetId="5" hidden="1">'WF - 2021 WA E Detail '!$A$3:$R$6</definedName>
    <definedName name="Allocation_Categories" localSheetId="3">OFFSET('[1]Allocation Factors'!$A$4,0,0,COUNTA('[1]Allocation Factors'!$A:$A)-COUNTA('[1]Allocation Factors'!$A$1:$A$3),1)</definedName>
    <definedName name="Allocation_Categories" localSheetId="5">OFFSET('[1]Allocation Factors'!$A$4,0,0,COUNTA('[1]Allocation Factors'!$A:$A)-COUNTA('[1]Allocation Factors'!$A$1:$A$3),1)</definedName>
    <definedName name="Allocation_Categories">OFFSET('[2]Allocation Factors'!$A$4,0,0,COUNTA('[2]Allocation Factors'!$A:$A)-COUNTA('[2]Allocation Factors'!$A$1:$A$3),1)</definedName>
    <definedName name="_xlnm.Auto_Open" localSheetId="3">#REF!</definedName>
    <definedName name="_xlnm.Auto_Open" localSheetId="5">#REF!</definedName>
    <definedName name="_xlnm.Auto_Open">#REF!</definedName>
    <definedName name="Macro1" localSheetId="3">#REF!</definedName>
    <definedName name="Macro1" localSheetId="5">#REF!</definedName>
    <definedName name="Macro1">#REF!</definedName>
    <definedName name="Macro10" localSheetId="3">#REF!</definedName>
    <definedName name="Macro10" localSheetId="5">#REF!</definedName>
    <definedName name="Macro10">#REF!</definedName>
    <definedName name="Macro11" localSheetId="3">#REF!</definedName>
    <definedName name="Macro11" localSheetId="5">#REF!</definedName>
    <definedName name="Macro11">#REF!</definedName>
    <definedName name="Macro12" localSheetId="3">#REF!</definedName>
    <definedName name="Macro12" localSheetId="5">#REF!</definedName>
    <definedName name="Macro12">#REF!</definedName>
    <definedName name="Macro2" localSheetId="3">#REF!</definedName>
    <definedName name="Macro2" localSheetId="5">#REF!</definedName>
    <definedName name="Macro2">#REF!</definedName>
    <definedName name="Macro3" localSheetId="3">#REF!</definedName>
    <definedName name="Macro3" localSheetId="5">#REF!</definedName>
    <definedName name="Macro3">#REF!</definedName>
    <definedName name="Macro4" localSheetId="3">#REF!</definedName>
    <definedName name="Macro4" localSheetId="5">#REF!</definedName>
    <definedName name="Macro4">#REF!</definedName>
    <definedName name="Macro5" localSheetId="3">#REF!</definedName>
    <definedName name="Macro5" localSheetId="5">#REF!</definedName>
    <definedName name="Macro5">#REF!</definedName>
    <definedName name="Macro6" localSheetId="3">#REF!</definedName>
    <definedName name="Macro6" localSheetId="5">#REF!</definedName>
    <definedName name="Macro6">#REF!</definedName>
    <definedName name="Macro7" localSheetId="3">#REF!</definedName>
    <definedName name="Macro7" localSheetId="5">#REF!</definedName>
    <definedName name="Macro7">#REF!</definedName>
    <definedName name="Macro8" localSheetId="3">#REF!</definedName>
    <definedName name="Macro8" localSheetId="5">#REF!</definedName>
    <definedName name="Macro8">#REF!</definedName>
    <definedName name="Macro9" localSheetId="3">#REF!</definedName>
    <definedName name="Macro9" localSheetId="5">#REF!</definedName>
    <definedName name="Macro9">#REF!</definedName>
    <definedName name="_xlnm.Print_Area" localSheetId="4">'Summary-Cost-E'!$A$1:$AN$73</definedName>
    <definedName name="_xlnm.Print_Area" localSheetId="3">'WF - 2020 WA E Detail '!$A$1:$AG$14</definedName>
    <definedName name="_xlnm.Print_Area" localSheetId="5">'WF - 2021 WA E Detail '!$A$1:$AG$15</definedName>
    <definedName name="_xlnm.Print_Titles" localSheetId="4">'Summary-Cost-E'!$A:$C</definedName>
    <definedName name="_xlnm.Print_Titles" localSheetId="3">'WF - 2020 WA E Detail '!$A:$E</definedName>
    <definedName name="_xlnm.Print_Titles" localSheetId="5">'WF - 2021 WA E Detail '!$A:$E</definedName>
    <definedName name="Recover" localSheetId="3">#REF!</definedName>
    <definedName name="Recover" localSheetId="5">#REF!</definedName>
    <definedName name="Recover">#REF!</definedName>
    <definedName name="TableName">"Dummy"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24" l="1"/>
  <c r="M32" i="24"/>
  <c r="R13" i="20"/>
  <c r="O19" i="24"/>
  <c r="O18" i="24"/>
  <c r="O17" i="24"/>
  <c r="O16" i="24"/>
  <c r="O15" i="24"/>
  <c r="O14" i="24"/>
  <c r="O79" i="24"/>
  <c r="O78" i="24"/>
  <c r="O69" i="24"/>
  <c r="O72" i="24"/>
  <c r="O62" i="24"/>
  <c r="O65" i="24"/>
  <c r="O54" i="24"/>
  <c r="O55" i="24"/>
  <c r="O38" i="24"/>
  <c r="O39" i="24"/>
  <c r="O42" i="24"/>
  <c r="O44" i="24"/>
  <c r="O45" i="24"/>
  <c r="O37" i="24"/>
  <c r="O33" i="24"/>
  <c r="O34" i="24"/>
  <c r="O24" i="24"/>
  <c r="O26" i="24"/>
  <c r="O27" i="24"/>
  <c r="M12" i="30"/>
  <c r="M31" i="24" s="1"/>
  <c r="O31" i="24" s="1"/>
  <c r="M13" i="30"/>
  <c r="M76" i="24"/>
  <c r="M71" i="24"/>
  <c r="M70" i="24"/>
  <c r="M68" i="24"/>
  <c r="O68" i="24" s="1"/>
  <c r="M64" i="24"/>
  <c r="M63" i="24"/>
  <c r="M61" i="24"/>
  <c r="F15" i="30" l="1"/>
  <c r="E15" i="30"/>
  <c r="F14" i="30"/>
  <c r="E14" i="30"/>
  <c r="E12" i="30" s="1"/>
  <c r="F13" i="30"/>
  <c r="G13" i="30" s="1"/>
  <c r="E13" i="30"/>
  <c r="E7" i="30"/>
  <c r="F6" i="30"/>
  <c r="L6" i="30" s="1"/>
  <c r="E6" i="30"/>
  <c r="I34" i="30"/>
  <c r="J32" i="30"/>
  <c r="J34" i="30" s="1"/>
  <c r="J28" i="30"/>
  <c r="I26" i="30"/>
  <c r="H27" i="30" s="1"/>
  <c r="I24" i="30"/>
  <c r="I28" i="30" s="1"/>
  <c r="K28" i="30" s="1"/>
  <c r="N20" i="30" s="1"/>
  <c r="I16" i="30"/>
  <c r="I20" i="30" s="1"/>
  <c r="H16" i="30"/>
  <c r="H20" i="30" s="1"/>
  <c r="K14" i="30"/>
  <c r="M14" i="30" s="1"/>
  <c r="J14" i="30"/>
  <c r="I14" i="30"/>
  <c r="H14" i="30"/>
  <c r="J13" i="30"/>
  <c r="K13" i="30"/>
  <c r="J12" i="30"/>
  <c r="G7" i="30"/>
  <c r="J6" i="30"/>
  <c r="J16" i="30" s="1"/>
  <c r="N19" i="30" s="1"/>
  <c r="N21" i="30" s="1"/>
  <c r="D16" i="30"/>
  <c r="L3" i="30"/>
  <c r="G92" i="29"/>
  <c r="M91" i="29"/>
  <c r="L91" i="29"/>
  <c r="N91" i="29" s="1"/>
  <c r="N90" i="29"/>
  <c r="M90" i="29"/>
  <c r="O90" i="29" s="1"/>
  <c r="O89" i="29"/>
  <c r="N89" i="29"/>
  <c r="M89" i="29"/>
  <c r="O88" i="29"/>
  <c r="M88" i="29"/>
  <c r="N87" i="29"/>
  <c r="M87" i="29"/>
  <c r="O87" i="29" s="1"/>
  <c r="N84" i="29"/>
  <c r="I75" i="29"/>
  <c r="I74" i="29"/>
  <c r="I73" i="29"/>
  <c r="I72" i="29"/>
  <c r="I76" i="29" s="1"/>
  <c r="Q14" i="14"/>
  <c r="M73" i="24"/>
  <c r="M66" i="24"/>
  <c r="M25" i="24"/>
  <c r="AG15" i="20"/>
  <c r="Q12" i="14"/>
  <c r="Q18" i="14"/>
  <c r="Q17" i="14"/>
  <c r="Q16" i="14"/>
  <c r="Q11" i="14"/>
  <c r="Q10" i="14"/>
  <c r="Q9" i="14"/>
  <c r="Q7" i="14"/>
  <c r="Q4" i="14"/>
  <c r="Q5" i="14"/>
  <c r="Q6" i="14"/>
  <c r="AM19" i="9"/>
  <c r="AM18" i="9"/>
  <c r="AM17" i="9"/>
  <c r="AM73" i="9"/>
  <c r="AM26" i="9"/>
  <c r="AM25" i="9"/>
  <c r="AM24" i="9"/>
  <c r="AM6" i="9"/>
  <c r="AM5" i="9"/>
  <c r="AM4" i="9"/>
  <c r="H76" i="24"/>
  <c r="O76" i="24" s="1"/>
  <c r="H71" i="24"/>
  <c r="O71" i="24" s="1"/>
  <c r="H70" i="24"/>
  <c r="O70" i="24" s="1"/>
  <c r="O73" i="24" s="1"/>
  <c r="H64" i="24"/>
  <c r="O64" i="24" s="1"/>
  <c r="H63" i="24"/>
  <c r="O63" i="24" s="1"/>
  <c r="J62" i="24"/>
  <c r="H61" i="24"/>
  <c r="H43" i="24"/>
  <c r="H46" i="24" s="1"/>
  <c r="H32" i="24"/>
  <c r="H35" i="24" s="1"/>
  <c r="J31" i="24"/>
  <c r="H25" i="24"/>
  <c r="H28" i="24" s="1"/>
  <c r="J23" i="24"/>
  <c r="O25" i="24" l="1"/>
  <c r="H47" i="24"/>
  <c r="H49" i="24" s="1"/>
  <c r="M35" i="24"/>
  <c r="O32" i="24"/>
  <c r="O35" i="24" s="1"/>
  <c r="M74" i="24"/>
  <c r="H73" i="24"/>
  <c r="H66" i="24"/>
  <c r="O66" i="24" s="1"/>
  <c r="M46" i="24"/>
  <c r="O43" i="24"/>
  <c r="O61" i="24"/>
  <c r="L14" i="30"/>
  <c r="N14" i="30" s="1"/>
  <c r="G15" i="30"/>
  <c r="L13" i="30"/>
  <c r="K6" i="30"/>
  <c r="M6" i="30" s="1"/>
  <c r="M23" i="24" s="1"/>
  <c r="O23" i="24" s="1"/>
  <c r="L12" i="30"/>
  <c r="K12" i="30"/>
  <c r="K16" i="30" s="1"/>
  <c r="D25" i="30"/>
  <c r="D28" i="30" s="1"/>
  <c r="D29" i="30" s="1"/>
  <c r="G6" i="30"/>
  <c r="G14" i="30"/>
  <c r="G12" i="30" s="1"/>
  <c r="E16" i="30"/>
  <c r="K24" i="30"/>
  <c r="H25" i="30"/>
  <c r="H28" i="30" s="1"/>
  <c r="H29" i="30" s="1"/>
  <c r="F12" i="30"/>
  <c r="F16" i="30" s="1"/>
  <c r="D27" i="30"/>
  <c r="K26" i="30"/>
  <c r="N92" i="29"/>
  <c r="O91" i="29"/>
  <c r="O92" i="29" s="1"/>
  <c r="M92" i="29"/>
  <c r="Q19" i="14"/>
  <c r="H52" i="24"/>
  <c r="H62" i="23"/>
  <c r="M28" i="24" l="1"/>
  <c r="O28" i="24"/>
  <c r="M47" i="24"/>
  <c r="M49" i="24" s="1"/>
  <c r="M52" i="24" s="1"/>
  <c r="M77" i="24"/>
  <c r="M81" i="24" s="1"/>
  <c r="M53" i="24" s="1"/>
  <c r="H74" i="24"/>
  <c r="H77" i="24" s="1"/>
  <c r="H81" i="24" s="1"/>
  <c r="H53" i="24" s="1"/>
  <c r="H57" i="24" s="1"/>
  <c r="H86" i="24" s="1"/>
  <c r="H87" i="24" s="1"/>
  <c r="H83" i="24" s="1"/>
  <c r="O47" i="24"/>
  <c r="O49" i="24" s="1"/>
  <c r="G16" i="30"/>
  <c r="L16" i="30"/>
  <c r="M26" i="30"/>
  <c r="N6" i="30" s="1"/>
  <c r="L26" i="30"/>
  <c r="M24" i="30"/>
  <c r="L24" i="30"/>
  <c r="N93" i="29"/>
  <c r="F43" i="23"/>
  <c r="F46" i="23" s="1"/>
  <c r="F61" i="23"/>
  <c r="O52" i="24" l="1"/>
  <c r="O74" i="24"/>
  <c r="O77" i="24" s="1"/>
  <c r="O81" i="24"/>
  <c r="O53" i="24"/>
  <c r="L28" i="30"/>
  <c r="M28" i="30"/>
  <c r="N13" i="30"/>
  <c r="M16" i="30"/>
  <c r="N12" i="30"/>
  <c r="N16" i="30" s="1"/>
  <c r="F76" i="23"/>
  <c r="F71" i="23"/>
  <c r="F70" i="23"/>
  <c r="F64" i="23"/>
  <c r="F63" i="23"/>
  <c r="F32" i="23"/>
  <c r="F35" i="23" s="1"/>
  <c r="F25" i="23"/>
  <c r="M57" i="24" l="1"/>
  <c r="M86" i="24" s="1"/>
  <c r="O86" i="24" s="1"/>
  <c r="E26" i="9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12" i="9"/>
  <c r="O57" i="24" l="1"/>
  <c r="M87" i="24"/>
  <c r="Q6" i="9"/>
  <c r="O33" i="9"/>
  <c r="F33" i="9"/>
  <c r="P33" i="9"/>
  <c r="AC39" i="9"/>
  <c r="AB39" i="9"/>
  <c r="AA39" i="9"/>
  <c r="AH45" i="9"/>
  <c r="G33" i="9"/>
  <c r="T39" i="9"/>
  <c r="AJ45" i="9"/>
  <c r="AI45" i="9"/>
  <c r="M33" i="9"/>
  <c r="I33" i="9"/>
  <c r="Z39" i="9"/>
  <c r="AG45" i="9"/>
  <c r="U39" i="9"/>
  <c r="E33" i="9"/>
  <c r="E51" i="9" s="1"/>
  <c r="S39" i="9"/>
  <c r="N33" i="9"/>
  <c r="H33" i="9"/>
  <c r="Y39" i="9"/>
  <c r="AF45" i="9"/>
  <c r="L33" i="9"/>
  <c r="AD45" i="9"/>
  <c r="K33" i="9"/>
  <c r="W39" i="9"/>
  <c r="AL45" i="9"/>
  <c r="X39" i="9"/>
  <c r="AE45" i="9"/>
  <c r="J33" i="9"/>
  <c r="R39" i="9"/>
  <c r="V39" i="9"/>
  <c r="AK45" i="9"/>
  <c r="O19" i="9"/>
  <c r="M19" i="9"/>
  <c r="L19" i="9"/>
  <c r="J19" i="9"/>
  <c r="H19" i="9"/>
  <c r="I19" i="9"/>
  <c r="F19" i="9"/>
  <c r="N19" i="9"/>
  <c r="K19" i="9"/>
  <c r="G19" i="9"/>
  <c r="P19" i="9"/>
  <c r="M83" i="24" l="1"/>
  <c r="O83" i="24" s="1"/>
  <c r="O87" i="24"/>
  <c r="Q19" i="9"/>
  <c r="F26" i="9"/>
  <c r="G26" i="9" s="1"/>
  <c r="H26" i="9" s="1"/>
  <c r="I26" i="9" s="1"/>
  <c r="J26" i="9" s="1"/>
  <c r="K26" i="9" s="1"/>
  <c r="L26" i="9" s="1"/>
  <c r="M26" i="9" s="1"/>
  <c r="N26" i="9" s="1"/>
  <c r="O26" i="9" s="1"/>
  <c r="P26" i="9" s="1"/>
  <c r="Q26" i="9" s="1"/>
  <c r="R4" i="21" l="1"/>
  <c r="F13" i="21"/>
  <c r="V4" i="21"/>
  <c r="W4" i="21"/>
  <c r="T12" i="9" s="1"/>
  <c r="X4" i="21"/>
  <c r="Y4" i="21"/>
  <c r="Z4" i="21"/>
  <c r="AA4" i="21"/>
  <c r="X12" i="9" s="1"/>
  <c r="AB4" i="21"/>
  <c r="AC4" i="21"/>
  <c r="AD4" i="21"/>
  <c r="AE4" i="21"/>
  <c r="AB12" i="9" s="1"/>
  <c r="AF4" i="21"/>
  <c r="V5" i="21"/>
  <c r="W5" i="21"/>
  <c r="X5" i="21"/>
  <c r="U10" i="9" s="1"/>
  <c r="Y5" i="21"/>
  <c r="Z5" i="21"/>
  <c r="AA5" i="21"/>
  <c r="AB5" i="21"/>
  <c r="Y10" i="9" s="1"/>
  <c r="AC5" i="21"/>
  <c r="AD5" i="21"/>
  <c r="AE5" i="21"/>
  <c r="AF5" i="21"/>
  <c r="AC10" i="9" s="1"/>
  <c r="V6" i="21"/>
  <c r="W6" i="21"/>
  <c r="X6" i="21"/>
  <c r="Y6" i="21"/>
  <c r="Z6" i="21"/>
  <c r="AA6" i="21"/>
  <c r="AB6" i="21"/>
  <c r="AC6" i="21"/>
  <c r="AD6" i="21"/>
  <c r="AE6" i="21"/>
  <c r="AF6" i="21"/>
  <c r="V7" i="21"/>
  <c r="W7" i="21"/>
  <c r="X7" i="21"/>
  <c r="Y7" i="21"/>
  <c r="Z7" i="21"/>
  <c r="AA7" i="21"/>
  <c r="AB7" i="21"/>
  <c r="AC7" i="21"/>
  <c r="AD7" i="21"/>
  <c r="AE7" i="21"/>
  <c r="AF7" i="21"/>
  <c r="V8" i="21"/>
  <c r="W8" i="21"/>
  <c r="X8" i="21"/>
  <c r="Y8" i="21"/>
  <c r="Z8" i="21"/>
  <c r="AA8" i="21"/>
  <c r="AB8" i="21"/>
  <c r="AC8" i="21"/>
  <c r="AD8" i="21"/>
  <c r="AE8" i="21"/>
  <c r="AF8" i="21"/>
  <c r="V9" i="21"/>
  <c r="W9" i="21"/>
  <c r="X9" i="21"/>
  <c r="Y9" i="21"/>
  <c r="Z9" i="21"/>
  <c r="AA9" i="21"/>
  <c r="AB9" i="21"/>
  <c r="AC9" i="21"/>
  <c r="AD9" i="21"/>
  <c r="AE9" i="21"/>
  <c r="AF9" i="21"/>
  <c r="U5" i="21"/>
  <c r="U6" i="21"/>
  <c r="U7" i="21"/>
  <c r="U8" i="21"/>
  <c r="AG8" i="21" s="1"/>
  <c r="U9" i="21"/>
  <c r="U11" i="21"/>
  <c r="U4" i="21"/>
  <c r="Y12" i="21"/>
  <c r="AB11" i="21"/>
  <c r="W10" i="21"/>
  <c r="Q13" i="21"/>
  <c r="R5" i="21"/>
  <c r="R6" i="21"/>
  <c r="R7" i="21"/>
  <c r="R8" i="21"/>
  <c r="R9" i="21"/>
  <c r="R10" i="21"/>
  <c r="R11" i="21"/>
  <c r="R12" i="21"/>
  <c r="G13" i="21"/>
  <c r="H13" i="21"/>
  <c r="I13" i="21"/>
  <c r="J13" i="21"/>
  <c r="K13" i="21"/>
  <c r="L13" i="21"/>
  <c r="M13" i="21"/>
  <c r="R4" i="20"/>
  <c r="U4" i="20"/>
  <c r="V4" i="20"/>
  <c r="W4" i="20"/>
  <c r="X4" i="20"/>
  <c r="Y4" i="20"/>
  <c r="Z4" i="20"/>
  <c r="AA4" i="20"/>
  <c r="AB4" i="20"/>
  <c r="AC4" i="20"/>
  <c r="AD4" i="20"/>
  <c r="AE4" i="20"/>
  <c r="AF4" i="20"/>
  <c r="R7" i="20"/>
  <c r="U7" i="20"/>
  <c r="V7" i="20"/>
  <c r="W7" i="20"/>
  <c r="X7" i="20"/>
  <c r="Y7" i="20"/>
  <c r="Z7" i="20"/>
  <c r="AA7" i="20"/>
  <c r="AB7" i="20"/>
  <c r="AC7" i="20"/>
  <c r="AD7" i="20"/>
  <c r="AE7" i="20"/>
  <c r="AF7" i="20"/>
  <c r="H31" i="23"/>
  <c r="H23" i="23"/>
  <c r="AG4" i="21" l="1"/>
  <c r="R12" i="9"/>
  <c r="AG7" i="21"/>
  <c r="AB10" i="9"/>
  <c r="X10" i="9"/>
  <c r="T10" i="9"/>
  <c r="AA12" i="9"/>
  <c r="W12" i="9"/>
  <c r="S12" i="9"/>
  <c r="AG6" i="21"/>
  <c r="AA10" i="9"/>
  <c r="W10" i="9"/>
  <c r="S10" i="9"/>
  <c r="Z12" i="9"/>
  <c r="V12" i="9"/>
  <c r="AG9" i="21"/>
  <c r="AG5" i="21"/>
  <c r="R10" i="9"/>
  <c r="Z10" i="9"/>
  <c r="V10" i="9"/>
  <c r="AC12" i="9"/>
  <c r="Y12" i="9"/>
  <c r="U12" i="9"/>
  <c r="X12" i="21"/>
  <c r="AB12" i="21"/>
  <c r="Y13" i="21"/>
  <c r="X13" i="21"/>
  <c r="AE13" i="21"/>
  <c r="W13" i="21"/>
  <c r="AF13" i="21"/>
  <c r="AA13" i="21"/>
  <c r="Z13" i="21"/>
  <c r="V12" i="21"/>
  <c r="AB13" i="21"/>
  <c r="AC13" i="21"/>
  <c r="Y11" i="21"/>
  <c r="AD13" i="21"/>
  <c r="AD10" i="21"/>
  <c r="U13" i="21"/>
  <c r="AB10" i="21"/>
  <c r="AF12" i="21"/>
  <c r="Z10" i="21"/>
  <c r="AD12" i="21"/>
  <c r="V10" i="21"/>
  <c r="V13" i="21"/>
  <c r="AA11" i="21"/>
  <c r="U10" i="21"/>
  <c r="AE12" i="21"/>
  <c r="W12" i="21"/>
  <c r="Z11" i="21"/>
  <c r="AC10" i="21"/>
  <c r="AC12" i="21"/>
  <c r="AF11" i="21"/>
  <c r="X11" i="21"/>
  <c r="AA10" i="21"/>
  <c r="AA12" i="21"/>
  <c r="AD11" i="21"/>
  <c r="V11" i="21"/>
  <c r="AG11" i="21" s="1"/>
  <c r="Y10" i="21"/>
  <c r="V11" i="9" s="1"/>
  <c r="W11" i="21"/>
  <c r="T11" i="9" s="1"/>
  <c r="Z12" i="21"/>
  <c r="AC11" i="21"/>
  <c r="AF10" i="21"/>
  <c r="X10" i="21"/>
  <c r="U11" i="9" s="1"/>
  <c r="AE11" i="21"/>
  <c r="U12" i="21"/>
  <c r="AE10" i="21"/>
  <c r="AG4" i="20"/>
  <c r="AG7" i="20"/>
  <c r="S11" i="9" l="1"/>
  <c r="Y11" i="9"/>
  <c r="AB11" i="9"/>
  <c r="AC11" i="9"/>
  <c r="X11" i="9"/>
  <c r="Z11" i="9"/>
  <c r="R11" i="9"/>
  <c r="AG10" i="21"/>
  <c r="R19" i="9"/>
  <c r="R26" i="9" s="1"/>
  <c r="R6" i="9"/>
  <c r="AG12" i="21"/>
  <c r="W11" i="9"/>
  <c r="AA11" i="9"/>
  <c r="V5" i="20"/>
  <c r="W5" i="20"/>
  <c r="G10" i="9" s="1"/>
  <c r="X5" i="20"/>
  <c r="Y5" i="20"/>
  <c r="Z5" i="20"/>
  <c r="AA5" i="20"/>
  <c r="AB5" i="20"/>
  <c r="AC5" i="20"/>
  <c r="AD5" i="20"/>
  <c r="AE5" i="20"/>
  <c r="O10" i="9" s="1"/>
  <c r="AF5" i="20"/>
  <c r="V6" i="20"/>
  <c r="W6" i="20"/>
  <c r="X6" i="20"/>
  <c r="Y6" i="20"/>
  <c r="Z6" i="20"/>
  <c r="AA6" i="20"/>
  <c r="AB6" i="20"/>
  <c r="AC6" i="20"/>
  <c r="AD6" i="20"/>
  <c r="AE6" i="20"/>
  <c r="AF6" i="20"/>
  <c r="U6" i="20"/>
  <c r="U5" i="20"/>
  <c r="R5" i="20"/>
  <c r="R6" i="20"/>
  <c r="R8" i="20"/>
  <c r="R9" i="20"/>
  <c r="Y9" i="20"/>
  <c r="AB8" i="20"/>
  <c r="S19" i="9" l="1"/>
  <c r="S6" i="9"/>
  <c r="E10" i="9"/>
  <c r="S26" i="9"/>
  <c r="I10" i="9"/>
  <c r="P10" i="9"/>
  <c r="H10" i="9"/>
  <c r="N10" i="9"/>
  <c r="F10" i="9"/>
  <c r="M10" i="9"/>
  <c r="L10" i="9"/>
  <c r="K10" i="9"/>
  <c r="J10" i="9"/>
  <c r="AG13" i="21"/>
  <c r="AG5" i="20"/>
  <c r="R10" i="20"/>
  <c r="AG6" i="20"/>
  <c r="X9" i="20"/>
  <c r="V9" i="20"/>
  <c r="AA8" i="20"/>
  <c r="Z8" i="20"/>
  <c r="W9" i="20"/>
  <c r="AF9" i="20"/>
  <c r="AE9" i="20"/>
  <c r="AD9" i="20"/>
  <c r="Y8" i="20"/>
  <c r="I11" i="9" s="1"/>
  <c r="AC9" i="20"/>
  <c r="AF8" i="20"/>
  <c r="X8" i="20"/>
  <c r="AA9" i="20"/>
  <c r="AD8" i="20"/>
  <c r="V8" i="20"/>
  <c r="AE8" i="20"/>
  <c r="W8" i="20"/>
  <c r="U8" i="20"/>
  <c r="Z9" i="20"/>
  <c r="AC8" i="20"/>
  <c r="AB9" i="20"/>
  <c r="L11" i="9" s="1"/>
  <c r="U9" i="20"/>
  <c r="T19" i="9" l="1"/>
  <c r="T26" i="9" s="1"/>
  <c r="T6" i="9"/>
  <c r="M11" i="9"/>
  <c r="H11" i="9"/>
  <c r="J11" i="9"/>
  <c r="K11" i="9"/>
  <c r="E11" i="9"/>
  <c r="E25" i="9" s="1"/>
  <c r="P11" i="9"/>
  <c r="G11" i="9"/>
  <c r="O11" i="9"/>
  <c r="N11" i="9"/>
  <c r="F11" i="9"/>
  <c r="AG9" i="20"/>
  <c r="AG8" i="20"/>
  <c r="U19" i="9" l="1"/>
  <c r="U26" i="9" s="1"/>
  <c r="U6" i="9"/>
  <c r="AG10" i="20"/>
  <c r="F73" i="23"/>
  <c r="F66" i="23"/>
  <c r="F28" i="23"/>
  <c r="V19" i="9" l="1"/>
  <c r="V26" i="9" s="1"/>
  <c r="V6" i="9"/>
  <c r="F74" i="23"/>
  <c r="F77" i="23" s="1"/>
  <c r="F81" i="23" s="1"/>
  <c r="F53" i="23" s="1"/>
  <c r="F47" i="23"/>
  <c r="F49" i="23" s="1"/>
  <c r="F52" i="23" s="1"/>
  <c r="W19" i="9" l="1"/>
  <c r="W26" i="9" s="1"/>
  <c r="W6" i="9"/>
  <c r="F57" i="23"/>
  <c r="X19" i="9" l="1"/>
  <c r="X26" i="9" s="1"/>
  <c r="X6" i="9"/>
  <c r="F88" i="23"/>
  <c r="F89" i="23" s="1"/>
  <c r="F83" i="23" s="1"/>
  <c r="P13" i="21"/>
  <c r="O13" i="21"/>
  <c r="N13" i="21"/>
  <c r="R13" i="21"/>
  <c r="Y19" i="9" l="1"/>
  <c r="Y26" i="9" s="1"/>
  <c r="Y6" i="9"/>
  <c r="P52" i="9"/>
  <c r="O52" i="9"/>
  <c r="N52" i="9"/>
  <c r="M52" i="9"/>
  <c r="L52" i="9"/>
  <c r="K52" i="9"/>
  <c r="J52" i="9"/>
  <c r="I52" i="9"/>
  <c r="H52" i="9"/>
  <c r="G52" i="9"/>
  <c r="F52" i="9"/>
  <c r="F59" i="9" s="1"/>
  <c r="AC47" i="9"/>
  <c r="AB47" i="9"/>
  <c r="AA47" i="9"/>
  <c r="Z47" i="9"/>
  <c r="Y47" i="9"/>
  <c r="X47" i="9"/>
  <c r="W47" i="9"/>
  <c r="V47" i="9"/>
  <c r="U47" i="9"/>
  <c r="T47" i="9"/>
  <c r="S47" i="9"/>
  <c r="R47" i="9"/>
  <c r="E47" i="9"/>
  <c r="Q45" i="9"/>
  <c r="Q44" i="9"/>
  <c r="Q43" i="9"/>
  <c r="E41" i="9"/>
  <c r="Q39" i="9"/>
  <c r="Q38" i="9"/>
  <c r="Q37" i="9"/>
  <c r="O51" i="9"/>
  <c r="N51" i="9"/>
  <c r="L51" i="9"/>
  <c r="K51" i="9"/>
  <c r="J51" i="9"/>
  <c r="H51" i="9"/>
  <c r="G51" i="9"/>
  <c r="F51" i="9"/>
  <c r="Z6" i="9" l="1"/>
  <c r="Z19" i="9"/>
  <c r="Z26" i="9" s="1"/>
  <c r="B11" i="14" s="1"/>
  <c r="B53" i="14" s="1"/>
  <c r="Q33" i="9"/>
  <c r="E58" i="9"/>
  <c r="J46" i="9"/>
  <c r="K59" i="9" s="1"/>
  <c r="F46" i="9"/>
  <c r="G59" i="9" s="1"/>
  <c r="N46" i="9"/>
  <c r="O59" i="9" s="1"/>
  <c r="G46" i="9"/>
  <c r="K46" i="9"/>
  <c r="O46" i="9"/>
  <c r="I51" i="9"/>
  <c r="AD72" i="9"/>
  <c r="P51" i="9"/>
  <c r="H46" i="9"/>
  <c r="L46" i="9"/>
  <c r="P46" i="9"/>
  <c r="P47" i="9" s="1"/>
  <c r="M51" i="9"/>
  <c r="I46" i="9"/>
  <c r="M46" i="9"/>
  <c r="B6" i="14" l="1"/>
  <c r="B48" i="14" s="1"/>
  <c r="AA19" i="9"/>
  <c r="AA6" i="9"/>
  <c r="F58" i="9"/>
  <c r="F65" i="9" s="1"/>
  <c r="E65" i="9"/>
  <c r="E71" i="9" s="1"/>
  <c r="N47" i="9"/>
  <c r="J47" i="9"/>
  <c r="Q51" i="9"/>
  <c r="F47" i="9"/>
  <c r="M59" i="9"/>
  <c r="L47" i="9"/>
  <c r="I59" i="9"/>
  <c r="H47" i="9"/>
  <c r="L59" i="9"/>
  <c r="K47" i="9"/>
  <c r="J59" i="9"/>
  <c r="I47" i="9"/>
  <c r="H59" i="9"/>
  <c r="G47" i="9"/>
  <c r="P59" i="9"/>
  <c r="O47" i="9"/>
  <c r="N59" i="9"/>
  <c r="M47" i="9"/>
  <c r="Q46" i="9"/>
  <c r="Q47" i="9" s="1"/>
  <c r="AA26" i="9" l="1"/>
  <c r="C11" i="14" s="1"/>
  <c r="C53" i="14" s="1"/>
  <c r="C18" i="14"/>
  <c r="AB6" i="9"/>
  <c r="C6" i="14"/>
  <c r="C48" i="14" s="1"/>
  <c r="AB19" i="9"/>
  <c r="G58" i="9"/>
  <c r="G65" i="9" s="1"/>
  <c r="F72" i="9"/>
  <c r="F71" i="9"/>
  <c r="AC6" i="9" l="1"/>
  <c r="D6" i="14"/>
  <c r="D48" i="14" s="1"/>
  <c r="AC19" i="9"/>
  <c r="C60" i="14"/>
  <c r="AB26" i="9"/>
  <c r="D11" i="14" s="1"/>
  <c r="D53" i="14" s="1"/>
  <c r="D18" i="14"/>
  <c r="D60" i="14" s="1"/>
  <c r="H58" i="9"/>
  <c r="H65" i="9" s="1"/>
  <c r="G71" i="9"/>
  <c r="G72" i="9"/>
  <c r="AC26" i="9" l="1"/>
  <c r="E18" i="14"/>
  <c r="E60" i="14" s="1"/>
  <c r="AD39" i="9"/>
  <c r="AJ39" i="9"/>
  <c r="R33" i="9"/>
  <c r="R51" i="9" s="1"/>
  <c r="W33" i="9"/>
  <c r="W51" i="9" s="1"/>
  <c r="AB33" i="9"/>
  <c r="AB51" i="9" s="1"/>
  <c r="AD19" i="9"/>
  <c r="F18" i="14" s="1"/>
  <c r="F60" i="14" s="1"/>
  <c r="AK39" i="9"/>
  <c r="AG39" i="9"/>
  <c r="X33" i="9"/>
  <c r="X51" i="9" s="1"/>
  <c r="Y33" i="9"/>
  <c r="Y51" i="9" s="1"/>
  <c r="AC33" i="9"/>
  <c r="AC51" i="9" s="1"/>
  <c r="Z33" i="9"/>
  <c r="Z51" i="9" s="1"/>
  <c r="AF39" i="9"/>
  <c r="AA33" i="9"/>
  <c r="AA51" i="9" s="1"/>
  <c r="U33" i="9"/>
  <c r="U51" i="9" s="1"/>
  <c r="AE39" i="9"/>
  <c r="AL39" i="9"/>
  <c r="AH39" i="9"/>
  <c r="S33" i="9"/>
  <c r="S51" i="9" s="1"/>
  <c r="T33" i="9"/>
  <c r="T51" i="9" s="1"/>
  <c r="AI39" i="9"/>
  <c r="V33" i="9"/>
  <c r="V51" i="9" s="1"/>
  <c r="E6" i="14"/>
  <c r="E48" i="14" s="1"/>
  <c r="AD6" i="9"/>
  <c r="I58" i="9"/>
  <c r="I65" i="9" s="1"/>
  <c r="H71" i="9"/>
  <c r="H72" i="9"/>
  <c r="AE19" i="9" l="1"/>
  <c r="G18" i="14" s="1"/>
  <c r="F6" i="14"/>
  <c r="F48" i="14" s="1"/>
  <c r="AE6" i="9"/>
  <c r="E11" i="14"/>
  <c r="E53" i="14" s="1"/>
  <c r="AD26" i="9"/>
  <c r="J58" i="9"/>
  <c r="J65" i="9" s="1"/>
  <c r="I71" i="9"/>
  <c r="I72" i="9"/>
  <c r="AF19" i="9" l="1"/>
  <c r="H18" i="14" s="1"/>
  <c r="H60" i="14" s="1"/>
  <c r="AF6" i="9"/>
  <c r="G6" i="14"/>
  <c r="G48" i="14" s="1"/>
  <c r="F11" i="14"/>
  <c r="F53" i="14" s="1"/>
  <c r="AE26" i="9"/>
  <c r="G60" i="14"/>
  <c r="K58" i="9"/>
  <c r="K65" i="9" s="1"/>
  <c r="J71" i="9"/>
  <c r="J72" i="9"/>
  <c r="AG19" i="9" l="1"/>
  <c r="I18" i="14" s="1"/>
  <c r="AG6" i="9"/>
  <c r="H6" i="14"/>
  <c r="H48" i="14" s="1"/>
  <c r="G11" i="14"/>
  <c r="G53" i="14" s="1"/>
  <c r="AF26" i="9"/>
  <c r="L58" i="9"/>
  <c r="L65" i="9" s="1"/>
  <c r="K71" i="9"/>
  <c r="K72" i="9"/>
  <c r="AH19" i="9" l="1"/>
  <c r="J18" i="14" s="1"/>
  <c r="J60" i="14" s="1"/>
  <c r="I6" i="14"/>
  <c r="I48" i="14" s="1"/>
  <c r="AH6" i="9"/>
  <c r="AG26" i="9"/>
  <c r="H11" i="14"/>
  <c r="H53" i="14" s="1"/>
  <c r="I60" i="14"/>
  <c r="M58" i="9"/>
  <c r="M65" i="9" s="1"/>
  <c r="L71" i="9"/>
  <c r="L72" i="9"/>
  <c r="I11" i="14" l="1"/>
  <c r="I53" i="14" s="1"/>
  <c r="AH26" i="9"/>
  <c r="AI19" i="9"/>
  <c r="K18" i="14" s="1"/>
  <c r="AI6" i="9"/>
  <c r="J6" i="14"/>
  <c r="J48" i="14" s="1"/>
  <c r="N58" i="9"/>
  <c r="N65" i="9" s="1"/>
  <c r="M71" i="9"/>
  <c r="M72" i="9"/>
  <c r="K60" i="14" l="1"/>
  <c r="AI26" i="9"/>
  <c r="J11" i="14"/>
  <c r="J53" i="14" s="1"/>
  <c r="AJ19" i="9"/>
  <c r="L18" i="14" s="1"/>
  <c r="L60" i="14" s="1"/>
  <c r="K6" i="14"/>
  <c r="K48" i="14" s="1"/>
  <c r="AJ6" i="9"/>
  <c r="O58" i="9"/>
  <c r="O65" i="9" s="1"/>
  <c r="N71" i="9"/>
  <c r="N72" i="9"/>
  <c r="AK19" i="9" l="1"/>
  <c r="M18" i="14" s="1"/>
  <c r="M60" i="14" s="1"/>
  <c r="AK6" i="9"/>
  <c r="L6" i="14"/>
  <c r="L48" i="14" s="1"/>
  <c r="K11" i="14"/>
  <c r="K53" i="14" s="1"/>
  <c r="AJ26" i="9"/>
  <c r="P58" i="9"/>
  <c r="P65" i="9" s="1"/>
  <c r="Q65" i="9" s="1"/>
  <c r="O71" i="9"/>
  <c r="O72" i="9"/>
  <c r="AL19" i="9" l="1"/>
  <c r="N18" i="14" s="1"/>
  <c r="AL6" i="9"/>
  <c r="M6" i="14"/>
  <c r="M48" i="14" s="1"/>
  <c r="AK26" i="9"/>
  <c r="L11" i="14"/>
  <c r="L53" i="14" s="1"/>
  <c r="Q58" i="9"/>
  <c r="R58" i="9"/>
  <c r="R65" i="9" s="1"/>
  <c r="R71" i="9" s="1"/>
  <c r="P71" i="9"/>
  <c r="Q71" i="9" s="1"/>
  <c r="P72" i="9"/>
  <c r="M11" i="14" l="1"/>
  <c r="M53" i="14" s="1"/>
  <c r="AL26" i="9"/>
  <c r="N11" i="14" s="1"/>
  <c r="AK33" i="9"/>
  <c r="AJ33" i="9"/>
  <c r="AL33" i="9"/>
  <c r="AI33" i="9"/>
  <c r="AF33" i="9"/>
  <c r="AD33" i="9"/>
  <c r="AG33" i="9"/>
  <c r="N6" i="14"/>
  <c r="AE33" i="9"/>
  <c r="AH33" i="9"/>
  <c r="N60" i="14"/>
  <c r="O60" i="14" s="1"/>
  <c r="O18" i="14"/>
  <c r="S58" i="9"/>
  <c r="S65" i="9" s="1"/>
  <c r="S71" i="9" s="1"/>
  <c r="G43" i="23" l="1"/>
  <c r="G46" i="23" s="1"/>
  <c r="I43" i="24"/>
  <c r="I46" i="24" s="1"/>
  <c r="N48" i="14"/>
  <c r="O48" i="14" s="1"/>
  <c r="O6" i="14"/>
  <c r="O11" i="14"/>
  <c r="N53" i="14"/>
  <c r="O53" i="14" s="1"/>
  <c r="T58" i="9"/>
  <c r="T65" i="9" s="1"/>
  <c r="T71" i="9" s="1"/>
  <c r="G61" i="23" l="1"/>
  <c r="H61" i="23" s="1"/>
  <c r="I61" i="24"/>
  <c r="G68" i="23"/>
  <c r="I68" i="24"/>
  <c r="U58" i="9"/>
  <c r="U65" i="9" s="1"/>
  <c r="U71" i="9" s="1"/>
  <c r="V58" i="9"/>
  <c r="V65" i="9" s="1"/>
  <c r="J61" i="24" l="1"/>
  <c r="V71" i="9"/>
  <c r="W58" i="9"/>
  <c r="W65" i="9" s="1"/>
  <c r="W71" i="9" l="1"/>
  <c r="X58" i="9"/>
  <c r="X65" i="9" s="1"/>
  <c r="X71" i="9" l="1"/>
  <c r="Y58" i="9"/>
  <c r="Y65" i="9" s="1"/>
  <c r="Y71" i="9" l="1"/>
  <c r="Z58" i="9"/>
  <c r="Z65" i="9" s="1"/>
  <c r="Z71" i="9" l="1"/>
  <c r="AA58" i="9"/>
  <c r="AA65" i="9" s="1"/>
  <c r="AB58" i="9" l="1"/>
  <c r="AB65" i="9" s="1"/>
  <c r="AA71" i="9"/>
  <c r="AB71" i="9" l="1"/>
  <c r="AC58" i="9"/>
  <c r="AC65" i="9" s="1"/>
  <c r="AC71" i="9" l="1"/>
  <c r="Z14" i="9" l="1"/>
  <c r="E5" i="9"/>
  <c r="F5" i="9" l="1"/>
  <c r="F18" i="9"/>
  <c r="F25" i="9" s="1"/>
  <c r="A17" i="14"/>
  <c r="A16" i="14"/>
  <c r="A10" i="14"/>
  <c r="A9" i="14"/>
  <c r="R14" i="9"/>
  <c r="R7" i="9"/>
  <c r="S20" i="9" s="1"/>
  <c r="E27" i="9"/>
  <c r="F40" i="9" s="1"/>
  <c r="Q11" i="9"/>
  <c r="E7" i="9"/>
  <c r="F20" i="9" s="1"/>
  <c r="A5" i="14"/>
  <c r="A4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G5" i="9" l="1"/>
  <c r="H5" i="9" s="1"/>
  <c r="I5" i="9" s="1"/>
  <c r="J5" i="9" s="1"/>
  <c r="K5" i="9" s="1"/>
  <c r="L5" i="9" s="1"/>
  <c r="M5" i="9" s="1"/>
  <c r="N5" i="9" s="1"/>
  <c r="O5" i="9" s="1"/>
  <c r="G18" i="9"/>
  <c r="F41" i="9"/>
  <c r="F27" i="9"/>
  <c r="G40" i="9" s="1"/>
  <c r="G41" i="9" s="1"/>
  <c r="S7" i="9"/>
  <c r="F7" i="9"/>
  <c r="P5" i="9" l="1"/>
  <c r="Q5" i="9" s="1"/>
  <c r="R5" i="9" s="1"/>
  <c r="S5" i="9" s="1"/>
  <c r="G25" i="9"/>
  <c r="T7" i="9"/>
  <c r="T20" i="9"/>
  <c r="H18" i="9"/>
  <c r="G20" i="9"/>
  <c r="G27" i="9" s="1"/>
  <c r="H40" i="9" s="1"/>
  <c r="H41" i="9" s="1"/>
  <c r="G7" i="9"/>
  <c r="J32" i="9" l="1"/>
  <c r="J50" i="9" s="1"/>
  <c r="X38" i="9"/>
  <c r="AJ44" i="9"/>
  <c r="AE44" i="9"/>
  <c r="W38" i="9"/>
  <c r="G32" i="9"/>
  <c r="G50" i="9" s="1"/>
  <c r="AB38" i="9"/>
  <c r="S38" i="9"/>
  <c r="K32" i="9"/>
  <c r="K50" i="9" s="1"/>
  <c r="AL44" i="9"/>
  <c r="L32" i="9"/>
  <c r="L50" i="9" s="1"/>
  <c r="M32" i="9"/>
  <c r="M50" i="9" s="1"/>
  <c r="P32" i="9"/>
  <c r="P50" i="9" s="1"/>
  <c r="AH44" i="9"/>
  <c r="AI44" i="9"/>
  <c r="AC38" i="9"/>
  <c r="O32" i="9"/>
  <c r="O50" i="9" s="1"/>
  <c r="AK44" i="9"/>
  <c r="R18" i="9"/>
  <c r="U38" i="9"/>
  <c r="AA38" i="9"/>
  <c r="AG44" i="9"/>
  <c r="V38" i="9"/>
  <c r="AE46" i="9"/>
  <c r="E32" i="9"/>
  <c r="E50" i="9" s="1"/>
  <c r="N32" i="9"/>
  <c r="N50" i="9" s="1"/>
  <c r="I32" i="9"/>
  <c r="I50" i="9" s="1"/>
  <c r="AF44" i="9"/>
  <c r="H32" i="9"/>
  <c r="H50" i="9" s="1"/>
  <c r="AD51" i="9"/>
  <c r="AD58" i="9" s="1"/>
  <c r="AD65" i="9" s="1"/>
  <c r="AD71" i="9" s="1"/>
  <c r="AD44" i="9"/>
  <c r="T38" i="9"/>
  <c r="Y38" i="9"/>
  <c r="F32" i="9"/>
  <c r="F50" i="9" s="1"/>
  <c r="Z38" i="9"/>
  <c r="R38" i="9"/>
  <c r="AH51" i="9"/>
  <c r="AH46" i="9"/>
  <c r="AK51" i="9"/>
  <c r="AK46" i="9"/>
  <c r="AL51" i="9"/>
  <c r="AL46" i="9"/>
  <c r="AJ46" i="9"/>
  <c r="AJ51" i="9"/>
  <c r="AE51" i="9"/>
  <c r="AF51" i="9"/>
  <c r="AF46" i="9"/>
  <c r="AI46" i="9"/>
  <c r="AI51" i="9"/>
  <c r="AG46" i="9"/>
  <c r="AG51" i="9"/>
  <c r="H25" i="9"/>
  <c r="I18" i="9"/>
  <c r="H20" i="9"/>
  <c r="H27" i="9" s="1"/>
  <c r="I40" i="9" s="1"/>
  <c r="I41" i="9" s="1"/>
  <c r="H7" i="9"/>
  <c r="U20" i="9"/>
  <c r="U7" i="9"/>
  <c r="AE58" i="9" l="1"/>
  <c r="AE65" i="9" s="1"/>
  <c r="AE71" i="9" s="1"/>
  <c r="Q32" i="9"/>
  <c r="E57" i="9"/>
  <c r="Q50" i="9"/>
  <c r="I25" i="9"/>
  <c r="J18" i="9"/>
  <c r="V7" i="9"/>
  <c r="V20" i="9"/>
  <c r="I7" i="9"/>
  <c r="I20" i="9"/>
  <c r="I27" i="9" s="1"/>
  <c r="J40" i="9" s="1"/>
  <c r="J41" i="9" s="1"/>
  <c r="AF58" i="9" l="1"/>
  <c r="AF65" i="9" s="1"/>
  <c r="AF71" i="9" s="1"/>
  <c r="E64" i="9"/>
  <c r="E70" i="9" s="1"/>
  <c r="F57" i="9"/>
  <c r="J25" i="9"/>
  <c r="W7" i="9"/>
  <c r="W20" i="9"/>
  <c r="K18" i="9"/>
  <c r="J20" i="9"/>
  <c r="J27" i="9" s="1"/>
  <c r="K40" i="9" s="1"/>
  <c r="K41" i="9" s="1"/>
  <c r="J7" i="9"/>
  <c r="AG58" i="9" l="1"/>
  <c r="AG65" i="9" s="1"/>
  <c r="AG71" i="9" s="1"/>
  <c r="F64" i="9"/>
  <c r="F70" i="9" s="1"/>
  <c r="G57" i="9"/>
  <c r="K25" i="9"/>
  <c r="X7" i="9"/>
  <c r="X20" i="9"/>
  <c r="L18" i="9"/>
  <c r="K20" i="9"/>
  <c r="K27" i="9" s="1"/>
  <c r="L40" i="9" s="1"/>
  <c r="L41" i="9" s="1"/>
  <c r="K7" i="9"/>
  <c r="AH58" i="9" l="1"/>
  <c r="AH65" i="9" s="1"/>
  <c r="AH71" i="9" s="1"/>
  <c r="G64" i="9"/>
  <c r="G70" i="9" s="1"/>
  <c r="H57" i="9"/>
  <c r="L25" i="9"/>
  <c r="M18" i="9"/>
  <c r="Y20" i="9"/>
  <c r="Y7" i="9"/>
  <c r="L20" i="9"/>
  <c r="L27" i="9" s="1"/>
  <c r="M40" i="9" s="1"/>
  <c r="M41" i="9" s="1"/>
  <c r="L7" i="9"/>
  <c r="M25" i="9" l="1"/>
  <c r="AI58" i="9"/>
  <c r="AI65" i="9" s="1"/>
  <c r="AI71" i="9" s="1"/>
  <c r="I57" i="9"/>
  <c r="H64" i="9"/>
  <c r="H70" i="9" s="1"/>
  <c r="Z7" i="9"/>
  <c r="Z20" i="9"/>
  <c r="N18" i="9"/>
  <c r="M7" i="9"/>
  <c r="M20" i="9"/>
  <c r="M27" i="9" s="1"/>
  <c r="N40" i="9" s="1"/>
  <c r="N41" i="9" s="1"/>
  <c r="N25" i="9" l="1"/>
  <c r="AJ58" i="9"/>
  <c r="AK58" i="9" s="1"/>
  <c r="AJ65" i="9"/>
  <c r="AJ71" i="9" s="1"/>
  <c r="I64" i="9"/>
  <c r="I70" i="9" s="1"/>
  <c r="J57" i="9"/>
  <c r="AA20" i="9"/>
  <c r="AA7" i="9"/>
  <c r="N7" i="9"/>
  <c r="N20" i="9"/>
  <c r="N27" i="9" s="1"/>
  <c r="O40" i="9" s="1"/>
  <c r="O41" i="9" s="1"/>
  <c r="O18" i="9"/>
  <c r="O25" i="9" s="1"/>
  <c r="AK65" i="9" l="1"/>
  <c r="AK71" i="9" s="1"/>
  <c r="AL58" i="9"/>
  <c r="AL65" i="9" s="1"/>
  <c r="AL71" i="9" s="1"/>
  <c r="J64" i="9"/>
  <c r="J70" i="9" s="1"/>
  <c r="K57" i="9"/>
  <c r="P18" i="9"/>
  <c r="Q18" i="9" s="1"/>
  <c r="AB20" i="9"/>
  <c r="AB7" i="9"/>
  <c r="O20" i="9"/>
  <c r="O27" i="9" s="1"/>
  <c r="P40" i="9" s="1"/>
  <c r="O7" i="9"/>
  <c r="L57" i="9" l="1"/>
  <c r="K64" i="9"/>
  <c r="K70" i="9" s="1"/>
  <c r="P41" i="9"/>
  <c r="Q40" i="9"/>
  <c r="Q41" i="9" s="1"/>
  <c r="P25" i="9"/>
  <c r="P20" i="9"/>
  <c r="P7" i="9"/>
  <c r="AC20" i="9"/>
  <c r="AC7" i="9"/>
  <c r="M57" i="9" l="1"/>
  <c r="L64" i="9"/>
  <c r="L70" i="9" s="1"/>
  <c r="Q20" i="9"/>
  <c r="AD59" i="9"/>
  <c r="AE72" i="9" s="1"/>
  <c r="R20" i="9"/>
  <c r="AD46" i="9"/>
  <c r="Q25" i="9"/>
  <c r="R25" i="9" s="1"/>
  <c r="AD7" i="9"/>
  <c r="AD20" i="9"/>
  <c r="P27" i="9"/>
  <c r="S18" i="9" l="1"/>
  <c r="S25" i="9" s="1"/>
  <c r="N57" i="9"/>
  <c r="M64" i="9"/>
  <c r="M70" i="9" s="1"/>
  <c r="Q27" i="9"/>
  <c r="AD66" i="9"/>
  <c r="R40" i="9"/>
  <c r="T18" i="9"/>
  <c r="T5" i="9"/>
  <c r="AE20" i="9"/>
  <c r="AE7" i="9"/>
  <c r="T25" i="9" l="1"/>
  <c r="R27" i="9"/>
  <c r="S27" i="9" s="1"/>
  <c r="O57" i="9"/>
  <c r="N64" i="9"/>
  <c r="N70" i="9" s="1"/>
  <c r="AF7" i="9"/>
  <c r="AF20" i="9"/>
  <c r="U5" i="9"/>
  <c r="U18" i="9"/>
  <c r="U25" i="9" l="1"/>
  <c r="S40" i="9"/>
  <c r="P57" i="9"/>
  <c r="O64" i="9"/>
  <c r="O70" i="9" s="1"/>
  <c r="T27" i="9"/>
  <c r="T40" i="9"/>
  <c r="AG20" i="9"/>
  <c r="AG7" i="9"/>
  <c r="V18" i="9"/>
  <c r="V25" i="9" s="1"/>
  <c r="V5" i="9"/>
  <c r="P64" i="9" l="1"/>
  <c r="Q57" i="9"/>
  <c r="U27" i="9"/>
  <c r="U40" i="9"/>
  <c r="W5" i="9"/>
  <c r="W18" i="9"/>
  <c r="W25" i="9" s="1"/>
  <c r="AH7" i="9"/>
  <c r="AH20" i="9"/>
  <c r="Q64" i="9" l="1"/>
  <c r="P70" i="9"/>
  <c r="Q70" i="9" s="1"/>
  <c r="V27" i="9"/>
  <c r="V40" i="9"/>
  <c r="AI7" i="9"/>
  <c r="AI20" i="9"/>
  <c r="X5" i="9"/>
  <c r="X18" i="9"/>
  <c r="X25" i="9" s="1"/>
  <c r="W27" i="9" l="1"/>
  <c r="W40" i="9"/>
  <c r="Y5" i="9"/>
  <c r="Y18" i="9"/>
  <c r="Y25" i="9" s="1"/>
  <c r="AJ7" i="9"/>
  <c r="AJ20" i="9"/>
  <c r="X27" i="9" l="1"/>
  <c r="X40" i="9"/>
  <c r="AK20" i="9"/>
  <c r="AK7" i="9"/>
  <c r="Z5" i="9"/>
  <c r="Z18" i="9"/>
  <c r="Z25" i="9" s="1"/>
  <c r="Y27" i="9" l="1"/>
  <c r="Y40" i="9"/>
  <c r="B10" i="14"/>
  <c r="B52" i="14" s="1"/>
  <c r="AA18" i="9"/>
  <c r="AA25" i="9" s="1"/>
  <c r="AA5" i="9"/>
  <c r="AL7" i="9"/>
  <c r="AL20" i="9"/>
  <c r="Z27" i="9" l="1"/>
  <c r="Z40" i="9"/>
  <c r="C17" i="14"/>
  <c r="C59" i="14" s="1"/>
  <c r="AB18" i="9"/>
  <c r="AB5" i="9"/>
  <c r="AA27" i="9" l="1"/>
  <c r="AA40" i="9"/>
  <c r="C10" i="14"/>
  <c r="C52" i="14" s="1"/>
  <c r="AB25" i="9"/>
  <c r="D17" i="14"/>
  <c r="D59" i="14" s="1"/>
  <c r="AC5" i="9"/>
  <c r="AD38" i="9" s="1"/>
  <c r="AC18" i="9"/>
  <c r="R32" i="9" l="1"/>
  <c r="AD18" i="9"/>
  <c r="AI38" i="9"/>
  <c r="AE38" i="9"/>
  <c r="AC32" i="9"/>
  <c r="AC50" i="9" s="1"/>
  <c r="Y32" i="9"/>
  <c r="Y50" i="9" s="1"/>
  <c r="U32" i="9"/>
  <c r="U50" i="9" s="1"/>
  <c r="AF38" i="9"/>
  <c r="Z32" i="9"/>
  <c r="Z50" i="9" s="1"/>
  <c r="R50" i="9"/>
  <c r="R57" i="9" s="1"/>
  <c r="AL38" i="9"/>
  <c r="AH38" i="9"/>
  <c r="AB32" i="9"/>
  <c r="AB50" i="9" s="1"/>
  <c r="X32" i="9"/>
  <c r="X50" i="9" s="1"/>
  <c r="T32" i="9"/>
  <c r="T50" i="9" s="1"/>
  <c r="AJ38" i="9"/>
  <c r="V32" i="9"/>
  <c r="V50" i="9" s="1"/>
  <c r="AK38" i="9"/>
  <c r="AG38" i="9"/>
  <c r="AA32" i="9"/>
  <c r="AA50" i="9" s="1"/>
  <c r="W32" i="9"/>
  <c r="W50" i="9" s="1"/>
  <c r="S32" i="9"/>
  <c r="S50" i="9" s="1"/>
  <c r="AB27" i="9"/>
  <c r="AB40" i="9"/>
  <c r="D10" i="14"/>
  <c r="D52" i="14" s="1"/>
  <c r="AC25" i="9"/>
  <c r="E17" i="14"/>
  <c r="E59" i="14" s="1"/>
  <c r="AD5" i="9"/>
  <c r="S57" i="9" l="1"/>
  <c r="S64" i="9" s="1"/>
  <c r="R64" i="9"/>
  <c r="R70" i="9" s="1"/>
  <c r="AC27" i="9"/>
  <c r="AD27" i="9" s="1"/>
  <c r="AE27" i="9" s="1"/>
  <c r="AF27" i="9" s="1"/>
  <c r="AG27" i="9" s="1"/>
  <c r="AH27" i="9" s="1"/>
  <c r="AI27" i="9" s="1"/>
  <c r="AJ27" i="9" s="1"/>
  <c r="AK27" i="9" s="1"/>
  <c r="AL27" i="9" s="1"/>
  <c r="AC40" i="9"/>
  <c r="E10" i="14"/>
  <c r="E52" i="14" s="1"/>
  <c r="AD25" i="9"/>
  <c r="F17" i="14"/>
  <c r="F59" i="14" s="1"/>
  <c r="AE5" i="9"/>
  <c r="AE18" i="9"/>
  <c r="T57" i="9" l="1"/>
  <c r="S70" i="9"/>
  <c r="F10" i="14"/>
  <c r="F52" i="14" s="1"/>
  <c r="AE25" i="9"/>
  <c r="G17" i="14"/>
  <c r="G59" i="14" s="1"/>
  <c r="AF5" i="9"/>
  <c r="AF18" i="9"/>
  <c r="U57" i="9" l="1"/>
  <c r="T64" i="9"/>
  <c r="T70" i="9" s="1"/>
  <c r="G10" i="14"/>
  <c r="G52" i="14" s="1"/>
  <c r="AF25" i="9"/>
  <c r="H17" i="14"/>
  <c r="H59" i="14" s="1"/>
  <c r="AG18" i="9"/>
  <c r="AG5" i="9"/>
  <c r="V57" i="9" l="1"/>
  <c r="U64" i="9"/>
  <c r="U70" i="9" s="1"/>
  <c r="H10" i="14"/>
  <c r="H52" i="14" s="1"/>
  <c r="AG25" i="9"/>
  <c r="I17" i="14"/>
  <c r="I59" i="14" s="1"/>
  <c r="AH18" i="9"/>
  <c r="AH5" i="9"/>
  <c r="W57" i="9" l="1"/>
  <c r="V64" i="9"/>
  <c r="V70" i="9" s="1"/>
  <c r="I10" i="14"/>
  <c r="I52" i="14" s="1"/>
  <c r="AH25" i="9"/>
  <c r="J17" i="14"/>
  <c r="J59" i="14" s="1"/>
  <c r="AI18" i="9"/>
  <c r="AI5" i="9"/>
  <c r="X57" i="9" l="1"/>
  <c r="W64" i="9"/>
  <c r="W70" i="9" s="1"/>
  <c r="J10" i="14"/>
  <c r="J52" i="14" s="1"/>
  <c r="AI25" i="9"/>
  <c r="K17" i="14"/>
  <c r="K59" i="14" s="1"/>
  <c r="AJ5" i="9"/>
  <c r="AJ18" i="9"/>
  <c r="Y57" i="9" l="1"/>
  <c r="X64" i="9"/>
  <c r="X70" i="9" s="1"/>
  <c r="K10" i="14"/>
  <c r="K52" i="14" s="1"/>
  <c r="AJ25" i="9"/>
  <c r="L17" i="14"/>
  <c r="L59" i="14" s="1"/>
  <c r="AK18" i="9"/>
  <c r="AK5" i="9"/>
  <c r="Z57" i="9" l="1"/>
  <c r="Y64" i="9"/>
  <c r="Y70" i="9" s="1"/>
  <c r="L10" i="14"/>
  <c r="L52" i="14" s="1"/>
  <c r="AK25" i="9"/>
  <c r="M17" i="14"/>
  <c r="M59" i="14" s="1"/>
  <c r="AL5" i="9"/>
  <c r="AD32" i="9" s="1"/>
  <c r="AL18" i="9"/>
  <c r="AK32" i="9" l="1"/>
  <c r="AK50" i="9" s="1"/>
  <c r="AG32" i="9"/>
  <c r="AG50" i="9" s="1"/>
  <c r="AL32" i="9"/>
  <c r="AL50" i="9" s="1"/>
  <c r="AH32" i="9"/>
  <c r="AH50" i="9" s="1"/>
  <c r="AD50" i="9"/>
  <c r="AJ32" i="9"/>
  <c r="AJ50" i="9" s="1"/>
  <c r="AF32" i="9"/>
  <c r="AF50" i="9" s="1"/>
  <c r="AI32" i="9"/>
  <c r="AI50" i="9" s="1"/>
  <c r="AE32" i="9"/>
  <c r="AE50" i="9" s="1"/>
  <c r="AA57" i="9"/>
  <c r="Z64" i="9"/>
  <c r="Z70" i="9" s="1"/>
  <c r="M10" i="14"/>
  <c r="M52" i="14" s="1"/>
  <c r="AL25" i="9"/>
  <c r="N17" i="14"/>
  <c r="N59" i="14" s="1"/>
  <c r="O59" i="14" s="1"/>
  <c r="AB57" i="9" l="1"/>
  <c r="AA64" i="9"/>
  <c r="AA70" i="9" s="1"/>
  <c r="N10" i="14"/>
  <c r="N52" i="14" s="1"/>
  <c r="O52" i="14" s="1"/>
  <c r="W14" i="9"/>
  <c r="X14" i="9"/>
  <c r="Y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C57" i="9" l="1"/>
  <c r="AB64" i="9"/>
  <c r="AB70" i="9" s="1"/>
  <c r="E21" i="9"/>
  <c r="F34" i="9" s="1"/>
  <c r="AD57" i="9" l="1"/>
  <c r="AC64" i="9"/>
  <c r="AC70" i="9" s="1"/>
  <c r="S14" i="9"/>
  <c r="T14" i="9"/>
  <c r="U14" i="9"/>
  <c r="V14" i="9"/>
  <c r="AE57" i="9" l="1"/>
  <c r="AD64" i="9"/>
  <c r="AD70" i="9" s="1"/>
  <c r="B5" i="14"/>
  <c r="B47" i="14" s="1"/>
  <c r="AF57" i="9" l="1"/>
  <c r="AE64" i="9"/>
  <c r="AE70" i="9" s="1"/>
  <c r="C5" i="14"/>
  <c r="C47" i="14" s="1"/>
  <c r="AG57" i="9" l="1"/>
  <c r="AF64" i="9"/>
  <c r="AF70" i="9" s="1"/>
  <c r="D5" i="14"/>
  <c r="D47" i="14" s="1"/>
  <c r="AH57" i="9" l="1"/>
  <c r="AG64" i="9"/>
  <c r="AG70" i="9" s="1"/>
  <c r="E5" i="14"/>
  <c r="E47" i="14" s="1"/>
  <c r="AI57" i="9" l="1"/>
  <c r="AH64" i="9"/>
  <c r="AH70" i="9" s="1"/>
  <c r="F5" i="14"/>
  <c r="F47" i="14" s="1"/>
  <c r="AJ57" i="9" l="1"/>
  <c r="AI64" i="9"/>
  <c r="AI70" i="9" s="1"/>
  <c r="G5" i="14"/>
  <c r="G47" i="14" s="1"/>
  <c r="AK57" i="9" l="1"/>
  <c r="AJ64" i="9"/>
  <c r="AJ70" i="9" s="1"/>
  <c r="H5" i="14"/>
  <c r="H47" i="14" s="1"/>
  <c r="AL57" i="9" l="1"/>
  <c r="AL64" i="9" s="1"/>
  <c r="AL70" i="9" s="1"/>
  <c r="AK64" i="9"/>
  <c r="AK70" i="9" s="1"/>
  <c r="I5" i="14"/>
  <c r="I47" i="14" s="1"/>
  <c r="J5" i="14" l="1"/>
  <c r="J47" i="14" s="1"/>
  <c r="K5" i="14" l="1"/>
  <c r="K47" i="14" s="1"/>
  <c r="L5" i="14" l="1"/>
  <c r="L47" i="14" s="1"/>
  <c r="M5" i="14" l="1"/>
  <c r="M47" i="14" s="1"/>
  <c r="N5" i="14" l="1"/>
  <c r="N47" i="14" s="1"/>
  <c r="O47" i="14" s="1"/>
  <c r="O10" i="14" l="1"/>
  <c r="O5" i="14"/>
  <c r="O17" i="14"/>
  <c r="G63" i="23" l="1"/>
  <c r="I63" i="24"/>
  <c r="G25" i="23"/>
  <c r="I25" i="24"/>
  <c r="G70" i="23"/>
  <c r="I70" i="24"/>
  <c r="G28" i="23"/>
  <c r="H28" i="23" s="1"/>
  <c r="H25" i="23"/>
  <c r="H63" i="23"/>
  <c r="H70" i="23"/>
  <c r="Q10" i="9"/>
  <c r="Q14" i="9" s="1"/>
  <c r="I14" i="9"/>
  <c r="H14" i="9"/>
  <c r="G14" i="9"/>
  <c r="N14" i="9"/>
  <c r="O14" i="9"/>
  <c r="M14" i="9"/>
  <c r="K14" i="9"/>
  <c r="P14" i="9"/>
  <c r="F14" i="9"/>
  <c r="E14" i="9"/>
  <c r="L14" i="9"/>
  <c r="J14" i="9"/>
  <c r="E4" i="9"/>
  <c r="E24" i="9"/>
  <c r="E28" i="9" s="1"/>
  <c r="J70" i="24" l="1"/>
  <c r="J63" i="24"/>
  <c r="J25" i="24"/>
  <c r="I28" i="24"/>
  <c r="J28" i="24" s="1"/>
  <c r="F4" i="9"/>
  <c r="F8" i="9" s="1"/>
  <c r="F17" i="9"/>
  <c r="E8" i="9"/>
  <c r="G4" i="9" l="1"/>
  <c r="G17" i="9"/>
  <c r="G21" i="9" s="1"/>
  <c r="H34" i="9" s="1"/>
  <c r="F21" i="9"/>
  <c r="G34" i="9" s="1"/>
  <c r="F24" i="9"/>
  <c r="H17" i="9"/>
  <c r="H21" i="9" s="1"/>
  <c r="I34" i="9" s="1"/>
  <c r="H4" i="9"/>
  <c r="G8" i="9"/>
  <c r="G24" i="9" l="1"/>
  <c r="F28" i="9"/>
  <c r="H8" i="9"/>
  <c r="I17" i="9"/>
  <c r="I21" i="9" s="1"/>
  <c r="J34" i="9" s="1"/>
  <c r="I4" i="9"/>
  <c r="I8" i="9" l="1"/>
  <c r="J4" i="9"/>
  <c r="K17" i="9" s="1"/>
  <c r="J17" i="9"/>
  <c r="G28" i="9"/>
  <c r="H24" i="9"/>
  <c r="K21" i="9" l="1"/>
  <c r="L34" i="9" s="1"/>
  <c r="K4" i="9"/>
  <c r="J8" i="9"/>
  <c r="J21" i="9"/>
  <c r="K34" i="9" s="1"/>
  <c r="H28" i="9"/>
  <c r="I24" i="9"/>
  <c r="L17" i="9" l="1"/>
  <c r="K8" i="9"/>
  <c r="L4" i="9"/>
  <c r="I28" i="9"/>
  <c r="J24" i="9"/>
  <c r="M4" i="9" l="1"/>
  <c r="L8" i="9"/>
  <c r="M17" i="9"/>
  <c r="M21" i="9" s="1"/>
  <c r="N34" i="9" s="1"/>
  <c r="K24" i="9"/>
  <c r="J28" i="9"/>
  <c r="L21" i="9"/>
  <c r="M34" i="9" s="1"/>
  <c r="N17" i="9" l="1"/>
  <c r="N4" i="9"/>
  <c r="M8" i="9"/>
  <c r="K28" i="9"/>
  <c r="L24" i="9"/>
  <c r="N8" i="9" l="1"/>
  <c r="O17" i="9"/>
  <c r="O21" i="9" s="1"/>
  <c r="P34" i="9" s="1"/>
  <c r="O4" i="9"/>
  <c r="P4" i="9" s="1"/>
  <c r="Q4" i="9" s="1"/>
  <c r="M24" i="9"/>
  <c r="L28" i="9"/>
  <c r="N21" i="9"/>
  <c r="O34" i="9" s="1"/>
  <c r="R4" i="9" l="1"/>
  <c r="Q8" i="9"/>
  <c r="M28" i="9"/>
  <c r="N24" i="9"/>
  <c r="P17" i="9"/>
  <c r="O8" i="9"/>
  <c r="R17" i="9"/>
  <c r="R8" i="9" l="1"/>
  <c r="S4" i="9"/>
  <c r="E31" i="9"/>
  <c r="E49" i="9" s="1"/>
  <c r="R37" i="9"/>
  <c r="AD43" i="9"/>
  <c r="AD47" i="9" s="1"/>
  <c r="AL43" i="9"/>
  <c r="AL47" i="9" s="1"/>
  <c r="AH43" i="9"/>
  <c r="AH47" i="9" s="1"/>
  <c r="AC37" i="9"/>
  <c r="AC41" i="9" s="1"/>
  <c r="Y37" i="9"/>
  <c r="Y41" i="9" s="1"/>
  <c r="U37" i="9"/>
  <c r="U41" i="9" s="1"/>
  <c r="M31" i="9"/>
  <c r="I31" i="9"/>
  <c r="AE43" i="9"/>
  <c r="AE47" i="9" s="1"/>
  <c r="Z37" i="9"/>
  <c r="Z41" i="9" s="1"/>
  <c r="V37" i="9"/>
  <c r="V41" i="9" s="1"/>
  <c r="J31" i="9"/>
  <c r="AK43" i="9"/>
  <c r="AK47" i="9" s="1"/>
  <c r="AG43" i="9"/>
  <c r="AG47" i="9" s="1"/>
  <c r="AB37" i="9"/>
  <c r="AB41" i="9" s="1"/>
  <c r="X37" i="9"/>
  <c r="X41" i="9" s="1"/>
  <c r="T37" i="9"/>
  <c r="T41" i="9" s="1"/>
  <c r="P31" i="9"/>
  <c r="L31" i="9"/>
  <c r="H31" i="9"/>
  <c r="O31" i="9"/>
  <c r="K31" i="9"/>
  <c r="N31" i="9"/>
  <c r="F31" i="9"/>
  <c r="AJ43" i="9"/>
  <c r="AJ47" i="9" s="1"/>
  <c r="AF43" i="9"/>
  <c r="AF47" i="9" s="1"/>
  <c r="AA37" i="9"/>
  <c r="AA41" i="9" s="1"/>
  <c r="W37" i="9"/>
  <c r="W41" i="9" s="1"/>
  <c r="S37" i="9"/>
  <c r="S41" i="9" s="1"/>
  <c r="G31" i="9"/>
  <c r="AI43" i="9"/>
  <c r="AI47" i="9" s="1"/>
  <c r="R41" i="9"/>
  <c r="P21" i="9"/>
  <c r="R34" i="9" s="1"/>
  <c r="R52" i="9" s="1"/>
  <c r="Q17" i="9"/>
  <c r="Q21" i="9" s="1"/>
  <c r="N28" i="9"/>
  <c r="O24" i="9"/>
  <c r="R21" i="9"/>
  <c r="S34" i="9" s="1"/>
  <c r="S52" i="9" s="1"/>
  <c r="P8" i="9"/>
  <c r="G49" i="9" l="1"/>
  <c r="G53" i="9" s="1"/>
  <c r="H66" i="9" s="1"/>
  <c r="G35" i="9"/>
  <c r="K49" i="9"/>
  <c r="K53" i="9" s="1"/>
  <c r="L66" i="9" s="1"/>
  <c r="K35" i="9"/>
  <c r="F35" i="9"/>
  <c r="F49" i="9"/>
  <c r="F53" i="9" s="1"/>
  <c r="G66" i="9" s="1"/>
  <c r="H49" i="9"/>
  <c r="H53" i="9" s="1"/>
  <c r="I66" i="9" s="1"/>
  <c r="H35" i="9"/>
  <c r="J49" i="9"/>
  <c r="J53" i="9" s="1"/>
  <c r="K66" i="9" s="1"/>
  <c r="J35" i="9"/>
  <c r="E35" i="9"/>
  <c r="Q34" i="9" s="1"/>
  <c r="Q31" i="9"/>
  <c r="P49" i="9"/>
  <c r="P53" i="9" s="1"/>
  <c r="P35" i="9"/>
  <c r="M49" i="9"/>
  <c r="M53" i="9" s="1"/>
  <c r="N66" i="9" s="1"/>
  <c r="M35" i="9"/>
  <c r="O49" i="9"/>
  <c r="O53" i="9" s="1"/>
  <c r="P66" i="9" s="1"/>
  <c r="O35" i="9"/>
  <c r="N49" i="9"/>
  <c r="N53" i="9" s="1"/>
  <c r="O66" i="9" s="1"/>
  <c r="N35" i="9"/>
  <c r="L49" i="9"/>
  <c r="L53" i="9" s="1"/>
  <c r="M66" i="9" s="1"/>
  <c r="L35" i="9"/>
  <c r="I49" i="9"/>
  <c r="I53" i="9" s="1"/>
  <c r="J66" i="9" s="1"/>
  <c r="I35" i="9"/>
  <c r="P24" i="9"/>
  <c r="O28" i="9"/>
  <c r="S17" i="9"/>
  <c r="Q35" i="9" l="1"/>
  <c r="E56" i="9"/>
  <c r="Q49" i="9"/>
  <c r="E53" i="9"/>
  <c r="S21" i="9"/>
  <c r="T34" i="9" s="1"/>
  <c r="T52" i="9" s="1"/>
  <c r="Q24" i="9"/>
  <c r="P28" i="9"/>
  <c r="Q28" i="9" l="1"/>
  <c r="R24" i="9"/>
  <c r="S24" i="9" s="1"/>
  <c r="S28" i="9" s="1"/>
  <c r="F66" i="9"/>
  <c r="Q52" i="9"/>
  <c r="Q53" i="9" s="1"/>
  <c r="E60" i="9"/>
  <c r="Q59" i="9" s="1"/>
  <c r="E63" i="9"/>
  <c r="F56" i="9"/>
  <c r="S8" i="9"/>
  <c r="T17" i="9"/>
  <c r="T21" i="9" s="1"/>
  <c r="U34" i="9" s="1"/>
  <c r="U52" i="9" s="1"/>
  <c r="T4" i="9"/>
  <c r="E69" i="9" l="1"/>
  <c r="E67" i="9"/>
  <c r="Q66" i="9" s="1"/>
  <c r="F60" i="9"/>
  <c r="G56" i="9"/>
  <c r="F63" i="9"/>
  <c r="R28" i="9"/>
  <c r="T8" i="9"/>
  <c r="U4" i="9"/>
  <c r="U17" i="9"/>
  <c r="U21" i="9" s="1"/>
  <c r="V34" i="9" s="1"/>
  <c r="V52" i="9" s="1"/>
  <c r="G60" i="9" l="1"/>
  <c r="H56" i="9"/>
  <c r="G63" i="9"/>
  <c r="E73" i="9"/>
  <c r="Q72" i="9" s="1"/>
  <c r="F69" i="9"/>
  <c r="F73" i="9" s="1"/>
  <c r="F67" i="9"/>
  <c r="V17" i="9"/>
  <c r="V21" i="9" s="1"/>
  <c r="W34" i="9" s="1"/>
  <c r="W52" i="9" s="1"/>
  <c r="U8" i="9"/>
  <c r="V4" i="9"/>
  <c r="T24" i="9"/>
  <c r="G67" i="9" l="1"/>
  <c r="G69" i="9"/>
  <c r="G73" i="9" s="1"/>
  <c r="I56" i="9"/>
  <c r="H60" i="9"/>
  <c r="H63" i="9"/>
  <c r="U24" i="9"/>
  <c r="T28" i="9"/>
  <c r="V8" i="9"/>
  <c r="W17" i="9"/>
  <c r="W21" i="9" s="1"/>
  <c r="X34" i="9" s="1"/>
  <c r="X52" i="9" s="1"/>
  <c r="W4" i="9"/>
  <c r="H69" i="9" l="1"/>
  <c r="H73" i="9" s="1"/>
  <c r="H67" i="9"/>
  <c r="J56" i="9"/>
  <c r="I60" i="9"/>
  <c r="I63" i="9"/>
  <c r="X4" i="9"/>
  <c r="X17" i="9"/>
  <c r="X21" i="9" s="1"/>
  <c r="Y34" i="9" s="1"/>
  <c r="Y52" i="9" s="1"/>
  <c r="W8" i="9"/>
  <c r="U28" i="9"/>
  <c r="V24" i="9"/>
  <c r="I69" i="9" l="1"/>
  <c r="I73" i="9" s="1"/>
  <c r="I67" i="9"/>
  <c r="K56" i="9"/>
  <c r="J60" i="9"/>
  <c r="J63" i="9"/>
  <c r="V28" i="9"/>
  <c r="W24" i="9"/>
  <c r="Y17" i="9"/>
  <c r="Y21" i="9" s="1"/>
  <c r="Z34" i="9" s="1"/>
  <c r="Z52" i="9" s="1"/>
  <c r="Y4" i="9"/>
  <c r="X8" i="9"/>
  <c r="J67" i="9" l="1"/>
  <c r="J69" i="9"/>
  <c r="K60" i="9"/>
  <c r="L56" i="9"/>
  <c r="K63" i="9"/>
  <c r="Z17" i="9"/>
  <c r="Z21" i="9" s="1"/>
  <c r="AA34" i="9" s="1"/>
  <c r="AA52" i="9" s="1"/>
  <c r="Z4" i="9"/>
  <c r="Y8" i="9"/>
  <c r="W28" i="9"/>
  <c r="X24" i="9"/>
  <c r="L60" i="9" l="1"/>
  <c r="M56" i="9"/>
  <c r="L63" i="9"/>
  <c r="K69" i="9"/>
  <c r="K73" i="9" s="1"/>
  <c r="K67" i="9"/>
  <c r="J73" i="9"/>
  <c r="AA17" i="9"/>
  <c r="Z8" i="9"/>
  <c r="B4" i="14"/>
  <c r="AA4" i="9"/>
  <c r="Y24" i="9"/>
  <c r="X28" i="9"/>
  <c r="B46" i="14" l="1"/>
  <c r="B7" i="14"/>
  <c r="B49" i="14" s="1"/>
  <c r="M60" i="9"/>
  <c r="N56" i="9"/>
  <c r="M63" i="9"/>
  <c r="L69" i="9"/>
  <c r="L73" i="9" s="1"/>
  <c r="L67" i="9"/>
  <c r="Z24" i="9"/>
  <c r="B9" i="14" s="1"/>
  <c r="B12" i="14" s="1"/>
  <c r="B54" i="14" s="1"/>
  <c r="Y28" i="9"/>
  <c r="AA21" i="9"/>
  <c r="AB34" i="9" s="1"/>
  <c r="AB52" i="9" s="1"/>
  <c r="C16" i="14"/>
  <c r="AA8" i="9"/>
  <c r="C4" i="14"/>
  <c r="C7" i="14" s="1"/>
  <c r="AB17" i="9"/>
  <c r="AB4" i="9"/>
  <c r="C58" i="14" l="1"/>
  <c r="C19" i="14"/>
  <c r="C61" i="14" s="1"/>
  <c r="C49" i="14"/>
  <c r="C46" i="14"/>
  <c r="O56" i="9"/>
  <c r="N60" i="9"/>
  <c r="N63" i="9"/>
  <c r="M67" i="9"/>
  <c r="M69" i="9"/>
  <c r="M73" i="9" s="1"/>
  <c r="B51" i="14"/>
  <c r="Z28" i="9"/>
  <c r="AA24" i="9"/>
  <c r="AB8" i="9"/>
  <c r="D4" i="14"/>
  <c r="D7" i="14" s="1"/>
  <c r="AC4" i="9"/>
  <c r="AC17" i="9"/>
  <c r="D16" i="14"/>
  <c r="D19" i="14" s="1"/>
  <c r="AB21" i="9"/>
  <c r="AC34" i="9" s="1"/>
  <c r="AC52" i="9" s="1"/>
  <c r="R31" i="9" l="1"/>
  <c r="AD4" i="9"/>
  <c r="AD17" i="9"/>
  <c r="D49" i="14"/>
  <c r="D46" i="14"/>
  <c r="D61" i="14"/>
  <c r="D58" i="14"/>
  <c r="P56" i="9"/>
  <c r="O60" i="9"/>
  <c r="O63" i="9"/>
  <c r="AD37" i="9"/>
  <c r="AD41" i="9" s="1"/>
  <c r="AK37" i="9"/>
  <c r="AK41" i="9" s="1"/>
  <c r="AG37" i="9"/>
  <c r="AG41" i="9" s="1"/>
  <c r="Z31" i="9"/>
  <c r="V31" i="9"/>
  <c r="AL37" i="9"/>
  <c r="AL41" i="9" s="1"/>
  <c r="AA31" i="9"/>
  <c r="S31" i="9"/>
  <c r="AJ37" i="9"/>
  <c r="AJ41" i="9" s="1"/>
  <c r="AF37" i="9"/>
  <c r="AF41" i="9" s="1"/>
  <c r="AC31" i="9"/>
  <c r="AC49" i="9" s="1"/>
  <c r="AC53" i="9" s="1"/>
  <c r="Y31" i="9"/>
  <c r="U31" i="9"/>
  <c r="AB31" i="9"/>
  <c r="X31" i="9"/>
  <c r="W31" i="9"/>
  <c r="AI37" i="9"/>
  <c r="AI41" i="9" s="1"/>
  <c r="AE37" i="9"/>
  <c r="AE41" i="9" s="1"/>
  <c r="T31" i="9"/>
  <c r="AH37" i="9"/>
  <c r="AH41" i="9" s="1"/>
  <c r="N67" i="9"/>
  <c r="N69" i="9"/>
  <c r="N73" i="9" s="1"/>
  <c r="AC8" i="9"/>
  <c r="E4" i="14"/>
  <c r="E7" i="14" s="1"/>
  <c r="E16" i="14"/>
  <c r="E19" i="14" s="1"/>
  <c r="AC21" i="9"/>
  <c r="AD34" i="9" s="1"/>
  <c r="AD52" i="9" s="1"/>
  <c r="AB24" i="9"/>
  <c r="C9" i="14"/>
  <c r="C12" i="14" s="1"/>
  <c r="C54" i="14" s="1"/>
  <c r="AA28" i="9"/>
  <c r="C51" i="14" l="1"/>
  <c r="E61" i="14"/>
  <c r="E58" i="14"/>
  <c r="E49" i="14"/>
  <c r="E46" i="14"/>
  <c r="X49" i="9"/>
  <c r="X53" i="9" s="1"/>
  <c r="X35" i="9"/>
  <c r="T49" i="9"/>
  <c r="T53" i="9" s="1"/>
  <c r="T35" i="9"/>
  <c r="Z49" i="9"/>
  <c r="Z53" i="9" s="1"/>
  <c r="Z35" i="9"/>
  <c r="U49" i="9"/>
  <c r="U53" i="9" s="1"/>
  <c r="U35" i="9"/>
  <c r="R49" i="9"/>
  <c r="R53" i="9" s="1"/>
  <c r="R35" i="9"/>
  <c r="P60" i="9"/>
  <c r="P63" i="9"/>
  <c r="Q56" i="9"/>
  <c r="Q60" i="9" s="1"/>
  <c r="AA49" i="9"/>
  <c r="AA53" i="9" s="1"/>
  <c r="AA35" i="9"/>
  <c r="O69" i="9"/>
  <c r="O73" i="9" s="1"/>
  <c r="O67" i="9"/>
  <c r="AB49" i="9"/>
  <c r="AB53" i="9" s="1"/>
  <c r="AB35" i="9"/>
  <c r="W49" i="9"/>
  <c r="W53" i="9" s="1"/>
  <c r="W35" i="9"/>
  <c r="Y49" i="9"/>
  <c r="Y53" i="9" s="1"/>
  <c r="Y35" i="9"/>
  <c r="S49" i="9"/>
  <c r="S53" i="9" s="1"/>
  <c r="S35" i="9"/>
  <c r="V49" i="9"/>
  <c r="V53" i="9" s="1"/>
  <c r="V35" i="9"/>
  <c r="AC35" i="9"/>
  <c r="AE4" i="9"/>
  <c r="F4" i="14"/>
  <c r="F7" i="14" s="1"/>
  <c r="AD8" i="9"/>
  <c r="AE17" i="9"/>
  <c r="F16" i="14"/>
  <c r="AD21" i="9"/>
  <c r="AE34" i="9" s="1"/>
  <c r="AE52" i="9" s="1"/>
  <c r="AE59" i="9" s="1"/>
  <c r="AF72" i="9" s="1"/>
  <c r="AB28" i="9"/>
  <c r="D9" i="14"/>
  <c r="D12" i="14" s="1"/>
  <c r="D54" i="14" s="1"/>
  <c r="AC24" i="9"/>
  <c r="F58" i="14" l="1"/>
  <c r="F19" i="14"/>
  <c r="F61" i="14" s="1"/>
  <c r="R56" i="9"/>
  <c r="S56" i="9" s="1"/>
  <c r="S63" i="9" s="1"/>
  <c r="F49" i="14"/>
  <c r="F46" i="14"/>
  <c r="D51" i="14"/>
  <c r="P69" i="9"/>
  <c r="P67" i="9"/>
  <c r="Q63" i="9"/>
  <c r="Q67" i="9" s="1"/>
  <c r="AC28" i="9"/>
  <c r="E9" i="14"/>
  <c r="E12" i="14" s="1"/>
  <c r="E54" i="14" s="1"/>
  <c r="AD24" i="9"/>
  <c r="G16" i="14"/>
  <c r="G19" i="14" s="1"/>
  <c r="AE21" i="9"/>
  <c r="AF34" i="9" s="1"/>
  <c r="AF52" i="9" s="1"/>
  <c r="AF59" i="9" s="1"/>
  <c r="AG72" i="9" s="1"/>
  <c r="AE8" i="9"/>
  <c r="AF4" i="9"/>
  <c r="G4" i="14"/>
  <c r="G7" i="14" s="1"/>
  <c r="AF17" i="9"/>
  <c r="R63" i="9" l="1"/>
  <c r="R69" i="9" s="1"/>
  <c r="R73" i="9" s="1"/>
  <c r="R60" i="9"/>
  <c r="E51" i="14"/>
  <c r="G49" i="14"/>
  <c r="G46" i="14"/>
  <c r="G61" i="14"/>
  <c r="G58" i="14"/>
  <c r="P73" i="9"/>
  <c r="Q69" i="9"/>
  <c r="Q73" i="9" s="1"/>
  <c r="S60" i="9"/>
  <c r="T56" i="9"/>
  <c r="AD28" i="9"/>
  <c r="F9" i="14"/>
  <c r="F12" i="14" s="1"/>
  <c r="F54" i="14" s="1"/>
  <c r="AE24" i="9"/>
  <c r="H16" i="14"/>
  <c r="H19" i="14" s="1"/>
  <c r="AF21" i="9"/>
  <c r="AG34" i="9" s="1"/>
  <c r="AG52" i="9" s="1"/>
  <c r="AG59" i="9" s="1"/>
  <c r="AH72" i="9" s="1"/>
  <c r="H4" i="14"/>
  <c r="H7" i="14" s="1"/>
  <c r="AF8" i="9"/>
  <c r="AG4" i="9"/>
  <c r="AG17" i="9"/>
  <c r="R67" i="9" l="1"/>
  <c r="F51" i="14"/>
  <c r="H49" i="14"/>
  <c r="H46" i="14"/>
  <c r="H61" i="14"/>
  <c r="H58" i="14"/>
  <c r="U56" i="9"/>
  <c r="T60" i="9"/>
  <c r="T63" i="9"/>
  <c r="S67" i="9"/>
  <c r="S69" i="9"/>
  <c r="S73" i="9" s="1"/>
  <c r="AE28" i="9"/>
  <c r="AF24" i="9"/>
  <c r="G9" i="14"/>
  <c r="G12" i="14" s="1"/>
  <c r="G54" i="14" s="1"/>
  <c r="AH17" i="9"/>
  <c r="AG8" i="9"/>
  <c r="AH4" i="9"/>
  <c r="I4" i="14"/>
  <c r="I7" i="14" s="1"/>
  <c r="I16" i="14"/>
  <c r="I19" i="14" s="1"/>
  <c r="AG21" i="9"/>
  <c r="AH34" i="9" s="1"/>
  <c r="AH52" i="9" s="1"/>
  <c r="AH59" i="9" s="1"/>
  <c r="AI72" i="9" s="1"/>
  <c r="G51" i="14" l="1"/>
  <c r="I61" i="14"/>
  <c r="I58" i="14"/>
  <c r="I49" i="14"/>
  <c r="I46" i="14"/>
  <c r="U60" i="9"/>
  <c r="V56" i="9"/>
  <c r="U63" i="9"/>
  <c r="T69" i="9"/>
  <c r="T73" i="9" s="1"/>
  <c r="T67" i="9"/>
  <c r="J16" i="14"/>
  <c r="J19" i="14" s="1"/>
  <c r="AH21" i="9"/>
  <c r="AI34" i="9" s="1"/>
  <c r="AI52" i="9" s="1"/>
  <c r="AI59" i="9" s="1"/>
  <c r="AJ72" i="9" s="1"/>
  <c r="AF28" i="9"/>
  <c r="AG24" i="9"/>
  <c r="H9" i="14"/>
  <c r="H12" i="14" s="1"/>
  <c r="H54" i="14" s="1"/>
  <c r="AH8" i="9"/>
  <c r="AI4" i="9"/>
  <c r="J4" i="14"/>
  <c r="J7" i="14" s="1"/>
  <c r="AI17" i="9"/>
  <c r="H51" i="14" l="1"/>
  <c r="J61" i="14"/>
  <c r="J58" i="14"/>
  <c r="J49" i="14"/>
  <c r="J46" i="14"/>
  <c r="U69" i="9"/>
  <c r="U73" i="9" s="1"/>
  <c r="U67" i="9"/>
  <c r="V60" i="9"/>
  <c r="W56" i="9"/>
  <c r="V63" i="9"/>
  <c r="K16" i="14"/>
  <c r="K19" i="14" s="1"/>
  <c r="AI21" i="9"/>
  <c r="AJ34" i="9" s="1"/>
  <c r="AJ52" i="9" s="1"/>
  <c r="AJ59" i="9" s="1"/>
  <c r="AK72" i="9" s="1"/>
  <c r="AG28" i="9"/>
  <c r="I9" i="14"/>
  <c r="I12" i="14" s="1"/>
  <c r="I54" i="14" s="1"/>
  <c r="AH24" i="9"/>
  <c r="K4" i="14"/>
  <c r="K7" i="14" s="1"/>
  <c r="AI8" i="9"/>
  <c r="AJ4" i="9"/>
  <c r="AJ17" i="9"/>
  <c r="I51" i="14" l="1"/>
  <c r="K61" i="14"/>
  <c r="K58" i="14"/>
  <c r="K49" i="14"/>
  <c r="K46" i="14"/>
  <c r="W60" i="9"/>
  <c r="X56" i="9"/>
  <c r="W63" i="9"/>
  <c r="V67" i="9"/>
  <c r="V69" i="9"/>
  <c r="V73" i="9" s="1"/>
  <c r="AK17" i="9"/>
  <c r="L4" i="14"/>
  <c r="L7" i="14" s="1"/>
  <c r="AK4" i="9"/>
  <c r="AJ8" i="9"/>
  <c r="AJ21" i="9"/>
  <c r="AK34" i="9" s="1"/>
  <c r="AK52" i="9" s="1"/>
  <c r="AK59" i="9" s="1"/>
  <c r="AL72" i="9" s="1"/>
  <c r="L16" i="14"/>
  <c r="L19" i="14" s="1"/>
  <c r="J9" i="14"/>
  <c r="J12" i="14" s="1"/>
  <c r="J54" i="14" s="1"/>
  <c r="AH28" i="9"/>
  <c r="AI24" i="9"/>
  <c r="L49" i="14" l="1"/>
  <c r="L46" i="14"/>
  <c r="J51" i="14"/>
  <c r="L61" i="14"/>
  <c r="L58" i="14"/>
  <c r="W67" i="9"/>
  <c r="W69" i="9"/>
  <c r="W73" i="9" s="1"/>
  <c r="X60" i="9"/>
  <c r="Y56" i="9"/>
  <c r="X63" i="9"/>
  <c r="M4" i="14"/>
  <c r="M7" i="14" s="1"/>
  <c r="AL4" i="9"/>
  <c r="AL17" i="9"/>
  <c r="AK8" i="9"/>
  <c r="AJ24" i="9"/>
  <c r="K9" i="14"/>
  <c r="K12" i="14" s="1"/>
  <c r="K54" i="14" s="1"/>
  <c r="AI28" i="9"/>
  <c r="M16" i="14"/>
  <c r="M19" i="14" s="1"/>
  <c r="AK21" i="9"/>
  <c r="AL34" i="9" s="1"/>
  <c r="AL52" i="9" s="1"/>
  <c r="AL59" i="9" s="1"/>
  <c r="M49" i="14" l="1"/>
  <c r="M46" i="14"/>
  <c r="M61" i="14"/>
  <c r="M58" i="14"/>
  <c r="K51" i="14"/>
  <c r="X69" i="9"/>
  <c r="X73" i="9" s="1"/>
  <c r="X67" i="9"/>
  <c r="AL31" i="9"/>
  <c r="AL49" i="9" s="1"/>
  <c r="AL53" i="9" s="1"/>
  <c r="AH31" i="9"/>
  <c r="AD31" i="9"/>
  <c r="AI31" i="9"/>
  <c r="AK31" i="9"/>
  <c r="AG31" i="9"/>
  <c r="AJ31" i="9"/>
  <c r="AE31" i="9"/>
  <c r="AF31" i="9"/>
  <c r="Y60" i="9"/>
  <c r="Z56" i="9"/>
  <c r="Y63" i="9"/>
  <c r="AL21" i="9"/>
  <c r="N16" i="14"/>
  <c r="AL8" i="9"/>
  <c r="N4" i="14"/>
  <c r="N7" i="14" s="1"/>
  <c r="AJ28" i="9"/>
  <c r="L9" i="14"/>
  <c r="L12" i="14" s="1"/>
  <c r="L54" i="14" s="1"/>
  <c r="AK24" i="9"/>
  <c r="AL35" i="9" l="1"/>
  <c r="N58" i="14"/>
  <c r="O58" i="14" s="1"/>
  <c r="O61" i="14" s="1"/>
  <c r="N19" i="14"/>
  <c r="N61" i="14" s="1"/>
  <c r="N46" i="14"/>
  <c r="O46" i="14" s="1"/>
  <c r="O49" i="14" s="1"/>
  <c r="N49" i="14"/>
  <c r="L51" i="14"/>
  <c r="AH49" i="9"/>
  <c r="AH53" i="9" s="1"/>
  <c r="AI66" i="9" s="1"/>
  <c r="AH35" i="9"/>
  <c r="AF49" i="9"/>
  <c r="AF53" i="9" s="1"/>
  <c r="AG66" i="9" s="1"/>
  <c r="AF35" i="9"/>
  <c r="Z60" i="9"/>
  <c r="AA56" i="9"/>
  <c r="Z63" i="9"/>
  <c r="AE49" i="9"/>
  <c r="AE53" i="9" s="1"/>
  <c r="AF66" i="9" s="1"/>
  <c r="AE35" i="9"/>
  <c r="AI49" i="9"/>
  <c r="AI53" i="9" s="1"/>
  <c r="AJ66" i="9" s="1"/>
  <c r="AI35" i="9"/>
  <c r="AG49" i="9"/>
  <c r="AG53" i="9" s="1"/>
  <c r="AH66" i="9" s="1"/>
  <c r="AG35" i="9"/>
  <c r="Y67" i="9"/>
  <c r="Y69" i="9"/>
  <c r="Y73" i="9" s="1"/>
  <c r="AK49" i="9"/>
  <c r="AK53" i="9" s="1"/>
  <c r="AL66" i="9" s="1"/>
  <c r="AK35" i="9"/>
  <c r="AJ49" i="9"/>
  <c r="AJ53" i="9" s="1"/>
  <c r="AK66" i="9" s="1"/>
  <c r="AJ35" i="9"/>
  <c r="AD49" i="9"/>
  <c r="AD53" i="9" s="1"/>
  <c r="AE66" i="9" s="1"/>
  <c r="AD35" i="9"/>
  <c r="O4" i="14"/>
  <c r="I64" i="24" s="1"/>
  <c r="M9" i="14"/>
  <c r="M12" i="14" s="1"/>
  <c r="M54" i="14" s="1"/>
  <c r="AK28" i="9"/>
  <c r="AL24" i="9"/>
  <c r="O16" i="14"/>
  <c r="I32" i="24" s="1"/>
  <c r="I35" i="24" l="1"/>
  <c r="J32" i="24"/>
  <c r="J64" i="24"/>
  <c r="I66" i="24"/>
  <c r="O7" i="14"/>
  <c r="G64" i="23"/>
  <c r="H64" i="23" s="1"/>
  <c r="G32" i="23"/>
  <c r="H32" i="23" s="1"/>
  <c r="O19" i="14"/>
  <c r="M51" i="14"/>
  <c r="AB56" i="9"/>
  <c r="AA60" i="9"/>
  <c r="AA63" i="9"/>
  <c r="Z67" i="9"/>
  <c r="Z69" i="9"/>
  <c r="Z73" i="9" s="1"/>
  <c r="B14" i="14" s="1"/>
  <c r="B56" i="14" s="1"/>
  <c r="N9" i="14"/>
  <c r="AL28" i="9"/>
  <c r="J66" i="24" l="1"/>
  <c r="J35" i="24"/>
  <c r="I47" i="24"/>
  <c r="G66" i="23"/>
  <c r="H66" i="23" s="1"/>
  <c r="G35" i="23"/>
  <c r="G47" i="23" s="1"/>
  <c r="G49" i="23" s="1"/>
  <c r="N51" i="14"/>
  <c r="O51" i="14" s="1"/>
  <c r="O54" i="14" s="1"/>
  <c r="N12" i="14"/>
  <c r="N54" i="14" s="1"/>
  <c r="AA69" i="9"/>
  <c r="AA73" i="9" s="1"/>
  <c r="C14" i="14" s="1"/>
  <c r="C56" i="14" s="1"/>
  <c r="AA67" i="9"/>
  <c r="AC56" i="9"/>
  <c r="AB60" i="9"/>
  <c r="AB63" i="9"/>
  <c r="O9" i="14"/>
  <c r="I71" i="24" s="1"/>
  <c r="J47" i="24" l="1"/>
  <c r="I49" i="24"/>
  <c r="J71" i="24"/>
  <c r="I73" i="24"/>
  <c r="H35" i="23"/>
  <c r="O12" i="14"/>
  <c r="G71" i="23"/>
  <c r="H71" i="23" s="1"/>
  <c r="H47" i="23"/>
  <c r="AD56" i="9"/>
  <c r="AC60" i="9"/>
  <c r="AC63" i="9"/>
  <c r="AB67" i="9"/>
  <c r="AB69" i="9"/>
  <c r="AB73" i="9" s="1"/>
  <c r="D14" i="14" s="1"/>
  <c r="D56" i="14" s="1"/>
  <c r="J73" i="24" l="1"/>
  <c r="I74" i="24"/>
  <c r="J49" i="24"/>
  <c r="I52" i="24"/>
  <c r="J52" i="24" s="1"/>
  <c r="G73" i="23"/>
  <c r="G74" i="23" s="1"/>
  <c r="G52" i="23"/>
  <c r="H52" i="23" s="1"/>
  <c r="H49" i="23"/>
  <c r="AC69" i="9"/>
  <c r="AC73" i="9" s="1"/>
  <c r="E14" i="14" s="1"/>
  <c r="E56" i="14" s="1"/>
  <c r="AC67" i="9"/>
  <c r="AE56" i="9"/>
  <c r="AD60" i="9"/>
  <c r="AD63" i="9"/>
  <c r="J74" i="24" l="1"/>
  <c r="H73" i="23"/>
  <c r="H74" i="23"/>
  <c r="AE60" i="9"/>
  <c r="AF56" i="9"/>
  <c r="AE63" i="9"/>
  <c r="AD69" i="9"/>
  <c r="AD73" i="9" s="1"/>
  <c r="F14" i="14" s="1"/>
  <c r="F56" i="14" s="1"/>
  <c r="AD67" i="9"/>
  <c r="AE67" i="9" l="1"/>
  <c r="AE69" i="9"/>
  <c r="AE73" i="9" s="1"/>
  <c r="G14" i="14" s="1"/>
  <c r="G56" i="14" s="1"/>
  <c r="AF60" i="9"/>
  <c r="AG56" i="9"/>
  <c r="AF63" i="9"/>
  <c r="AG60" i="9" l="1"/>
  <c r="AH56" i="9"/>
  <c r="AG63" i="9"/>
  <c r="AF67" i="9"/>
  <c r="AF69" i="9"/>
  <c r="AF73" i="9" s="1"/>
  <c r="H14" i="14" s="1"/>
  <c r="H56" i="14" s="1"/>
  <c r="AG67" i="9" l="1"/>
  <c r="AG69" i="9"/>
  <c r="AG73" i="9" s="1"/>
  <c r="I14" i="14" s="1"/>
  <c r="I56" i="14" s="1"/>
  <c r="AH60" i="9"/>
  <c r="AI56" i="9"/>
  <c r="AH63" i="9"/>
  <c r="AI60" i="9" l="1"/>
  <c r="AJ56" i="9"/>
  <c r="AI63" i="9"/>
  <c r="AH67" i="9"/>
  <c r="AH69" i="9"/>
  <c r="AH73" i="9" s="1"/>
  <c r="J14" i="14" s="1"/>
  <c r="J56" i="14" s="1"/>
  <c r="AK56" i="9" l="1"/>
  <c r="AJ60" i="9"/>
  <c r="AJ63" i="9"/>
  <c r="AI67" i="9"/>
  <c r="AI69" i="9"/>
  <c r="AI73" i="9" s="1"/>
  <c r="K14" i="14" s="1"/>
  <c r="K56" i="14" s="1"/>
  <c r="AJ69" i="9" l="1"/>
  <c r="AJ73" i="9" s="1"/>
  <c r="L14" i="14" s="1"/>
  <c r="L56" i="14" s="1"/>
  <c r="AJ67" i="9"/>
  <c r="AL56" i="9"/>
  <c r="AK60" i="9"/>
  <c r="AK63" i="9"/>
  <c r="AL60" i="9" l="1"/>
  <c r="AL63" i="9"/>
  <c r="AK69" i="9"/>
  <c r="AK73" i="9" s="1"/>
  <c r="M14" i="14" s="1"/>
  <c r="M56" i="14" s="1"/>
  <c r="AK67" i="9"/>
  <c r="AL69" i="9" l="1"/>
  <c r="AL73" i="9" s="1"/>
  <c r="N14" i="14" s="1"/>
  <c r="N56" i="14" s="1"/>
  <c r="AL67" i="9"/>
  <c r="O14" i="14" l="1"/>
  <c r="O56" i="14"/>
  <c r="G76" i="23" l="1"/>
  <c r="G77" i="23" s="1"/>
  <c r="I76" i="24"/>
  <c r="H76" i="23"/>
  <c r="J76" i="24" l="1"/>
  <c r="I77" i="24"/>
  <c r="G81" i="23"/>
  <c r="G53" i="23" s="1"/>
  <c r="H77" i="23"/>
  <c r="J77" i="24" l="1"/>
  <c r="I81" i="24"/>
  <c r="H81" i="23"/>
  <c r="I53" i="24" l="1"/>
  <c r="J81" i="24"/>
  <c r="H53" i="23"/>
  <c r="G57" i="23"/>
  <c r="J53" i="24" l="1"/>
  <c r="I57" i="24"/>
  <c r="H57" i="23"/>
  <c r="G88" i="23"/>
  <c r="J57" i="24" l="1"/>
  <c r="I86" i="24"/>
  <c r="H88" i="23"/>
  <c r="G89" i="23"/>
  <c r="I87" i="24" l="1"/>
  <c r="J86" i="24"/>
  <c r="H89" i="23"/>
  <c r="G83" i="23"/>
  <c r="H83" i="23" s="1"/>
  <c r="J87" i="24" l="1"/>
  <c r="I83" i="24"/>
  <c r="J83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White, Amy (UTC)</author>
    <author>tc={2AF566FD-2451-436D-AB74-BED760B8E7A0}</author>
  </authors>
  <commentList>
    <comment ref="G23" authorId="0" shapeId="0" xr:uid="{E0EF2068-CC3A-4FB8-9884-D24DD4A3A30F}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Company comment: "See workpaper: "2) OandM Wildfire - updated 08.28.2020 - as filed, no change"
</t>
        </r>
      </text>
    </comment>
    <comment ref="G31" authorId="0" shapeId="0" xr:uid="{7CFE218F-C329-48F4-985D-E55250A5A66F}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Company comment: "See workpaper: "2) OandM Wildfire - updated 08.28.2020 - as filed, no change"
</t>
        </r>
      </text>
    </comment>
    <comment ref="D53" authorId="1" shapeId="0" xr:uid="{2AF566FD-2451-436D-AB74-BED760B8E7A0}">
      <text>
        <t>[Threaded comment]
Your version of Excel allows you to read this threaded comment; however, any edits to it will get removed if the file is opened in a newer version of Excel. Learn more: https://go.microsoft.com/fwlink/?linkid=870924
Comment:
    WA wtd debt 2.48% (per 2019 WA Elec RR Model)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White, Amy (UTC)</author>
  </authors>
  <commentList>
    <comment ref="M6" authorId="0" shapeId="0" xr:uid="{5F7306A4-35C7-4496-A5DA-9995823BF394}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filed, 995
</t>
        </r>
      </text>
    </comment>
    <comment ref="M12" authorId="0" shapeId="0" xr:uid="{5AC2567E-E8F0-45CC-B553-E860E7227234}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filed, 3030
</t>
        </r>
      </text>
    </comment>
    <comment ref="M13" authorId="0" shapeId="0" xr:uid="{072A1D80-E9DF-4DC5-86E6-54D45BDE31DE}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filed, 1596</t>
        </r>
      </text>
    </comment>
    <comment ref="M14" authorId="0" shapeId="0" xr:uid="{15003D99-41CC-4618-862A-4F83DE2B9C18}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As filed, 1434
</t>
        </r>
      </text>
    </comment>
  </commentList>
</comments>
</file>

<file path=xl/sharedStrings.xml><?xml version="1.0" encoding="utf-8"?>
<sst xmlns="http://schemas.openxmlformats.org/spreadsheetml/2006/main" count="824" uniqueCount="304">
  <si>
    <t>GL FERC Acct</t>
  </si>
  <si>
    <t>101000</t>
  </si>
  <si>
    <t>101000 Total</t>
  </si>
  <si>
    <t>Func Group</t>
  </si>
  <si>
    <t>Ending Plant Balance</t>
  </si>
  <si>
    <t>Additions</t>
  </si>
  <si>
    <t>Depreciation Expense Calculated</t>
  </si>
  <si>
    <t xml:space="preserve">   Total Cost</t>
  </si>
  <si>
    <t>Accumulated Depreciation</t>
  </si>
  <si>
    <t>AMA</t>
  </si>
  <si>
    <t xml:space="preserve">   Total A/D</t>
  </si>
  <si>
    <t>ADFIT</t>
  </si>
  <si>
    <t xml:space="preserve">   Total Deprec Exp</t>
  </si>
  <si>
    <t>Transmission</t>
  </si>
  <si>
    <t xml:space="preserve">Transmission </t>
  </si>
  <si>
    <t>Depreciation Rate</t>
  </si>
  <si>
    <t xml:space="preserve">2020 Total </t>
  </si>
  <si>
    <t xml:space="preserve">Distribution </t>
  </si>
  <si>
    <t>Distribution</t>
  </si>
  <si>
    <t>Year 1 Tax Depreciation Expense Calculated</t>
  </si>
  <si>
    <t>Intangibles</t>
  </si>
  <si>
    <t>Year 2 Tax Depreciation Expense Calculated</t>
  </si>
  <si>
    <t>Year 3 Tax Depreciation Expense Calculated</t>
  </si>
  <si>
    <t>Total Tax Depreciation Expense</t>
  </si>
  <si>
    <t>Accumulated Tax Depreciation Expense</t>
  </si>
  <si>
    <t>Book/Tax Difference</t>
  </si>
  <si>
    <t xml:space="preserve">Washington Electric 2020 Wildfire Additions </t>
  </si>
  <si>
    <t>Forecast</t>
  </si>
  <si>
    <t>Erval</t>
  </si>
  <si>
    <t>Depreciation category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</si>
  <si>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</si>
  <si>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</si>
  <si>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</si>
  <si>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</si>
  <si>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</si>
  <si>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</si>
  <si>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</si>
  <si>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</si>
  <si>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</si>
  <si>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</si>
  <si>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</si>
  <si>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</si>
  <si>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</si>
  <si>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Elec Transmission 350-359</t>
  </si>
  <si>
    <t>Elec Distribution 360-373</t>
  </si>
  <si>
    <t>Washington Electric -2021 Wildfire Additions</t>
  </si>
  <si>
    <t>WF 2021 PF</t>
  </si>
  <si>
    <t>Actuals</t>
  </si>
  <si>
    <t>Variance</t>
  </si>
  <si>
    <t xml:space="preserve">AVISTA UTILITIES  </t>
  </si>
  <si>
    <t xml:space="preserve">WASHINGTON ELECTRIC RESULTS </t>
  </si>
  <si>
    <t>TWELVE MONTHS ENDED DECEMBER 31, 2019</t>
  </si>
  <si>
    <t xml:space="preserve">(000'S OF DOLLARS) 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</si>
  <si>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</si>
  <si>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</si>
  <si>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</si>
  <si>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</si>
  <si>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</si>
  <si>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</si>
  <si>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</si>
  <si>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</si>
  <si>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</si>
  <si>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</si>
  <si>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</si>
  <si>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</si>
  <si>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</si>
  <si>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</si>
  <si>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</si>
  <si>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</si>
  <si>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</si>
  <si>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</si>
  <si>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</si>
  <si>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</si>
  <si>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</si>
  <si>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</si>
  <si>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</si>
  <si>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</si>
  <si>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</si>
  <si>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</si>
  <si>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</si>
  <si>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</si>
  <si>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</si>
  <si>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</si>
  <si>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</si>
  <si>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</si>
  <si>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</si>
  <si>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</si>
  <si>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</si>
  <si>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</si>
  <si>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</si>
  <si>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</si>
  <si>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</si>
  <si>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</si>
  <si>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</si>
  <si>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</si>
  <si>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</si>
  <si>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</si>
  <si>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</si>
  <si>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</si>
  <si>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</si>
  <si>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</si>
  <si>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</si>
  <si>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</si>
  <si>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</si>
  <si>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</si>
  <si>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</si>
  <si>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</si>
  <si>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Pro Forma</t>
  </si>
  <si>
    <t>WildFire</t>
  </si>
  <si>
    <t>Plan</t>
  </si>
  <si>
    <t>E-WF</t>
  </si>
  <si>
    <t xml:space="preserve">Revenue Conversion Factor </t>
  </si>
  <si>
    <t>NOI Requirement</t>
  </si>
  <si>
    <t xml:space="preserve">Revenue Requirement </t>
  </si>
  <si>
    <t>As Filed</t>
  </si>
  <si>
    <t>Revised Forecast</t>
  </si>
  <si>
    <t>BI_XD004 - WFRES:  DISTRIBUTION MIDLINE RECLOSER</t>
  </si>
  <si>
    <t>BI_XD005 - WFRES:  WA DISTRIBUTION GRID HARDENING</t>
  </si>
  <si>
    <t>BI_XD006 - WFRES:  ID DISTRIBUTION GRID HARDENING</t>
  </si>
  <si>
    <t>BI_XT002 - WFRES:  TRANSMISSION INSPECTION (CONSTRUCTION)</t>
  </si>
  <si>
    <t>BI_XT003 - WFRES:  TRANSMISSION GRID HARDENING</t>
  </si>
  <si>
    <t>Depreciation Category</t>
  </si>
  <si>
    <t>BI_BI Desc</t>
  </si>
  <si>
    <t>Jurisdiction</t>
  </si>
  <si>
    <t>ID</t>
  </si>
  <si>
    <t>WA</t>
  </si>
  <si>
    <t>AN</t>
  </si>
  <si>
    <t>ED</t>
  </si>
  <si>
    <t>Service</t>
  </si>
  <si>
    <t>System Total</t>
  </si>
  <si>
    <t>Percent included</t>
  </si>
  <si>
    <t>in Rate Case</t>
  </si>
  <si>
    <t>WA Elec Total</t>
  </si>
  <si>
    <t>WA Elec Allocation</t>
  </si>
  <si>
    <t>Software 303 ED AN</t>
  </si>
  <si>
    <t>Elec Distribution 360-373 ED AN</t>
  </si>
  <si>
    <t>Elec Distribution 360-373 ED WA</t>
  </si>
  <si>
    <t>Elec Distribution 360-373 ED ID</t>
  </si>
  <si>
    <t>Elec Transmission 350-359 ED AN</t>
  </si>
  <si>
    <t xml:space="preserve">System Total </t>
  </si>
  <si>
    <t>Forecast (including Residual CWIP)</t>
  </si>
  <si>
    <t>BI_XD003 - WFRES:  FIRE IGNITION TRACKING SYSTEM</t>
  </si>
  <si>
    <t>BI_XS011 - WFRES:  SUBSTATION SCADA</t>
  </si>
  <si>
    <t>BI_XT000 - WFRES:  FIRE-WEATHER DASHBOARD</t>
  </si>
  <si>
    <t>BI_XT001 - WFRES:  CONFORMING RIGHTS OF WAY</t>
  </si>
  <si>
    <t>Note: The Company previously excluded Idaho-specific projects, totaling approximately $1.6MM, but based on questions received from Staff, the Company has included all system costs in the system total in this update.</t>
  </si>
  <si>
    <t>See workpaper: "2) OandM Wildfire - updated 08.28.2020" - as filed, no change</t>
  </si>
  <si>
    <t xml:space="preserve"> WA WF 2020 PF</t>
  </si>
  <si>
    <t xml:space="preserve">All 2020 projects complete prior to new rates going into effect, prior to rate effective period. </t>
  </si>
  <si>
    <t xml:space="preserve">Increase / (decrease) </t>
  </si>
  <si>
    <t>To filed Case</t>
  </si>
  <si>
    <t>Expenses</t>
  </si>
  <si>
    <t>Net Plant After ADFIT (See Staff Wildfire DRs for explaination of change in 2020 budget versus actual.)</t>
  </si>
  <si>
    <t>Revised Revenue Requirement</t>
  </si>
  <si>
    <t xml:space="preserve">Source: Company Response to Staff-DR-107 Supplemental 1 - 3.17 Attachment A </t>
  </si>
  <si>
    <t>RR MODEL</t>
  </si>
  <si>
    <t>G32</t>
  </si>
  <si>
    <t>G25</t>
  </si>
  <si>
    <t>G43</t>
  </si>
  <si>
    <t>G61</t>
  </si>
  <si>
    <t>G63</t>
  </si>
  <si>
    <t>G64</t>
  </si>
  <si>
    <t>G68</t>
  </si>
  <si>
    <t>G71</t>
  </si>
  <si>
    <t>G70</t>
  </si>
  <si>
    <t>G77</t>
  </si>
  <si>
    <t>Calculated by</t>
  </si>
  <si>
    <t>The Company</t>
  </si>
  <si>
    <t xml:space="preserve">AMA as </t>
  </si>
  <si>
    <t>as calculated by</t>
  </si>
  <si>
    <t>the company</t>
  </si>
  <si>
    <t>Staff EOP 12/31/2020</t>
  </si>
  <si>
    <t xml:space="preserve">Company's </t>
  </si>
  <si>
    <t>As Filed by Company</t>
  </si>
  <si>
    <t xml:space="preserve">ID total </t>
  </si>
  <si>
    <t>Company's Revised</t>
  </si>
  <si>
    <t>Company Revised</t>
  </si>
  <si>
    <t xml:space="preserve">As calculated by </t>
  </si>
  <si>
    <t>MAC 207 Variance Report</t>
  </si>
  <si>
    <t>Data Source</t>
  </si>
  <si>
    <t>As of:</t>
  </si>
  <si>
    <t>Data Updated Daily</t>
  </si>
  <si>
    <t>202012</t>
  </si>
  <si>
    <t>Budget</t>
  </si>
  <si>
    <t>YTD Actuals</t>
  </si>
  <si>
    <t>YTD Budget</t>
  </si>
  <si>
    <t>YTD Variance</t>
  </si>
  <si>
    <t>Annual Budget</t>
  </si>
  <si>
    <t>% of budget Remaining</t>
  </si>
  <si>
    <t>MAC</t>
  </si>
  <si>
    <t>Summary Exp Category</t>
  </si>
  <si>
    <t>Project Number</t>
  </si>
  <si>
    <t>Project Name</t>
  </si>
  <si>
    <t>Task Number</t>
  </si>
  <si>
    <t>Task Name</t>
  </si>
  <si>
    <t>207</t>
  </si>
  <si>
    <t>Labor</t>
  </si>
  <si>
    <t>09806011</t>
  </si>
  <si>
    <t>Wildfire Plan - Distribution</t>
  </si>
  <si>
    <t>588010</t>
  </si>
  <si>
    <t>Misc Dist Exp</t>
  </si>
  <si>
    <t>29902071</t>
  </si>
  <si>
    <t>WFRES Trans Oper-115kV WA</t>
  </si>
  <si>
    <t>566000</t>
  </si>
  <si>
    <t>Misc Trans Expense</t>
  </si>
  <si>
    <t>560000</t>
  </si>
  <si>
    <t>Supv and Engineering</t>
  </si>
  <si>
    <t>39902071</t>
  </si>
  <si>
    <t>WFRES Trans Operat-115kV ID</t>
  </si>
  <si>
    <t>02806691</t>
  </si>
  <si>
    <t>Wildfire Plan - Transmission</t>
  </si>
  <si>
    <t>566010</t>
  </si>
  <si>
    <t>Misc. Trans Exp</t>
  </si>
  <si>
    <t>02802072</t>
  </si>
  <si>
    <t>WFRES Distrib Operations_WA</t>
  </si>
  <si>
    <t>583000</t>
  </si>
  <si>
    <t>Overhead Expense</t>
  </si>
  <si>
    <t>580000</t>
  </si>
  <si>
    <t>Op Spvr and Eng</t>
  </si>
  <si>
    <t>03802072</t>
  </si>
  <si>
    <t>WFRES Distrib Operations_ID</t>
  </si>
  <si>
    <t>Non-Labor</t>
  </si>
  <si>
    <t>03802073</t>
  </si>
  <si>
    <t>WFRES Distrib Maint_ID</t>
  </si>
  <si>
    <t>593032</t>
  </si>
  <si>
    <t>Danger Trees</t>
  </si>
  <si>
    <t>29902070</t>
  </si>
  <si>
    <t>WFRES Trans Maint - 115kV WA</t>
  </si>
  <si>
    <t>571631</t>
  </si>
  <si>
    <t>FR Mesh Pole Wraps</t>
  </si>
  <si>
    <t>02802073</t>
  </si>
  <si>
    <t>WFRES Distrib Maint_WA</t>
  </si>
  <si>
    <t>Total</t>
  </si>
  <si>
    <r>
      <rPr>
        <sz val="8"/>
        <color rgb="FF343334"/>
        <rFont val="Tahoma"/>
        <family val="2"/>
      </rPr>
      <t xml:space="preserve">Page </t>
    </r>
    <r>
      <rPr>
        <sz val="8"/>
        <color rgb="FF343334"/>
        <rFont val="Tahoma"/>
        <family val="2"/>
      </rPr>
      <t>1</t>
    </r>
    <r>
      <rPr>
        <sz val="8"/>
        <color rgb="FF343334"/>
        <rFont val="Tahoma"/>
        <family val="2"/>
      </rPr>
      <t xml:space="preserve"> of </t>
    </r>
    <r>
      <rPr>
        <sz val="8"/>
        <color rgb="FF343334"/>
        <rFont val="Tahoma"/>
        <family val="2"/>
      </rPr>
      <t>2</t>
    </r>
  </si>
  <si>
    <r>
      <rPr>
        <sz val="8"/>
        <color rgb="FF343334"/>
        <rFont val="Tahoma"/>
        <family val="2"/>
      </rPr>
      <t xml:space="preserve">Run Date:  </t>
    </r>
    <r>
      <rPr>
        <sz val="8"/>
        <color rgb="FF343334"/>
        <rFont val="Tahoma"/>
        <family val="2"/>
      </rPr>
      <t>Jan 12, 2021</t>
    </r>
  </si>
  <si>
    <t>For Internal Use Only</t>
  </si>
  <si>
    <t>STAFF'S ANALYSIS OF 2020 ACTUAL O &amp; M COSTS AS PROVIDED IN AVISTA'S RESPONSE TO STAFF DR 62</t>
  </si>
  <si>
    <t xml:space="preserve">Staff review </t>
  </si>
  <si>
    <t>  </t>
  </si>
  <si>
    <t>Transmission allocated using P/T ratio</t>
  </si>
  <si>
    <t>038 Direct ID code</t>
  </si>
  <si>
    <t xml:space="preserve">028 Direct WA Code </t>
  </si>
  <si>
    <t>098 common electric</t>
  </si>
  <si>
    <t xml:space="preserve">Allocation Legend </t>
  </si>
  <si>
    <t xml:space="preserve">Total </t>
  </si>
  <si>
    <t>Blue – Transmission allocated to WA/ID per P/T ratio</t>
  </si>
  <si>
    <t>Peach – “038 direct ID code” – Distribution - directly assigned to ID</t>
  </si>
  <si>
    <r>
      <t xml:space="preserve">Green – “028 direct WA code” – Distribution – directly assigned to WA (also includes </t>
    </r>
    <r>
      <rPr>
        <u/>
        <sz val="11"/>
        <color theme="1"/>
        <rFont val="Calibri"/>
        <family val="2"/>
      </rPr>
      <t>misc.</t>
    </r>
    <r>
      <rPr>
        <sz val="11"/>
        <color theme="1"/>
        <rFont val="Calibri"/>
        <family val="2"/>
      </rPr>
      <t xml:space="preserve"> transmission expenses – not transmission ops)</t>
    </r>
  </si>
  <si>
    <t>Allocation Ratios Used by Avista in Original Filing</t>
  </si>
  <si>
    <t>WUI Map %</t>
  </si>
  <si>
    <t xml:space="preserve">Risk Tree </t>
  </si>
  <si>
    <t>E note 4</t>
  </si>
  <si>
    <t>Everything Else</t>
  </si>
  <si>
    <t>P/T Ratio</t>
  </si>
  <si>
    <t xml:space="preserve">2020 Projected           As filed </t>
  </si>
  <si>
    <t>2020 Actual in Staff DR 61</t>
  </si>
  <si>
    <t>check</t>
  </si>
  <si>
    <t>Transmission Total WF</t>
  </si>
  <si>
    <t>directly allocated by AVA</t>
  </si>
  <si>
    <t>Risk Tree VM</t>
  </si>
  <si>
    <t>distribution</t>
  </si>
  <si>
    <t>Everything else-already allocated</t>
  </si>
  <si>
    <t>Allocated using AVA's "Everything Else" ratio</t>
  </si>
  <si>
    <t>WILDFIRE O&amp;M</t>
  </si>
  <si>
    <t>grayed-out figures were in original filing, not used in staff's calculation</t>
  </si>
  <si>
    <t xml:space="preserve">As Filed </t>
  </si>
  <si>
    <t>Projected</t>
  </si>
  <si>
    <t>Actual WA</t>
  </si>
  <si>
    <t>Actual ID</t>
  </si>
  <si>
    <t>Actual Total</t>
  </si>
  <si>
    <t>Rate Period (Pro-rated)</t>
  </si>
  <si>
    <t>Adj WA</t>
  </si>
  <si>
    <t>Adj ID</t>
  </si>
  <si>
    <t>Total WF</t>
  </si>
  <si>
    <t>Directly Allocated Transmission Wildfire Plan</t>
  </si>
  <si>
    <t>Everything else-directly allocated by company</t>
  </si>
  <si>
    <t>Everything else-allocated by staff</t>
  </si>
  <si>
    <t>Rate Period system base:</t>
  </si>
  <si>
    <t>Existing RT</t>
  </si>
  <si>
    <t>Pro-rated base</t>
  </si>
  <si>
    <t>System overlap in 2019 test period</t>
  </si>
  <si>
    <t>2019 Actual WA</t>
  </si>
  <si>
    <t>Going forward</t>
  </si>
  <si>
    <t>Actual</t>
  </si>
  <si>
    <t>Overlap</t>
  </si>
  <si>
    <t>Existing VM</t>
  </si>
  <si>
    <t>D</t>
  </si>
  <si>
    <t xml:space="preserve">Direct </t>
  </si>
  <si>
    <t>T</t>
  </si>
  <si>
    <t>P/T</t>
  </si>
  <si>
    <t>2019 Actual</t>
  </si>
  <si>
    <t>A.Gibbs. Veg Mgmnt</t>
  </si>
  <si>
    <t>On-going Level</t>
  </si>
  <si>
    <t>Risk Tree</t>
  </si>
  <si>
    <t>Source: Company's Response to Staff DR 61</t>
  </si>
  <si>
    <t xml:space="preserve">Staff Calculated </t>
  </si>
  <si>
    <t>Difference</t>
  </si>
  <si>
    <t>Rate of Return</t>
  </si>
  <si>
    <t xml:space="preserve">Cost of debt </t>
  </si>
  <si>
    <t>company</t>
  </si>
  <si>
    <t>staff</t>
  </si>
  <si>
    <t xml:space="preserve">Gray – “098 common electric” distribution allocated to WA/ID </t>
  </si>
  <si>
    <t xml:space="preserve">These amounts are all forecasted. </t>
  </si>
  <si>
    <t xml:space="preserve">Company'sIncrease / (decrease)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</si>
</sst>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  <numFmt numFmtId="167" formatCode="0.000%"/>
    <numFmt numFmtId="168" formatCode="0.000"/>
    <numFmt numFmtId="169" formatCode="#,##0.########"/>
  </numFmts>
  <fonts count="49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i/>
      <u/>
      <sz val="10"/>
      <color theme="1"/>
      <name val="Tahoma"/>
      <family val="2"/>
    </font>
    <font>
      <sz val="8"/>
      <name val="Tahoma"/>
      <family val="2"/>
    </font>
    <font>
      <sz val="9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Times New Roman"/>
      <family val="1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i/>
      <sz val="10"/>
      <color theme="1"/>
      <name val="Tahoma"/>
      <family val="2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9"/>
      <color indexed="81"/>
      <name val="Tahoma"/>
      <family val="2"/>
    </font>
    <font>
      <b/>
      <sz val="14"/>
      <color rgb="FF343334"/>
      <name val="Tahoma"/>
      <family val="2"/>
    </font>
    <font>
      <sz val="10.5"/>
      <color rgb="FF343334"/>
      <name val="Tahoma"/>
      <family val="2"/>
    </font>
    <font>
      <sz val="8"/>
      <color rgb="FF343334"/>
      <name val="Tahoma"/>
      <family val="2"/>
    </font>
    <font>
      <b/>
      <sz val="10.5"/>
      <color rgb="FF343334"/>
      <name val="Tahoma"/>
      <family val="2"/>
    </font>
    <font>
      <b/>
      <sz val="8"/>
      <color rgb="FF343334"/>
      <name val="Tahoma"/>
      <family val="2"/>
    </font>
    <font>
      <u/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b/>
      <sz val="11"/>
      <color theme="0" tint="-0.249977111117893"/>
      <name val="Calibri"/>
      <family val="2"/>
      <scheme val="minor"/>
    </font>
    <font>
      <b/>
      <u/>
      <sz val="11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EAEA"/>
      </patternFill>
    </fill>
    <fill>
      <patternFill patternType="solid">
        <fgColor rgb="FFFFFF00"/>
      </patternFill>
    </fill>
    <fill>
      <patternFill patternType="solid">
        <fgColor rgb="FFE2F1EE"/>
      </patternFill>
    </fill>
    <fill>
      <patternFill patternType="solid">
        <fgColor rgb="FFD0EBE6"/>
      </patternFill>
    </fill>
    <fill>
      <patternFill patternType="solid">
        <fgColor rgb="FFCC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/>
      <diagonal/>
    </border>
    <border>
      <left/>
      <right/>
      <top/>
      <bottom style="medium">
        <color rgb="FFC0BFC0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" fillId="0" borderId="0"/>
    <xf numFmtId="9" fontId="8" fillId="0" borderId="0" applyFont="0" applyFill="0" applyBorder="0" applyAlignment="0" applyProtection="0"/>
  </cellStyleXfs>
  <cellXfs count="288">
    <xf numFmtId="0" fontId="0" fillId="0" borderId="0" xfId="0"/>
    <xf numFmtId="0" fontId="10" fillId="0" borderId="0" xfId="0" applyFont="1"/>
    <xf numFmtId="164" fontId="0" fillId="0" borderId="0" xfId="1" applyNumberFormat="1" applyFont="1"/>
    <xf numFmtId="164" fontId="0" fillId="0" borderId="0" xfId="0" applyNumberFormat="1"/>
    <xf numFmtId="165" fontId="10" fillId="0" borderId="0" xfId="1" applyNumberFormat="1" applyFont="1"/>
    <xf numFmtId="164" fontId="0" fillId="0" borderId="1" xfId="1" applyNumberFormat="1" applyFont="1" applyBorder="1"/>
    <xf numFmtId="0" fontId="10" fillId="0" borderId="0" xfId="0" applyFont="1" applyAlignment="1">
      <alignment horizontal="center"/>
    </xf>
    <xf numFmtId="164" fontId="0" fillId="2" borderId="1" xfId="1" applyNumberFormat="1" applyFont="1" applyFill="1" applyBorder="1"/>
    <xf numFmtId="164" fontId="0" fillId="0" borderId="0" xfId="1" applyNumberFormat="1" applyFont="1" applyAlignment="1">
      <alignment horizontal="center"/>
    </xf>
    <xf numFmtId="165" fontId="10" fillId="3" borderId="0" xfId="1" applyNumberFormat="1" applyFont="1" applyFill="1"/>
    <xf numFmtId="164" fontId="0" fillId="3" borderId="0" xfId="0" applyNumberFormat="1" applyFill="1"/>
    <xf numFmtId="164" fontId="0" fillId="3" borderId="1" xfId="1" applyNumberFormat="1" applyFont="1" applyFill="1" applyBorder="1"/>
    <xf numFmtId="0" fontId="0" fillId="3" borderId="0" xfId="0" applyFill="1"/>
    <xf numFmtId="164" fontId="0" fillId="3" borderId="0" xfId="1" applyNumberFormat="1" applyFont="1" applyFill="1"/>
    <xf numFmtId="164" fontId="0" fillId="0" borderId="0" xfId="9" applyNumberFormat="1" applyFont="1"/>
    <xf numFmtId="41" fontId="6" fillId="0" borderId="0" xfId="4" applyNumberFormat="1"/>
    <xf numFmtId="10" fontId="0" fillId="0" borderId="0" xfId="0" applyNumberFormat="1"/>
    <xf numFmtId="164" fontId="8" fillId="2" borderId="0" xfId="1" applyNumberFormat="1" applyFont="1" applyFill="1"/>
    <xf numFmtId="0" fontId="0" fillId="0" borderId="0" xfId="10" applyFont="1"/>
    <xf numFmtId="0" fontId="5" fillId="0" borderId="0" xfId="10"/>
    <xf numFmtId="41" fontId="5" fillId="0" borderId="0" xfId="10" applyNumberFormat="1"/>
    <xf numFmtId="164" fontId="5" fillId="0" borderId="0" xfId="11" applyNumberFormat="1"/>
    <xf numFmtId="41" fontId="9" fillId="2" borderId="3" xfId="10" applyNumberFormat="1" applyFont="1" applyFill="1" applyBorder="1"/>
    <xf numFmtId="0" fontId="9" fillId="0" borderId="0" xfId="10" applyFont="1"/>
    <xf numFmtId="41" fontId="9" fillId="0" borderId="3" xfId="10" applyNumberFormat="1" applyFont="1" applyBorder="1"/>
    <xf numFmtId="0" fontId="12" fillId="0" borderId="0" xfId="10" applyFont="1" applyAlignment="1">
      <alignment horizontal="right"/>
    </xf>
    <xf numFmtId="164" fontId="0" fillId="0" borderId="0" xfId="12" applyNumberFormat="1" applyFont="1"/>
    <xf numFmtId="164" fontId="5" fillId="0" borderId="0" xfId="12" applyNumberFormat="1"/>
    <xf numFmtId="166" fontId="5" fillId="0" borderId="0" xfId="10" applyNumberFormat="1"/>
    <xf numFmtId="164" fontId="8" fillId="4" borderId="0" xfId="1" applyNumberFormat="1" applyFont="1" applyFill="1"/>
    <xf numFmtId="164" fontId="0" fillId="4" borderId="0" xfId="1" applyNumberFormat="1" applyFont="1" applyFill="1"/>
    <xf numFmtId="0" fontId="4" fillId="0" borderId="0" xfId="10" applyFont="1"/>
    <xf numFmtId="0" fontId="14" fillId="0" borderId="0" xfId="14" applyFont="1" applyAlignment="1">
      <alignment horizontal="center"/>
    </xf>
    <xf numFmtId="0" fontId="14" fillId="0" borderId="0" xfId="14" applyFont="1"/>
    <xf numFmtId="0" fontId="16" fillId="0" borderId="0" xfId="14" applyFont="1" applyAlignment="1">
      <alignment horizontal="left"/>
    </xf>
    <xf numFmtId="41" fontId="18" fillId="0" borderId="4" xfId="14" applyNumberFormat="1" applyFont="1" applyBorder="1" applyAlignment="1">
      <alignment horizontal="center"/>
    </xf>
    <xf numFmtId="0" fontId="14" fillId="0" borderId="0" xfId="14" applyFont="1" applyAlignment="1">
      <alignment horizontal="left"/>
    </xf>
    <xf numFmtId="0" fontId="18" fillId="0" borderId="0" xfId="14" applyFont="1" applyAlignment="1">
      <alignment horizontal="center"/>
    </xf>
    <xf numFmtId="0" fontId="18" fillId="0" borderId="5" xfId="14" applyFont="1" applyBorder="1" applyAlignment="1">
      <alignment horizontal="center"/>
    </xf>
    <xf numFmtId="0" fontId="18" fillId="0" borderId="6" xfId="14" applyFont="1" applyBorder="1" applyAlignment="1">
      <alignment horizontal="center"/>
    </xf>
    <xf numFmtId="0" fontId="18" fillId="0" borderId="7" xfId="14" applyFont="1" applyBorder="1" applyAlignment="1">
      <alignment horizontal="center"/>
    </xf>
    <xf numFmtId="0" fontId="18" fillId="0" borderId="4" xfId="14" applyFont="1" applyBorder="1" applyAlignment="1">
      <alignment horizontal="center"/>
    </xf>
    <xf numFmtId="0" fontId="18" fillId="0" borderId="8" xfId="14" applyFont="1" applyBorder="1" applyAlignment="1">
      <alignment horizontal="center"/>
    </xf>
    <xf numFmtId="0" fontId="18" fillId="0" borderId="9" xfId="14" applyFont="1" applyBorder="1" applyAlignment="1">
      <alignment horizontal="center"/>
    </xf>
    <xf numFmtId="0" fontId="18" fillId="0" borderId="10" xfId="14" applyFont="1" applyBorder="1" applyAlignment="1">
      <alignment horizontal="center"/>
    </xf>
    <xf numFmtId="0" fontId="18" fillId="0" borderId="11" xfId="14" applyFont="1" applyBorder="1" applyAlignment="1">
      <alignment horizontal="center"/>
    </xf>
    <xf numFmtId="41" fontId="18" fillId="0" borderId="9" xfId="14" applyNumberFormat="1" applyFont="1" applyBorder="1" applyAlignment="1">
      <alignment horizontal="center"/>
    </xf>
    <xf numFmtId="2" fontId="18" fillId="0" borderId="0" xfId="14" applyNumberFormat="1" applyFont="1" applyAlignment="1">
      <alignment horizontal="center"/>
    </xf>
    <xf numFmtId="2" fontId="14" fillId="0" borderId="0" xfId="14" applyNumberFormat="1" applyFont="1" applyAlignment="1">
      <alignment horizontal="left"/>
    </xf>
    <xf numFmtId="2" fontId="18" fillId="0" borderId="0" xfId="16" applyNumberFormat="1" applyFont="1" applyAlignment="1" applyProtection="1">
      <alignment horizontal="center"/>
    </xf>
    <xf numFmtId="41" fontId="14" fillId="0" borderId="0" xfId="14" applyNumberFormat="1" applyFont="1"/>
    <xf numFmtId="37" fontId="14" fillId="0" borderId="0" xfId="14" applyNumberFormat="1" applyFont="1" applyAlignment="1">
      <alignment horizontal="center"/>
    </xf>
    <xf numFmtId="5" fontId="14" fillId="0" borderId="0" xfId="14" applyNumberFormat="1" applyFont="1"/>
    <xf numFmtId="37" fontId="14" fillId="0" borderId="0" xfId="14" applyNumberFormat="1" applyFont="1"/>
    <xf numFmtId="37" fontId="14" fillId="0" borderId="11" xfId="14" applyNumberFormat="1" applyFont="1" applyBorder="1"/>
    <xf numFmtId="1" fontId="14" fillId="0" borderId="0" xfId="17" applyNumberFormat="1" applyFont="1" applyAlignment="1">
      <alignment horizontal="center"/>
    </xf>
    <xf numFmtId="9" fontId="14" fillId="0" borderId="0" xfId="6" applyFont="1"/>
    <xf numFmtId="3" fontId="14" fillId="0" borderId="0" xfId="17" applyNumberFormat="1" applyFont="1" applyAlignment="1">
      <alignment horizontal="center"/>
    </xf>
    <xf numFmtId="5" fontId="14" fillId="0" borderId="12" xfId="14" applyNumberFormat="1" applyFont="1" applyBorder="1"/>
    <xf numFmtId="41" fontId="14" fillId="0" borderId="7" xfId="14" applyNumberFormat="1" applyFont="1" applyBorder="1"/>
    <xf numFmtId="10" fontId="14" fillId="0" borderId="0" xfId="6" applyNumberFormat="1" applyFont="1"/>
    <xf numFmtId="41" fontId="14" fillId="0" borderId="0" xfId="6" applyNumberFormat="1" applyFont="1"/>
    <xf numFmtId="41" fontId="14" fillId="0" borderId="11" xfId="14" applyNumberFormat="1" applyFont="1" applyBorder="1"/>
    <xf numFmtId="41" fontId="14" fillId="0" borderId="0" xfId="14" applyNumberFormat="1" applyFont="1" applyFill="1"/>
    <xf numFmtId="0" fontId="14" fillId="0" borderId="0" xfId="14" applyFont="1" applyAlignment="1">
      <alignment vertical="top"/>
    </xf>
    <xf numFmtId="41" fontId="14" fillId="0" borderId="0" xfId="14" applyNumberFormat="1" applyFont="1" applyAlignment="1">
      <alignment vertical="top"/>
    </xf>
    <xf numFmtId="41" fontId="14" fillId="0" borderId="0" xfId="14" applyNumberFormat="1" applyFont="1" applyAlignment="1">
      <alignment horizontal="right"/>
    </xf>
    <xf numFmtId="41" fontId="14" fillId="0" borderId="2" xfId="14" applyNumberFormat="1" applyFont="1" applyBorder="1"/>
    <xf numFmtId="10" fontId="14" fillId="0" borderId="0" xfId="14" applyNumberFormat="1" applyFont="1"/>
    <xf numFmtId="167" fontId="14" fillId="0" borderId="0" xfId="14" applyNumberFormat="1" applyFont="1"/>
    <xf numFmtId="3" fontId="17" fillId="0" borderId="0" xfId="15" applyNumberFormat="1" applyFont="1" applyBorder="1" applyAlignment="1">
      <alignment horizontal="center"/>
    </xf>
    <xf numFmtId="0" fontId="14" fillId="0" borderId="0" xfId="14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18" fillId="0" borderId="0" xfId="15" applyNumberFormat="1" applyFont="1" applyBorder="1" applyAlignment="1">
      <alignment horizontal="center"/>
    </xf>
    <xf numFmtId="41" fontId="18" fillId="0" borderId="0" xfId="14" applyNumberFormat="1" applyFont="1" applyBorder="1" applyAlignment="1">
      <alignment horizontal="center"/>
    </xf>
    <xf numFmtId="0" fontId="20" fillId="0" borderId="0" xfId="0" applyFont="1"/>
    <xf numFmtId="0" fontId="10" fillId="5" borderId="13" xfId="0" applyFont="1" applyFill="1" applyBorder="1"/>
    <xf numFmtId="0" fontId="4" fillId="0" borderId="0" xfId="10" applyFont="1" applyFill="1"/>
    <xf numFmtId="0" fontId="3" fillId="0" borderId="0" xfId="10" applyFont="1"/>
    <xf numFmtId="41" fontId="5" fillId="0" borderId="0" xfId="10" applyNumberFormat="1" applyFill="1"/>
    <xf numFmtId="164" fontId="5" fillId="0" borderId="0" xfId="1" applyNumberFormat="1" applyFont="1"/>
    <xf numFmtId="0" fontId="5" fillId="0" borderId="0" xfId="10" applyFill="1"/>
    <xf numFmtId="0" fontId="3" fillId="0" borderId="0" xfId="10" applyFont="1" applyAlignment="1">
      <alignment wrapText="1"/>
    </xf>
    <xf numFmtId="0" fontId="22" fillId="0" borderId="0" xfId="0" applyFont="1"/>
    <xf numFmtId="5" fontId="22" fillId="0" borderId="0" xfId="0" applyNumberFormat="1" applyFont="1"/>
    <xf numFmtId="0" fontId="2" fillId="0" borderId="0" xfId="10" applyFont="1"/>
    <xf numFmtId="0" fontId="9" fillId="0" borderId="0" xfId="10" applyFont="1" applyFill="1"/>
    <xf numFmtId="9" fontId="5" fillId="0" borderId="0" xfId="10" applyNumberFormat="1" applyFill="1"/>
    <xf numFmtId="10" fontId="5" fillId="0" borderId="0" xfId="10" applyNumberFormat="1" applyFill="1"/>
    <xf numFmtId="0" fontId="2" fillId="0" borderId="0" xfId="10" applyFont="1" applyFill="1"/>
    <xf numFmtId="0" fontId="0" fillId="0" borderId="0" xfId="0" applyFont="1"/>
    <xf numFmtId="0" fontId="10" fillId="5" borderId="0" xfId="0" applyFont="1" applyFill="1" applyBorder="1"/>
    <xf numFmtId="9" fontId="5" fillId="0" borderId="0" xfId="10" applyNumberFormat="1" applyFill="1" applyBorder="1"/>
    <xf numFmtId="41" fontId="9" fillId="0" borderId="0" xfId="10" applyNumberFormat="1" applyFont="1" applyBorder="1"/>
    <xf numFmtId="41" fontId="5" fillId="0" borderId="0" xfId="10" applyNumberFormat="1" applyFill="1" applyBorder="1"/>
    <xf numFmtId="41" fontId="5" fillId="0" borderId="3" xfId="10" applyNumberFormat="1" applyBorder="1"/>
    <xf numFmtId="10" fontId="0" fillId="0" borderId="0" xfId="19" applyNumberFormat="1" applyFont="1"/>
    <xf numFmtId="10" fontId="5" fillId="0" borderId="0" xfId="10" applyNumberFormat="1" applyFill="1" applyBorder="1"/>
    <xf numFmtId="37" fontId="14" fillId="0" borderId="0" xfId="14" applyNumberFormat="1" applyFont="1" applyFill="1"/>
    <xf numFmtId="0" fontId="0" fillId="0" borderId="0" xfId="0" applyFill="1"/>
    <xf numFmtId="168" fontId="0" fillId="0" borderId="0" xfId="0" applyNumberFormat="1" applyFill="1"/>
    <xf numFmtId="0" fontId="23" fillId="0" borderId="0" xfId="0" applyFont="1" applyAlignment="1">
      <alignment vertical="top" wrapText="1"/>
    </xf>
    <xf numFmtId="0" fontId="12" fillId="0" borderId="0" xfId="10" applyFont="1" applyFill="1" applyAlignment="1">
      <alignment horizontal="right"/>
    </xf>
    <xf numFmtId="0" fontId="9" fillId="0" borderId="0" xfId="10" applyFont="1" applyAlignment="1">
      <alignment horizontal="right"/>
    </xf>
    <xf numFmtId="0" fontId="9" fillId="0" borderId="0" xfId="10" applyFont="1" applyAlignment="1">
      <alignment horizontal="center"/>
    </xf>
    <xf numFmtId="37" fontId="18" fillId="0" borderId="0" xfId="14" applyNumberFormat="1" applyFont="1"/>
    <xf numFmtId="5" fontId="25" fillId="0" borderId="0" xfId="0" applyNumberFormat="1" applyFont="1"/>
    <xf numFmtId="5" fontId="22" fillId="0" borderId="11" xfId="0" applyNumberFormat="1" applyFont="1" applyBorder="1"/>
    <xf numFmtId="5" fontId="25" fillId="0" borderId="12" xfId="0" applyNumberFormat="1" applyFont="1" applyBorder="1"/>
    <xf numFmtId="5" fontId="25" fillId="2" borderId="12" xfId="0" applyNumberFormat="1" applyFont="1" applyFill="1" applyBorder="1"/>
    <xf numFmtId="3" fontId="17" fillId="6" borderId="0" xfId="15" applyNumberFormat="1" applyFont="1" applyFill="1" applyBorder="1" applyAlignment="1">
      <alignment horizontal="center"/>
    </xf>
    <xf numFmtId="3" fontId="17" fillId="2" borderId="0" xfId="15" applyNumberFormat="1" applyFont="1" applyFill="1" applyBorder="1" applyAlignment="1">
      <alignment horizontal="center"/>
    </xf>
    <xf numFmtId="164" fontId="0" fillId="7" borderId="0" xfId="0" applyNumberFormat="1" applyFill="1"/>
    <xf numFmtId="37" fontId="14" fillId="7" borderId="0" xfId="14" applyNumberFormat="1" applyFont="1" applyFill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164" fontId="28" fillId="0" borderId="0" xfId="1" applyNumberFormat="1" applyFont="1" applyAlignment="1">
      <alignment horizontal="center"/>
    </xf>
    <xf numFmtId="164" fontId="28" fillId="0" borderId="0" xfId="9" applyNumberFormat="1" applyFont="1" applyAlignment="1">
      <alignment horizontal="center"/>
    </xf>
    <xf numFmtId="37" fontId="14" fillId="8" borderId="0" xfId="14" applyNumberFormat="1" applyFont="1" applyFill="1"/>
    <xf numFmtId="164" fontId="8" fillId="8" borderId="0" xfId="1" applyNumberFormat="1" applyFont="1" applyFill="1"/>
    <xf numFmtId="37" fontId="14" fillId="9" borderId="0" xfId="14" applyNumberFormat="1" applyFont="1" applyFill="1"/>
    <xf numFmtId="164" fontId="0" fillId="9" borderId="0" xfId="1" applyNumberFormat="1" applyFont="1" applyFill="1"/>
    <xf numFmtId="164" fontId="8" fillId="10" borderId="0" xfId="1" applyNumberFormat="1" applyFont="1" applyFill="1"/>
    <xf numFmtId="164" fontId="0" fillId="8" borderId="0" xfId="0" applyNumberFormat="1" applyFill="1"/>
    <xf numFmtId="0" fontId="0" fillId="6" borderId="0" xfId="0" applyFill="1"/>
    <xf numFmtId="165" fontId="10" fillId="6" borderId="0" xfId="1" applyNumberFormat="1" applyFont="1" applyFill="1"/>
    <xf numFmtId="164" fontId="0" fillId="6" borderId="0" xfId="0" applyNumberFormat="1" applyFill="1"/>
    <xf numFmtId="164" fontId="0" fillId="6" borderId="1" xfId="1" applyNumberFormat="1" applyFont="1" applyFill="1" applyBorder="1"/>
    <xf numFmtId="164" fontId="0" fillId="6" borderId="0" xfId="1" applyNumberFormat="1" applyFont="1" applyFill="1"/>
    <xf numFmtId="0" fontId="0" fillId="0" borderId="0" xfId="0" applyFont="1" applyAlignment="1">
      <alignment horizontal="center"/>
    </xf>
    <xf numFmtId="14" fontId="0" fillId="0" borderId="0" xfId="0" applyNumberFormat="1"/>
    <xf numFmtId="164" fontId="0" fillId="10" borderId="1" xfId="1" applyNumberFormat="1" applyFont="1" applyFill="1" applyBorder="1"/>
    <xf numFmtId="0" fontId="29" fillId="0" borderId="0" xfId="0" applyFont="1"/>
    <xf numFmtId="164" fontId="0" fillId="0" borderId="14" xfId="9" applyNumberFormat="1" applyFont="1" applyBorder="1"/>
    <xf numFmtId="164" fontId="0" fillId="0" borderId="14" xfId="0" applyNumberFormat="1" applyBorder="1"/>
    <xf numFmtId="0" fontId="30" fillId="0" borderId="0" xfId="10" applyFont="1"/>
    <xf numFmtId="3" fontId="31" fillId="0" borderId="0" xfId="0" applyNumberFormat="1" applyFont="1" applyAlignment="1"/>
    <xf numFmtId="0" fontId="0" fillId="0" borderId="0" xfId="0" applyAlignment="1">
      <alignment horizontal="center"/>
    </xf>
    <xf numFmtId="0" fontId="34" fillId="11" borderId="15" xfId="0" applyFont="1" applyFill="1" applyBorder="1" applyAlignment="1">
      <alignment horizontal="center" vertical="top"/>
    </xf>
    <xf numFmtId="0" fontId="34" fillId="12" borderId="16" xfId="0" applyFont="1" applyFill="1" applyBorder="1" applyAlignment="1">
      <alignment horizontal="right" vertical="top"/>
    </xf>
    <xf numFmtId="0" fontId="34" fillId="11" borderId="15" xfId="0" applyFont="1" applyFill="1" applyBorder="1" applyAlignment="1">
      <alignment horizontal="left" vertical="top"/>
    </xf>
    <xf numFmtId="0" fontId="0" fillId="0" borderId="16" xfId="0" applyBorder="1"/>
    <xf numFmtId="0" fontId="34" fillId="11" borderId="16" xfId="0" applyFont="1" applyFill="1" applyBorder="1" applyAlignment="1">
      <alignment horizontal="left" vertical="top"/>
    </xf>
    <xf numFmtId="169" fontId="34" fillId="0" borderId="16" xfId="0" applyNumberFormat="1" applyFont="1" applyBorder="1" applyAlignment="1">
      <alignment horizontal="right" vertical="top"/>
    </xf>
    <xf numFmtId="3" fontId="34" fillId="0" borderId="16" xfId="0" applyNumberFormat="1" applyFont="1" applyBorder="1" applyAlignment="1">
      <alignment horizontal="right" vertical="top"/>
    </xf>
    <xf numFmtId="169" fontId="36" fillId="13" borderId="16" xfId="0" applyNumberFormat="1" applyFont="1" applyFill="1" applyBorder="1" applyAlignment="1">
      <alignment horizontal="right" vertical="top"/>
    </xf>
    <xf numFmtId="3" fontId="36" fillId="13" borderId="16" xfId="0" applyNumberFormat="1" applyFont="1" applyFill="1" applyBorder="1" applyAlignment="1">
      <alignment horizontal="right" vertical="top"/>
    </xf>
    <xf numFmtId="0" fontId="0" fillId="13" borderId="16" xfId="0" applyFill="1" applyBorder="1"/>
    <xf numFmtId="169" fontId="36" fillId="14" borderId="16" xfId="0" applyNumberFormat="1" applyFont="1" applyFill="1" applyBorder="1" applyAlignment="1">
      <alignment horizontal="right" vertical="top"/>
    </xf>
    <xf numFmtId="3" fontId="36" fillId="14" borderId="16" xfId="0" applyNumberFormat="1" applyFont="1" applyFill="1" applyBorder="1" applyAlignment="1">
      <alignment horizontal="right" vertical="top"/>
    </xf>
    <xf numFmtId="0" fontId="0" fillId="14" borderId="16" xfId="0" applyFill="1" applyBorder="1"/>
    <xf numFmtId="0" fontId="37" fillId="15" borderId="20" xfId="0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34" fillId="8" borderId="16" xfId="0" applyFont="1" applyFill="1" applyBorder="1" applyAlignment="1">
      <alignment horizontal="left" vertical="top"/>
    </xf>
    <xf numFmtId="169" fontId="34" fillId="16" borderId="16" xfId="0" applyNumberFormat="1" applyFont="1" applyFill="1" applyBorder="1" applyAlignment="1">
      <alignment horizontal="right" vertical="top"/>
    </xf>
    <xf numFmtId="0" fontId="34" fillId="17" borderId="16" xfId="0" applyFont="1" applyFill="1" applyBorder="1" applyAlignment="1">
      <alignment horizontal="left" vertical="top"/>
    </xf>
    <xf numFmtId="0" fontId="34" fillId="9" borderId="16" xfId="0" applyFont="1" applyFill="1" applyBorder="1" applyAlignment="1">
      <alignment horizontal="left" vertical="top"/>
    </xf>
    <xf numFmtId="0" fontId="34" fillId="6" borderId="16" xfId="0" applyFont="1" applyFill="1" applyBorder="1" applyAlignment="1">
      <alignment horizontal="left" vertical="top"/>
    </xf>
    <xf numFmtId="0" fontId="35" fillId="0" borderId="0" xfId="0" applyFont="1" applyAlignment="1">
      <alignment horizontal="left" vertical="center"/>
    </xf>
    <xf numFmtId="0" fontId="23" fillId="6" borderId="0" xfId="0" applyFont="1" applyFill="1" applyAlignment="1">
      <alignment vertical="center"/>
    </xf>
    <xf numFmtId="4" fontId="0" fillId="6" borderId="0" xfId="0" applyNumberFormat="1" applyFill="1"/>
    <xf numFmtId="0" fontId="23" fillId="8" borderId="0" xfId="0" applyFont="1" applyFill="1" applyAlignment="1">
      <alignment vertical="center"/>
    </xf>
    <xf numFmtId="4" fontId="0" fillId="18" borderId="0" xfId="0" applyNumberFormat="1" applyFill="1"/>
    <xf numFmtId="0" fontId="23" fillId="17" borderId="0" xfId="0" applyFont="1" applyFill="1" applyAlignment="1">
      <alignment vertical="center"/>
    </xf>
    <xf numFmtId="4" fontId="0" fillId="4" borderId="0" xfId="0" applyNumberFormat="1" applyFill="1"/>
    <xf numFmtId="0" fontId="23" fillId="9" borderId="0" xfId="0" applyFont="1" applyFill="1" applyAlignment="1">
      <alignment vertical="center"/>
    </xf>
    <xf numFmtId="4" fontId="0" fillId="19" borderId="11" xfId="0" applyNumberFormat="1" applyFill="1" applyBorder="1"/>
    <xf numFmtId="4" fontId="9" fillId="0" borderId="0" xfId="0" applyNumberFormat="1" applyFont="1"/>
    <xf numFmtId="4" fontId="0" fillId="0" borderId="0" xfId="0" applyNumberFormat="1"/>
    <xf numFmtId="0" fontId="9" fillId="20" borderId="21" xfId="0" applyFont="1" applyFill="1" applyBorder="1"/>
    <xf numFmtId="0" fontId="9" fillId="20" borderId="22" xfId="0" applyFont="1" applyFill="1" applyBorder="1"/>
    <xf numFmtId="9" fontId="9" fillId="20" borderId="23" xfId="0" applyNumberFormat="1" applyFont="1" applyFill="1" applyBorder="1"/>
    <xf numFmtId="9" fontId="9" fillId="20" borderId="24" xfId="0" applyNumberFormat="1" applyFont="1" applyFill="1" applyBorder="1"/>
    <xf numFmtId="0" fontId="9" fillId="0" borderId="0" xfId="0" applyFont="1"/>
    <xf numFmtId="10" fontId="9" fillId="20" borderId="23" xfId="0" applyNumberFormat="1" applyFont="1" applyFill="1" applyBorder="1"/>
    <xf numFmtId="10" fontId="9" fillId="20" borderId="24" xfId="0" applyNumberFormat="1" applyFont="1" applyFill="1" applyBorder="1"/>
    <xf numFmtId="0" fontId="0" fillId="0" borderId="0" xfId="0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right"/>
    </xf>
    <xf numFmtId="43" fontId="0" fillId="0" borderId="0" xfId="0" applyNumberFormat="1"/>
    <xf numFmtId="0" fontId="0" fillId="0" borderId="11" xfId="0" applyBorder="1"/>
    <xf numFmtId="43" fontId="0" fillId="0" borderId="11" xfId="1" applyFont="1" applyBorder="1"/>
    <xf numFmtId="0" fontId="9" fillId="21" borderId="21" xfId="0" applyFont="1" applyFill="1" applyBorder="1"/>
    <xf numFmtId="0" fontId="9" fillId="21" borderId="22" xfId="0" applyFont="1" applyFill="1" applyBorder="1"/>
    <xf numFmtId="10" fontId="9" fillId="21" borderId="23" xfId="0" applyNumberFormat="1" applyFont="1" applyFill="1" applyBorder="1"/>
    <xf numFmtId="10" fontId="9" fillId="21" borderId="24" xfId="0" applyNumberFormat="1" applyFont="1" applyFill="1" applyBorder="1"/>
    <xf numFmtId="0" fontId="39" fillId="0" borderId="0" xfId="0" applyFont="1"/>
    <xf numFmtId="0" fontId="40" fillId="0" borderId="0" xfId="0" applyFont="1"/>
    <xf numFmtId="0" fontId="9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64" fontId="39" fillId="0" borderId="0" xfId="1" applyNumberFormat="1" applyFont="1"/>
    <xf numFmtId="164" fontId="39" fillId="0" borderId="0" xfId="0" applyNumberFormat="1" applyFont="1"/>
    <xf numFmtId="164" fontId="9" fillId="6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42" fillId="2" borderId="0" xfId="0" applyNumberFormat="1" applyFont="1" applyFill="1"/>
    <xf numFmtId="164" fontId="9" fillId="0" borderId="0" xfId="0" applyNumberFormat="1" applyFont="1" applyAlignment="1">
      <alignment horizontal="center"/>
    </xf>
    <xf numFmtId="9" fontId="9" fillId="21" borderId="23" xfId="0" applyNumberFormat="1" applyFont="1" applyFill="1" applyBorder="1"/>
    <xf numFmtId="9" fontId="9" fillId="21" borderId="24" xfId="0" applyNumberFormat="1" applyFont="1" applyFill="1" applyBorder="1"/>
    <xf numFmtId="164" fontId="0" fillId="0" borderId="11" xfId="0" applyNumberFormat="1" applyBorder="1"/>
    <xf numFmtId="0" fontId="39" fillId="0" borderId="11" xfId="0" applyFont="1" applyBorder="1"/>
    <xf numFmtId="164" fontId="39" fillId="0" borderId="11" xfId="0" applyNumberFormat="1" applyFont="1" applyBorder="1"/>
    <xf numFmtId="164" fontId="0" fillId="6" borderId="11" xfId="0" applyNumberFormat="1" applyFill="1" applyBorder="1"/>
    <xf numFmtId="164" fontId="0" fillId="2" borderId="11" xfId="0" applyNumberFormat="1" applyFill="1" applyBorder="1"/>
    <xf numFmtId="164" fontId="42" fillId="0" borderId="0" xfId="0" applyNumberFormat="1" applyFont="1"/>
    <xf numFmtId="0" fontId="43" fillId="0" borderId="0" xfId="0" applyFont="1"/>
    <xf numFmtId="164" fontId="0" fillId="22" borderId="14" xfId="0" applyNumberFormat="1" applyFill="1" applyBorder="1"/>
    <xf numFmtId="164" fontId="39" fillId="22" borderId="14" xfId="0" applyNumberFormat="1" applyFont="1" applyFill="1" applyBorder="1"/>
    <xf numFmtId="164" fontId="39" fillId="0" borderId="14" xfId="0" applyNumberFormat="1" applyFont="1" applyBorder="1"/>
    <xf numFmtId="164" fontId="0" fillId="6" borderId="14" xfId="0" applyNumberFormat="1" applyFill="1" applyBorder="1"/>
    <xf numFmtId="164" fontId="0" fillId="7" borderId="14" xfId="0" applyNumberFormat="1" applyFill="1" applyBorder="1"/>
    <xf numFmtId="0" fontId="44" fillId="0" borderId="0" xfId="0" applyFont="1"/>
    <xf numFmtId="0" fontId="44" fillId="0" borderId="0" xfId="0" applyFont="1" applyAlignment="1">
      <alignment horizontal="right"/>
    </xf>
    <xf numFmtId="0" fontId="44" fillId="0" borderId="11" xfId="0" applyFont="1" applyBorder="1"/>
    <xf numFmtId="164" fontId="44" fillId="0" borderId="0" xfId="0" applyNumberFormat="1" applyFont="1"/>
    <xf numFmtId="164" fontId="44" fillId="0" borderId="14" xfId="0" applyNumberFormat="1" applyFont="1" applyBorder="1"/>
    <xf numFmtId="164" fontId="44" fillId="0" borderId="11" xfId="0" applyNumberFormat="1" applyFont="1" applyBorder="1"/>
    <xf numFmtId="0" fontId="9" fillId="0" borderId="0" xfId="0" applyFont="1" applyAlignment="1">
      <alignment horizontal="center"/>
    </xf>
    <xf numFmtId="43" fontId="0" fillId="0" borderId="0" xfId="0" applyNumberFormat="1" applyFill="1"/>
    <xf numFmtId="37" fontId="14" fillId="10" borderId="11" xfId="14" applyNumberFormat="1" applyFont="1" applyFill="1" applyBorder="1"/>
    <xf numFmtId="0" fontId="0" fillId="0" borderId="0" xfId="0"/>
    <xf numFmtId="0" fontId="27" fillId="0" borderId="0" xfId="0" applyFont="1" applyFill="1"/>
    <xf numFmtId="37" fontId="27" fillId="0" borderId="0" xfId="0" applyNumberFormat="1" applyFont="1"/>
    <xf numFmtId="37" fontId="27" fillId="0" borderId="11" xfId="0" applyNumberFormat="1" applyFont="1" applyBorder="1"/>
    <xf numFmtId="0" fontId="27" fillId="0" borderId="2" xfId="0" applyFont="1" applyBorder="1"/>
    <xf numFmtId="37" fontId="27" fillId="0" borderId="12" xfId="0" applyNumberFormat="1" applyFont="1" applyBorder="1"/>
    <xf numFmtId="37" fontId="27" fillId="0" borderId="0" xfId="0" applyNumberFormat="1" applyFont="1" applyBorder="1"/>
    <xf numFmtId="3" fontId="17" fillId="23" borderId="0" xfId="15" applyNumberFormat="1" applyFont="1" applyFill="1" applyBorder="1" applyAlignment="1">
      <alignment horizontal="center"/>
    </xf>
    <xf numFmtId="5" fontId="25" fillId="23" borderId="12" xfId="0" applyNumberFormat="1" applyFont="1" applyFill="1" applyBorder="1"/>
    <xf numFmtId="0" fontId="34" fillId="11" borderId="16" xfId="0" applyFont="1" applyFill="1" applyBorder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/>
    <xf numFmtId="0" fontId="46" fillId="0" borderId="11" xfId="0" applyFont="1" applyBorder="1" applyAlignment="1">
      <alignment horizontal="center" wrapText="1"/>
    </xf>
    <xf numFmtId="0" fontId="46" fillId="0" borderId="11" xfId="0" applyFont="1" applyBorder="1" applyAlignment="1">
      <alignment horizontal="center"/>
    </xf>
    <xf numFmtId="164" fontId="45" fillId="0" borderId="0" xfId="1" applyNumberFormat="1" applyFont="1"/>
    <xf numFmtId="164" fontId="45" fillId="0" borderId="0" xfId="0" applyNumberFormat="1" applyFont="1"/>
    <xf numFmtId="0" fontId="45" fillId="0" borderId="0" xfId="0" applyFont="1" applyAlignment="1">
      <alignment horizontal="right"/>
    </xf>
    <xf numFmtId="164" fontId="45" fillId="0" borderId="11" xfId="1" applyNumberFormat="1" applyFont="1" applyBorder="1"/>
    <xf numFmtId="164" fontId="45" fillId="0" borderId="11" xfId="0" applyNumberFormat="1" applyFont="1" applyBorder="1"/>
    <xf numFmtId="10" fontId="48" fillId="0" borderId="0" xfId="19" applyNumberFormat="1" applyFont="1"/>
    <xf numFmtId="167" fontId="14" fillId="0" borderId="0" xfId="19" applyNumberFormat="1" applyFont="1"/>
    <xf numFmtId="0" fontId="34" fillId="8" borderId="16" xfId="0" applyFont="1" applyFill="1" applyBorder="1" applyAlignment="1">
      <alignment horizontal="right" vertical="top"/>
    </xf>
    <xf numFmtId="0" fontId="34" fillId="9" borderId="16" xfId="0" applyFont="1" applyFill="1" applyBorder="1" applyAlignment="1">
      <alignment horizontal="right" vertical="top"/>
    </xf>
    <xf numFmtId="0" fontId="34" fillId="6" borderId="16" xfId="0" applyFont="1" applyFill="1" applyBorder="1" applyAlignment="1">
      <alignment horizontal="right" vertical="top"/>
    </xf>
    <xf numFmtId="10" fontId="48" fillId="0" borderId="0" xfId="19" applyNumberFormat="1" applyFont="1" applyFill="1"/>
    <xf numFmtId="164" fontId="45" fillId="0" borderId="0" xfId="1" applyNumberFormat="1" applyFont="1" applyFill="1"/>
    <xf numFmtId="164" fontId="45" fillId="0" borderId="0" xfId="0" applyNumberFormat="1" applyFont="1" applyFill="1"/>
    <xf numFmtId="0" fontId="45" fillId="0" borderId="0" xfId="0" applyFont="1" applyFill="1"/>
    <xf numFmtId="164" fontId="45" fillId="0" borderId="11" xfId="1" applyNumberFormat="1" applyFont="1" applyFill="1" applyBorder="1"/>
    <xf numFmtId="164" fontId="45" fillId="0" borderId="11" xfId="0" applyNumberFormat="1" applyFont="1" applyFill="1" applyBorder="1"/>
    <xf numFmtId="164" fontId="45" fillId="0" borderId="0" xfId="1" applyNumberFormat="1" applyFont="1" applyFill="1" applyBorder="1"/>
    <xf numFmtId="0" fontId="1" fillId="0" borderId="0" xfId="10" applyFont="1"/>
    <xf numFmtId="3" fontId="15" fillId="0" borderId="0" xfId="0" applyNumberFormat="1" applyFont="1" applyAlignment="1">
      <alignment horizontal="center"/>
    </xf>
    <xf numFmtId="0" fontId="18" fillId="23" borderId="0" xfId="14" applyFont="1" applyFill="1" applyAlignment="1">
      <alignment horizontal="center"/>
    </xf>
    <xf numFmtId="0" fontId="18" fillId="23" borderId="11" xfId="14" applyFont="1" applyFill="1" applyBorder="1" applyAlignment="1">
      <alignment horizontal="center"/>
    </xf>
    <xf numFmtId="37" fontId="18" fillId="23" borderId="0" xfId="14" applyNumberFormat="1" applyFont="1" applyFill="1" applyAlignment="1">
      <alignment horizontal="center" wrapText="1"/>
    </xf>
    <xf numFmtId="37" fontId="18" fillId="23" borderId="12" xfId="14" applyNumberFormat="1" applyFont="1" applyFill="1" applyBorder="1" applyAlignment="1">
      <alignment horizontal="center" wrapText="1"/>
    </xf>
    <xf numFmtId="0" fontId="18" fillId="2" borderId="0" xfId="14" applyFont="1" applyFill="1" applyAlignment="1">
      <alignment horizontal="center"/>
    </xf>
    <xf numFmtId="0" fontId="18" fillId="2" borderId="11" xfId="14" applyFont="1" applyFill="1" applyBorder="1" applyAlignment="1">
      <alignment horizontal="center"/>
    </xf>
    <xf numFmtId="37" fontId="18" fillId="2" borderId="0" xfId="14" applyNumberFormat="1" applyFont="1" applyFill="1" applyAlignment="1">
      <alignment horizontal="center" wrapText="1"/>
    </xf>
    <xf numFmtId="37" fontId="18" fillId="2" borderId="12" xfId="14" applyNumberFormat="1" applyFont="1" applyFill="1" applyBorder="1" applyAlignment="1">
      <alignment horizontal="center" wrapText="1"/>
    </xf>
    <xf numFmtId="0" fontId="24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/>
    </xf>
    <xf numFmtId="0" fontId="0" fillId="0" borderId="0" xfId="0"/>
    <xf numFmtId="0" fontId="34" fillId="11" borderId="16" xfId="0" applyFont="1" applyFill="1" applyBorder="1" applyAlignment="1">
      <alignment horizontal="left" vertical="top"/>
    </xf>
    <xf numFmtId="0" fontId="0" fillId="11" borderId="17" xfId="0" applyFill="1" applyBorder="1"/>
    <xf numFmtId="0" fontId="0" fillId="11" borderId="16" xfId="0" applyFill="1" applyBorder="1"/>
    <xf numFmtId="0" fontId="36" fillId="13" borderId="16" xfId="0" applyFont="1" applyFill="1" applyBorder="1" applyAlignment="1">
      <alignment horizontal="left" vertical="top"/>
    </xf>
    <xf numFmtId="0" fontId="0" fillId="13" borderId="18" xfId="0" applyFill="1" applyBorder="1"/>
    <xf numFmtId="0" fontId="0" fillId="13" borderId="19" xfId="0" applyFill="1" applyBorder="1"/>
    <xf numFmtId="0" fontId="36" fillId="14" borderId="16" xfId="0" applyFont="1" applyFill="1" applyBorder="1" applyAlignment="1">
      <alignment horizontal="left" vertical="top"/>
    </xf>
    <xf numFmtId="0" fontId="0" fillId="14" borderId="18" xfId="0" applyFill="1" applyBorder="1"/>
    <xf numFmtId="0" fontId="0" fillId="14" borderId="19" xfId="0" applyFill="1" applyBorder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wrapText="1"/>
    </xf>
    <xf numFmtId="0" fontId="46" fillId="0" borderId="11" xfId="0" applyFont="1" applyBorder="1" applyAlignment="1">
      <alignment horizontal="center" wrapText="1"/>
    </xf>
    <xf numFmtId="0" fontId="30" fillId="0" borderId="7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9" fillId="0" borderId="0" xfId="0" applyFont="1" applyAlignment="1">
      <alignment horizontal="center" wrapText="1"/>
    </xf>
    <xf numFmtId="0" fontId="39" fillId="0" borderId="11" xfId="0" applyFont="1" applyBorder="1" applyAlignment="1">
      <alignment horizontal="center" wrapText="1"/>
    </xf>
  </cellXfs>
  <cellStyles count="20">
    <cellStyle name="Comma" xfId="1" builtinId="3"/>
    <cellStyle name="Comma 14" xfId="12" xr:uid="{00000000-0005-0000-0000-000001000000}"/>
    <cellStyle name="Comma 2" xfId="9" xr:uid="{00000000-0005-0000-0000-000002000000}"/>
    <cellStyle name="Comma 2 2" xfId="7" xr:uid="{00000000-0005-0000-0000-000003000000}"/>
    <cellStyle name="Comma 3" xfId="11" xr:uid="{00000000-0005-0000-0000-000004000000}"/>
    <cellStyle name="Currency 2" xfId="13" xr:uid="{00000000-0005-0000-0000-000005000000}"/>
    <cellStyle name="Followed Hyperlink" xfId="16" builtinId="9"/>
    <cellStyle name="Normal" xfId="0" builtinId="0"/>
    <cellStyle name="Normal 2" xfId="2" xr:uid="{00000000-0005-0000-0000-000007000000}"/>
    <cellStyle name="Normal 2 2" xfId="5" xr:uid="{00000000-0005-0000-0000-000008000000}"/>
    <cellStyle name="Normal 3" xfId="18" xr:uid="{4492C507-F3F9-43EB-B55E-0C343BBBBBEE}"/>
    <cellStyle name="Normal 77" xfId="4" xr:uid="{00000000-0005-0000-0000-000009000000}"/>
    <cellStyle name="Normal 77 2" xfId="10" xr:uid="{00000000-0005-0000-0000-00000A000000}"/>
    <cellStyle name="Normal_DFIT-WaEle_SUM" xfId="17" xr:uid="{F45D03C5-2C64-4863-94DD-2EB2C14E5F7F}"/>
    <cellStyle name="Normal_WAElec6_97" xfId="14" xr:uid="{60997BF5-3F3F-4873-9E6F-1A71FBE1FFDD}"/>
    <cellStyle name="Normal_WAGas6_97" xfId="15" xr:uid="{CB1069E1-CC98-4CE8-8202-AEDD5A0B0F28}"/>
    <cellStyle name="Percent" xfId="19" builtinId="5"/>
    <cellStyle name="Percent 2" xfId="3" xr:uid="{00000000-0005-0000-0000-00000B000000}"/>
    <cellStyle name="Percent 2 2" xfId="6" xr:uid="{00000000-0005-0000-0000-00000C000000}"/>
    <cellStyle name="Percent 3" xfId="8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19975" cy="1181100"/>
    <xdr:pic>
      <xdr:nvPicPr>
        <xdr:cNvPr id="2" name="Avista_Header.bmp">
          <a:extLst>
            <a:ext uri="{FF2B5EF4-FFF2-40B4-BE49-F238E27FC236}">
              <a16:creationId xmlns:a16="http://schemas.microsoft.com/office/drawing/2014/main" id="{6FB04725-F984-47B9-A5F0-0DEB38E1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19975" cy="11811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9\2019_%20WA%20Elec%20and%20Gas%20General%20Rate%20Case\Adjustments\3.10%20PF%202019%20Capital%20Adds\Support%20Do%20not%20send\Unified%20Model%20-%2012.31.19-%202018%20budget%20cycle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6\2016_WA_Elec_and_Gas_GRC\Adjustments\Adjustments\PF-CAPITAL%20PROJECTS\9%20)Support%20-%20DO%20NOT%20SEND\Unified%20Model%20-%202017%20-%2012.14.2015%20-%202018%20AMA%20pi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Idaho"/>
      <sheetName val="Oregon"/>
      <sheetName val="Cutoff Analysis"/>
      <sheetName val="Actl Forcst -system Cut off"/>
      <sheetName val="Actl Forcst - WA E (No AMI)"/>
      <sheetName val="Actl Forcst - WA G (No AMI)"/>
      <sheetName val="Actl Forcst - ID E"/>
      <sheetName val="Actl Forcst - ID G"/>
      <sheetName val="Actl Forcst - OR"/>
      <sheetName val="Actl Forcst - TotalCo"/>
      <sheetName val="CAP19 Input"/>
      <sheetName val="2019 Unbud CWIP Per Rosemary"/>
      <sheetName val="Actual_Transfers"/>
      <sheetName val="Adjustments"/>
      <sheetName val="Allocation Factors"/>
      <sheetName val="Specific Allocation"/>
      <sheetName val="AllocationFactors_Actuals"/>
      <sheetName val="2019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AC12" t="str">
            <v>1000 Elec Distribution 360-373</v>
          </cell>
        </row>
      </sheetData>
      <sheetData sheetId="13"/>
      <sheetData sheetId="14"/>
      <sheetData sheetId="15"/>
      <sheetData sheetId="16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Distribution 360-373 CD WA</v>
          </cell>
        </row>
        <row r="11">
          <cell r="A11" t="str">
            <v>Elec Transmission 350-359 ED AN</v>
          </cell>
        </row>
        <row r="12">
          <cell r="A12" t="str">
            <v>Elec Transmission 350-359 ED AN 2204</v>
          </cell>
        </row>
        <row r="13">
          <cell r="A13" t="str">
            <v>Elec Transmission 350-359 ED ID</v>
          </cell>
        </row>
        <row r="14">
          <cell r="A14" t="str">
            <v>Elec Transmission 350-359 ED WA</v>
          </cell>
        </row>
        <row r="15">
          <cell r="A15" t="str">
            <v>Gas Distribution 374-387 GD AA</v>
          </cell>
        </row>
        <row r="16">
          <cell r="A16" t="str">
            <v>Gas Distribution 374-387 GD AN</v>
          </cell>
        </row>
        <row r="17">
          <cell r="A17" t="str">
            <v>Gas Distribution 374-387 GD ID</v>
          </cell>
        </row>
        <row r="18">
          <cell r="A18" t="str">
            <v>Gas Distribution 374-387 GD OR</v>
          </cell>
        </row>
        <row r="19">
          <cell r="A19" t="str">
            <v>Gas Distribution 374-387 GD WA</v>
          </cell>
        </row>
        <row r="20">
          <cell r="A20" t="str">
            <v>Gas Underground Storage 350-357 GD AA</v>
          </cell>
        </row>
        <row r="21">
          <cell r="A21" t="str">
            <v>Gas Underground Storage 350-357 GD AN</v>
          </cell>
        </row>
        <row r="22">
          <cell r="A22" t="str">
            <v>Gas Underground Storage 350-357 GD OR</v>
          </cell>
        </row>
        <row r="23">
          <cell r="A23" t="str">
            <v>General 389-391 / 393-395 / 397-398 CD AA</v>
          </cell>
        </row>
        <row r="24">
          <cell r="A24" t="str">
            <v>General 389-391 / 393-395 / 397-398 CD AN</v>
          </cell>
        </row>
        <row r="25">
          <cell r="A25" t="str">
            <v>General 389-391 / 393-395 / 397-398 CD ID</v>
          </cell>
        </row>
        <row r="26">
          <cell r="A26" t="str">
            <v>General 389-391 / 393-395 / 397-398 CD WA</v>
          </cell>
        </row>
        <row r="27">
          <cell r="A27" t="str">
            <v>General 389-391 / 393-395 / 397-398 ED AN</v>
          </cell>
        </row>
        <row r="28">
          <cell r="A28" t="str">
            <v>General 389-391 / 393-395 / 397-398 GD AA</v>
          </cell>
        </row>
        <row r="29">
          <cell r="A29" t="str">
            <v>General 389-391 / 393-395 / 397-398 ED WA</v>
          </cell>
        </row>
        <row r="30">
          <cell r="A30" t="str">
            <v>General 389-391 / 393-395 / 397-398 ED ID</v>
          </cell>
        </row>
        <row r="31">
          <cell r="A31" t="str">
            <v>General 389-391 / 393-395 / 397-398 ED AA</v>
          </cell>
        </row>
        <row r="32">
          <cell r="A32" t="str">
            <v>General 389-391 / 393-395 / 397-398 GD WA</v>
          </cell>
        </row>
        <row r="33">
          <cell r="A33" t="str">
            <v>General 389-391 / 393-395 / 397-398 GD OR</v>
          </cell>
        </row>
        <row r="34">
          <cell r="A34" t="str">
            <v>General 389-391 / 393-395 / 397-398 GD AN</v>
          </cell>
        </row>
        <row r="35">
          <cell r="A35" t="str">
            <v>Hydro 331-336 ED AN</v>
          </cell>
        </row>
        <row r="36">
          <cell r="A36" t="str">
            <v>Hydro 331-336 ED WA</v>
          </cell>
        </row>
        <row r="37">
          <cell r="A37" t="str">
            <v>Other Elec Production / Turbines 340-346 ED AN</v>
          </cell>
        </row>
        <row r="38">
          <cell r="A38" t="str">
            <v>Software 303 CD AA</v>
          </cell>
        </row>
        <row r="39">
          <cell r="A39" t="str">
            <v>Software 303 CD ID</v>
          </cell>
        </row>
        <row r="40">
          <cell r="A40" t="str">
            <v>Software 303 CD WA</v>
          </cell>
        </row>
        <row r="41">
          <cell r="A41" t="str">
            <v>Software 303 ED AN</v>
          </cell>
        </row>
        <row r="42">
          <cell r="A42" t="str">
            <v>Software 303 ED MT</v>
          </cell>
        </row>
        <row r="43">
          <cell r="A43" t="str">
            <v>Software 303 ED WA</v>
          </cell>
        </row>
        <row r="44">
          <cell r="A44" t="str">
            <v>Software 303 ED AA</v>
          </cell>
        </row>
        <row r="45">
          <cell r="A45" t="str">
            <v>Software 303 CD AN</v>
          </cell>
        </row>
        <row r="46">
          <cell r="A46" t="str">
            <v>Software 303 GD AA</v>
          </cell>
        </row>
        <row r="47">
          <cell r="A47" t="str">
            <v>Thermal 311-316 ED AN</v>
          </cell>
        </row>
        <row r="48">
          <cell r="A48" t="str">
            <v>Transportation and Tools 392 / 396 CD AA</v>
          </cell>
        </row>
        <row r="49">
          <cell r="A49" t="str">
            <v>Transportation and Tools 392 / 396 CD AN</v>
          </cell>
        </row>
        <row r="50">
          <cell r="A50" t="str">
            <v>Transportation and Tools 392 / 396 CD WA</v>
          </cell>
        </row>
        <row r="51">
          <cell r="A51" t="str">
            <v>Transportation and Tools 392 / 396 CD ID</v>
          </cell>
        </row>
        <row r="52">
          <cell r="A52" t="str">
            <v>Transportation and Tools 392 / 396 ED AN</v>
          </cell>
        </row>
        <row r="53">
          <cell r="A53" t="str">
            <v>Transportation and Tools 392 / 396 ED WA</v>
          </cell>
        </row>
        <row r="54">
          <cell r="A54" t="str">
            <v>Transportation and Tools 392 / 396 ED ID</v>
          </cell>
        </row>
        <row r="55">
          <cell r="A55" t="str">
            <v>Transportation and Tools 392 / 396 GD AN</v>
          </cell>
        </row>
        <row r="56">
          <cell r="A56" t="str">
            <v>Transportation and Tools 392 / 396 GD ID</v>
          </cell>
        </row>
        <row r="57">
          <cell r="A57" t="str">
            <v>Transportation and Tools 392 / 396 GD WA</v>
          </cell>
        </row>
        <row r="58">
          <cell r="A58" t="str">
            <v>Transportation and Tools 392 / 396 GD OR</v>
          </cell>
        </row>
        <row r="59">
          <cell r="A59" t="str">
            <v>Gas Distribution 374-387 GD AA 1001</v>
          </cell>
        </row>
        <row r="60">
          <cell r="A60" t="str">
            <v>Gas Distribution 374-387 GD AN 1001</v>
          </cell>
        </row>
        <row r="61">
          <cell r="A61" t="str">
            <v>Gas Distribution 374-387 GD AA 1050</v>
          </cell>
        </row>
        <row r="62">
          <cell r="A62" t="str">
            <v>Gas Distribution 374-387 GD AA 1051</v>
          </cell>
        </row>
        <row r="63">
          <cell r="A63" t="str">
            <v>Gas Distribution 374-387 GD AA 1053</v>
          </cell>
        </row>
        <row r="64">
          <cell r="A64" t="str">
            <v>Gas Distribution 374-387 GD AA 3000</v>
          </cell>
        </row>
        <row r="65">
          <cell r="A65" t="str">
            <v>Gas Distribution 374-387 GD AA 3001</v>
          </cell>
        </row>
        <row r="66">
          <cell r="A66" t="str">
            <v>Gas Distribution 374-387 GD AA 3002</v>
          </cell>
        </row>
        <row r="67">
          <cell r="A67" t="str">
            <v>Gas Distribution 374-387 GD AN 3002</v>
          </cell>
        </row>
        <row r="68">
          <cell r="A68" t="str">
            <v>Gas Distribution 374-387 GD AA 3003</v>
          </cell>
        </row>
        <row r="69">
          <cell r="A69" t="str">
            <v>Gas Distribution 374-387 GD AN 3003</v>
          </cell>
        </row>
        <row r="70">
          <cell r="A70" t="str">
            <v>Gas Distribution 374-387 GD AA 3004</v>
          </cell>
        </row>
        <row r="71">
          <cell r="A71" t="str">
            <v>Gas Distribution 374-387 GD AA 3005</v>
          </cell>
        </row>
        <row r="72">
          <cell r="A72" t="str">
            <v>Gas Distribution 374-387 GD AN 3005</v>
          </cell>
        </row>
        <row r="73">
          <cell r="A73" t="str">
            <v>Gas Distribution 374-387 GD AA 3006</v>
          </cell>
        </row>
        <row r="74">
          <cell r="A74" t="str">
            <v>Gas Distribution 374-387 GD AA 3007</v>
          </cell>
        </row>
        <row r="75">
          <cell r="A75" t="str">
            <v>Gas Distribution 374-387 GD AA 3008</v>
          </cell>
        </row>
        <row r="76">
          <cell r="A76" t="str">
            <v>Gas Distribution 374-387 GD AA 3054</v>
          </cell>
        </row>
        <row r="77">
          <cell r="A77" t="str">
            <v>Gas Distribution 374-387 GD AA 3055</v>
          </cell>
        </row>
        <row r="78">
          <cell r="A78" t="str">
            <v>Gas Distribution 374-387 GD AA 3057</v>
          </cell>
        </row>
        <row r="79">
          <cell r="A79" t="str">
            <v>Gas Distribution 374-387 GD AA 3117</v>
          </cell>
        </row>
        <row r="80">
          <cell r="A80" t="str">
            <v>Gas Distribution 374-387 ED ID</v>
          </cell>
        </row>
        <row r="81">
          <cell r="A81" t="str">
            <v>Elec Distribution 360-373 ED AN 1000</v>
          </cell>
        </row>
        <row r="82">
          <cell r="A82" t="str">
            <v>Elec Distribution 360-373 ED AN 1002</v>
          </cell>
        </row>
        <row r="83">
          <cell r="A83" t="str">
            <v>Elec Distribution 360-373 ED AN 1003</v>
          </cell>
        </row>
        <row r="84">
          <cell r="A84" t="str">
            <v>Elec Distribution 360-373 ED AN 1004</v>
          </cell>
        </row>
        <row r="85">
          <cell r="A85" t="str">
            <v>Elec Distribution 360-373 ED AN 1005</v>
          </cell>
        </row>
        <row r="86">
          <cell r="A86" t="str">
            <v>Elec Distribution 360-373 ED AN 1006</v>
          </cell>
        </row>
        <row r="87">
          <cell r="A87" t="str">
            <v>Elec Distribution 360-373 ED AN 2054</v>
          </cell>
        </row>
        <row r="88">
          <cell r="A88" t="str">
            <v>Elec Distribution 360-373 ED AN 2055</v>
          </cell>
        </row>
        <row r="89">
          <cell r="A89" t="str">
            <v>Elec Distribution 360-373 ED AN 2056</v>
          </cell>
        </row>
        <row r="90">
          <cell r="A90" t="str">
            <v>Elec Distribution 360-373 ED AN 2059</v>
          </cell>
        </row>
        <row r="91">
          <cell r="A91" t="str">
            <v>Elec Distribution 360-373 ED AN 2060</v>
          </cell>
        </row>
        <row r="92">
          <cell r="A92" t="str">
            <v>Elec Distribution 360-373 ED AN 2204</v>
          </cell>
        </row>
        <row r="93">
          <cell r="A93" t="str">
            <v>Elec Distribution 360-373 ED AN 2414</v>
          </cell>
        </row>
        <row r="94">
          <cell r="A94" t="str">
            <v>Elec Distribution 360-373 ED AN 2423</v>
          </cell>
        </row>
        <row r="95">
          <cell r="A95" t="str">
            <v>Elec Distribution 360-373 ED AN 2470</v>
          </cell>
        </row>
        <row r="96">
          <cell r="A96" t="str">
            <v>Elec Distribution 360-373 ED AN 2516</v>
          </cell>
        </row>
        <row r="97">
          <cell r="A97" t="str">
            <v>Elec Distribution 360-373 ED AN 2535</v>
          </cell>
        </row>
        <row r="98">
          <cell r="A98" t="str">
            <v>Elec Distribution 360-373 ED AN 2584</v>
          </cell>
        </row>
        <row r="99">
          <cell r="A99" t="str">
            <v>Elec Distribution 360-373 ED AN 2599</v>
          </cell>
        </row>
        <row r="100">
          <cell r="A100" t="str">
            <v>Elec Distribution 360-373 ED AN 6000</v>
          </cell>
        </row>
        <row r="101">
          <cell r="A101" t="str">
            <v>Elec Distribution 360-373 CD WA 2586</v>
          </cell>
        </row>
        <row r="102">
          <cell r="A102" t="str">
            <v>Software 303 CD WA 2586</v>
          </cell>
        </row>
        <row r="103">
          <cell r="A103" t="str">
            <v>General 389-391 / 393-395 / 397-398 CD WA 2586</v>
          </cell>
        </row>
        <row r="104">
          <cell r="A104" t="str">
            <v>Elec Distribution 360-373 CD ID 2593</v>
          </cell>
        </row>
        <row r="105">
          <cell r="A105" t="str">
            <v>None CD AA</v>
          </cell>
        </row>
      </sheetData>
      <sheetData sheetId="17"/>
      <sheetData sheetId="18"/>
      <sheetData sheetId="19">
        <row r="5">
          <cell r="B5" t="str">
            <v>Forecast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shington 2018 AMA Pickup"/>
      <sheetName val="Idaho"/>
      <sheetName val="Oregon"/>
      <sheetName val="2017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7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Hydro 331-336 ED WA</v>
          </cell>
        </row>
        <row r="35">
          <cell r="A35" t="str">
            <v>Other Elec Production / Turbines 340-346 ED AN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ED AA</v>
          </cell>
        </row>
        <row r="43">
          <cell r="A43" t="str">
            <v>Software 303 CD AN</v>
          </cell>
        </row>
        <row r="44">
          <cell r="A44" t="str">
            <v>Software 303 GD AA</v>
          </cell>
        </row>
        <row r="45">
          <cell r="A45" t="str">
            <v>Thermal 311-316 ED AN</v>
          </cell>
        </row>
        <row r="46">
          <cell r="A46" t="str">
            <v>Transportation and Tools 392 / 396 CD AA</v>
          </cell>
        </row>
        <row r="47">
          <cell r="A47" t="str">
            <v>Transportation and Tools 392 / 396 CD AN</v>
          </cell>
        </row>
        <row r="48">
          <cell r="A48" t="str">
            <v>Transportation and Tools 392 / 396 CD WA</v>
          </cell>
        </row>
        <row r="49">
          <cell r="A49" t="str">
            <v>Transportation and Tools 392 / 396 CD ID</v>
          </cell>
        </row>
        <row r="50">
          <cell r="A50" t="str">
            <v>Transportation and Tools 392 / 396 ED AN</v>
          </cell>
        </row>
        <row r="51">
          <cell r="A51" t="str">
            <v>Transportation and Tools 392 / 396 ED WA</v>
          </cell>
        </row>
        <row r="52">
          <cell r="A52" t="str">
            <v>Transportation and Tools 392 / 396 ED ID</v>
          </cell>
        </row>
        <row r="53">
          <cell r="A53" t="str">
            <v>Transportation and Tools 392 / 396 GD AN</v>
          </cell>
        </row>
        <row r="54">
          <cell r="A54" t="str">
            <v>Transportation and Tools 392 / 396 GD ID</v>
          </cell>
        </row>
        <row r="55">
          <cell r="A55" t="str">
            <v>Transportation and Tools 392 / 396 GD WA</v>
          </cell>
        </row>
        <row r="56">
          <cell r="A56" t="str">
            <v>Transportation and Tools 392 / 396 GD OR</v>
          </cell>
        </row>
        <row r="57">
          <cell r="A57" t="str">
            <v>Gas Distribution 374-387 GD AA 1001</v>
          </cell>
        </row>
        <row r="58">
          <cell r="A58" t="str">
            <v>Gas Distribution 374-387 GD AN 1001</v>
          </cell>
        </row>
        <row r="59">
          <cell r="A59" t="str">
            <v>Gas Distribution 374-387 GD AA 1050</v>
          </cell>
        </row>
        <row r="60">
          <cell r="A60" t="str">
            <v>Gas Distribution 374-387 GD AA 1051</v>
          </cell>
        </row>
        <row r="61">
          <cell r="A61" t="str">
            <v>Gas Distribution 374-387 GD AA 1053</v>
          </cell>
        </row>
        <row r="62">
          <cell r="A62" t="str">
            <v>Gas Distribution 374-387 GD AA 3000</v>
          </cell>
        </row>
        <row r="63">
          <cell r="A63" t="str">
            <v>Gas Distribution 374-387 GD AA 3001</v>
          </cell>
        </row>
        <row r="64">
          <cell r="A64" t="str">
            <v>Gas Distribution 374-387 GD AA 3002</v>
          </cell>
        </row>
        <row r="65">
          <cell r="A65" t="str">
            <v>Gas Distribution 374-387 GD AA 3003</v>
          </cell>
        </row>
        <row r="66">
          <cell r="A66" t="str">
            <v>Gas Distribution 374-387 GD AN 3003</v>
          </cell>
        </row>
        <row r="67">
          <cell r="A67" t="str">
            <v>Gas Distribution 374-387 GD AA 3004</v>
          </cell>
        </row>
        <row r="68">
          <cell r="A68" t="str">
            <v>Gas Distribution 374-387 GD AA 3005</v>
          </cell>
        </row>
        <row r="69">
          <cell r="A69" t="str">
            <v>Gas Distribution 374-387 GD AN 3005</v>
          </cell>
        </row>
        <row r="70">
          <cell r="A70" t="str">
            <v>Gas Distribution 374-387 GD AA 3006</v>
          </cell>
        </row>
        <row r="71">
          <cell r="A71" t="str">
            <v>Gas Distribution 374-387 GD AA 3007</v>
          </cell>
        </row>
        <row r="72">
          <cell r="A72" t="str">
            <v>Gas Distribution 374-387 GD AA 3008</v>
          </cell>
        </row>
        <row r="73">
          <cell r="A73" t="str">
            <v>Gas Distribution 374-387 GD AA 3054</v>
          </cell>
        </row>
        <row r="74">
          <cell r="A74" t="str">
            <v>Gas Distribution 374-387 GD AA 3055</v>
          </cell>
        </row>
        <row r="75">
          <cell r="A75" t="str">
            <v>Gas Distribution 374-387 GD AA 3057</v>
          </cell>
        </row>
        <row r="76">
          <cell r="A76" t="str">
            <v>Gas Distribution 374-387 GD AA 3117</v>
          </cell>
        </row>
        <row r="77">
          <cell r="A77" t="str">
            <v>Gas Distribution 374-387 ED ID</v>
          </cell>
        </row>
        <row r="78">
          <cell r="A78" t="str">
            <v>Elec Distribution 360-373 ED AN 1000</v>
          </cell>
        </row>
        <row r="79">
          <cell r="A79" t="str">
            <v>Elec Distribution 360-373 ED AN 1002</v>
          </cell>
        </row>
        <row r="80">
          <cell r="A80" t="str">
            <v>Elec Distribution 360-373 ED AN 1003</v>
          </cell>
        </row>
        <row r="81">
          <cell r="A81" t="str">
            <v>Elec Distribution 360-373 ED AN 1004</v>
          </cell>
        </row>
        <row r="82">
          <cell r="A82" t="str">
            <v>Elec Distribution 360-373 ED AN 1005</v>
          </cell>
        </row>
        <row r="83">
          <cell r="A83" t="str">
            <v>Elec Distribution 360-373 ED AN 1006</v>
          </cell>
        </row>
        <row r="84">
          <cell r="A84" t="str">
            <v>Elec Distribution 360-373 ED AN 2054</v>
          </cell>
        </row>
        <row r="85">
          <cell r="A85" t="str">
            <v>Elec Distribution 360-373 ED AN 2055</v>
          </cell>
        </row>
        <row r="86">
          <cell r="A86" t="str">
            <v>Elec Distribution 360-373 ED AN 2056</v>
          </cell>
        </row>
        <row r="87">
          <cell r="A87" t="str">
            <v>Elec Distribution 360-373 ED AN 2059</v>
          </cell>
        </row>
        <row r="88">
          <cell r="A88" t="str">
            <v>Elec Distribution 360-373 ED AN 2060</v>
          </cell>
        </row>
        <row r="89">
          <cell r="A89" t="str">
            <v>Elec Distribution 360-373 ED AN 2204</v>
          </cell>
        </row>
        <row r="90">
          <cell r="A90" t="str">
            <v>Elec Distribution 360-373 ED AN 2414</v>
          </cell>
        </row>
        <row r="91">
          <cell r="A91" t="str">
            <v>Elec Distribution 360-373 ED AN 2423</v>
          </cell>
        </row>
        <row r="92">
          <cell r="A92" t="str">
            <v>Elec Distribution 360-373 ED AN 2470</v>
          </cell>
        </row>
        <row r="93">
          <cell r="A93" t="str">
            <v>Elec Distribution 360-373 ED AN 2516</v>
          </cell>
        </row>
        <row r="94">
          <cell r="A94" t="str">
            <v>Elec Distribution 360-373 ED AN 2535</v>
          </cell>
        </row>
        <row r="95">
          <cell r="A95" t="str">
            <v>Elec Distribution 360-373 ED AN 2584</v>
          </cell>
        </row>
        <row r="96">
          <cell r="A96" t="str">
            <v>Elec Distribution 360-373 ED AN 2599</v>
          </cell>
        </row>
        <row r="97">
          <cell r="A97" t="str">
            <v>Elec Distribution 360-373 ED AN 6000</v>
          </cell>
        </row>
        <row r="98">
          <cell r="A98" t="str">
            <v>Elec Distribution 360-373 CD WA 2586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njamin, Tia" id="{7F3DE498-CFE2-4A14-8DE8-51C7EBD7EA6B}" userId="S::Tia.Benjamin@avistacorp.com::d4573d88-937c-4c45-a376-df9eeb1018b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3" dT="2021-02-11T00:37:02.14" personId="{7F3DE498-CFE2-4A14-8DE8-51C7EBD7EA6B}" id="{2AF566FD-2451-436D-AB74-BED760B8E7A0}">
    <text>WA wtd debt 2.48% (per 2019 WA Elec RR Model)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7757-3D28-4B53-BD5A-EB8351FF3AEA}">
  <sheetPr>
    <tabColor rgb="FF00B0F0"/>
  </sheetPr>
  <dimension ref="A1:T92"/>
  <sheetViews>
    <sheetView tabSelected="1" zoomScale="70" zoomScaleNormal="70" workbookViewId="0">
      <selection activeCell="M88" sqref="M88"/>
    </sheetView>
    <sheetView tabSelected="1" topLeftCell="A28" zoomScale="55" zoomScaleNormal="55" workbookViewId="1">
      <selection activeCell="I9" sqref="I9"/>
    </sheetView>
  </sheetViews>
  <sheetFormatPr defaultRowHeight="13.45"/>
  <cols>
    <col min="1" max="1" width="4.59765625" customWidth="1"/>
    <col min="2" max="3" width="1.69921875" customWidth="1"/>
    <col min="4" max="4" width="25.8984375" customWidth="1"/>
    <col min="5" max="5" width="7.09765625" bestFit="1" customWidth="1"/>
    <col min="6" max="7" width="7.09765625" style="223" customWidth="1"/>
    <col min="8" max="8" width="16" customWidth="1"/>
    <col min="9" max="9" width="15.3984375" customWidth="1"/>
    <col min="10" max="10" width="11.59765625" bestFit="1" customWidth="1"/>
    <col min="11" max="11" width="11.59765625" customWidth="1"/>
    <col min="13" max="13" width="15.3984375" customWidth="1"/>
    <col min="15" max="15" width="8.796875" style="114"/>
  </cols>
  <sheetData>
    <row r="1" spans="1:20">
      <c r="A1" s="32"/>
      <c r="B1" s="33"/>
      <c r="C1" s="33"/>
      <c r="D1" s="257"/>
      <c r="E1" s="257"/>
      <c r="F1" s="257"/>
      <c r="G1" s="257"/>
      <c r="H1" s="257"/>
      <c r="J1" s="114" t="s">
        <v>154</v>
      </c>
    </row>
    <row r="2" spans="1:20">
      <c r="A2" s="34" t="s">
        <v>49</v>
      </c>
      <c r="B2" s="33"/>
      <c r="C2" s="33"/>
      <c r="D2" s="32"/>
      <c r="E2" s="32"/>
      <c r="F2" s="32"/>
      <c r="G2" s="32"/>
      <c r="H2" s="110" t="s">
        <v>114</v>
      </c>
      <c r="I2" s="230" t="s">
        <v>176</v>
      </c>
      <c r="J2" s="258" t="s">
        <v>303</v>
      </c>
      <c r="K2" s="258"/>
      <c r="M2" s="230" t="s">
        <v>295</v>
      </c>
    </row>
    <row r="3" spans="1:20">
      <c r="A3" s="34" t="s">
        <v>50</v>
      </c>
      <c r="B3" s="33"/>
      <c r="C3" s="33"/>
      <c r="D3" s="32"/>
      <c r="E3" s="32"/>
      <c r="F3" s="32"/>
      <c r="G3" s="32"/>
      <c r="H3" s="71"/>
      <c r="I3" s="70"/>
      <c r="J3" s="259" t="s">
        <v>150</v>
      </c>
      <c r="K3" s="259"/>
      <c r="M3" s="70"/>
    </row>
    <row r="4" spans="1:20">
      <c r="A4" s="34" t="s">
        <v>51</v>
      </c>
      <c r="B4" s="33"/>
      <c r="C4" s="33"/>
      <c r="D4" s="32"/>
      <c r="E4" s="32"/>
      <c r="F4" s="32"/>
      <c r="G4" s="32"/>
      <c r="H4" s="73"/>
      <c r="I4" s="72"/>
      <c r="J4" s="72"/>
      <c r="K4" s="72"/>
      <c r="M4" s="72"/>
    </row>
    <row r="5" spans="1:20">
      <c r="A5" s="34" t="s">
        <v>52</v>
      </c>
      <c r="B5" s="33"/>
      <c r="C5" s="33"/>
      <c r="D5" s="32"/>
      <c r="E5" s="32"/>
      <c r="F5" s="32"/>
      <c r="G5" s="32"/>
      <c r="H5" s="74"/>
      <c r="I5" s="72"/>
      <c r="J5" s="72"/>
      <c r="K5" s="72"/>
      <c r="M5" s="72"/>
    </row>
    <row r="6" spans="1:20">
      <c r="A6" s="36"/>
      <c r="B6" s="37"/>
      <c r="C6" s="37"/>
      <c r="D6" s="37"/>
      <c r="E6" s="37"/>
      <c r="F6" s="37"/>
      <c r="G6" s="37"/>
      <c r="H6" s="37"/>
    </row>
    <row r="7" spans="1:20">
      <c r="A7" s="38"/>
      <c r="B7" s="39"/>
      <c r="C7" s="40"/>
      <c r="D7" s="40"/>
      <c r="E7" s="40"/>
      <c r="F7" s="40"/>
      <c r="G7" s="40"/>
      <c r="H7" s="38" t="s">
        <v>107</v>
      </c>
      <c r="I7" s="38" t="s">
        <v>107</v>
      </c>
      <c r="M7" s="38" t="s">
        <v>107</v>
      </c>
      <c r="O7" s="114" t="s">
        <v>296</v>
      </c>
    </row>
    <row r="8" spans="1:20">
      <c r="A8" s="41" t="s">
        <v>53</v>
      </c>
      <c r="B8" s="42"/>
      <c r="C8" s="37"/>
      <c r="D8" s="37"/>
      <c r="E8" s="37"/>
      <c r="F8" s="37"/>
      <c r="G8" s="37"/>
      <c r="H8" s="35" t="s">
        <v>108</v>
      </c>
      <c r="I8" s="35" t="s">
        <v>108</v>
      </c>
      <c r="J8" s="83"/>
      <c r="K8" s="83"/>
      <c r="M8" s="35" t="s">
        <v>108</v>
      </c>
    </row>
    <row r="9" spans="1:20">
      <c r="A9" s="43" t="s">
        <v>54</v>
      </c>
      <c r="B9" s="44"/>
      <c r="C9" s="45"/>
      <c r="D9" s="45" t="s">
        <v>55</v>
      </c>
      <c r="E9" s="45"/>
      <c r="F9" s="45"/>
      <c r="G9" s="45"/>
      <c r="H9" s="46" t="s">
        <v>109</v>
      </c>
      <c r="I9" s="46" t="s">
        <v>109</v>
      </c>
      <c r="J9" s="83"/>
      <c r="K9" s="83"/>
      <c r="M9" s="46" t="s">
        <v>109</v>
      </c>
    </row>
    <row r="10" spans="1:20">
      <c r="A10" s="47"/>
      <c r="B10" s="48" t="s">
        <v>56</v>
      </c>
      <c r="C10" s="47"/>
      <c r="D10" s="47"/>
      <c r="E10" s="47"/>
      <c r="F10" s="47"/>
      <c r="G10" s="47"/>
      <c r="H10" s="49">
        <v>3.1699999999999964</v>
      </c>
      <c r="I10" s="49">
        <v>3.1699999999999964</v>
      </c>
      <c r="J10" s="83"/>
      <c r="K10" s="83"/>
      <c r="M10" s="49">
        <v>3.1699999999999964</v>
      </c>
    </row>
    <row r="11" spans="1:20">
      <c r="A11" s="47"/>
      <c r="B11" s="48" t="s">
        <v>57</v>
      </c>
      <c r="C11" s="47"/>
      <c r="D11" s="47"/>
      <c r="E11" s="47"/>
      <c r="F11" s="47"/>
      <c r="G11" s="47"/>
      <c r="H11" s="49" t="s">
        <v>110</v>
      </c>
      <c r="I11" s="49" t="s">
        <v>110</v>
      </c>
      <c r="J11" s="83"/>
      <c r="K11" s="83"/>
      <c r="M11" s="49" t="s">
        <v>110</v>
      </c>
    </row>
    <row r="12" spans="1:20">
      <c r="A12" s="47"/>
      <c r="B12" s="48"/>
      <c r="C12" s="47"/>
      <c r="D12" s="47"/>
      <c r="E12" s="47"/>
      <c r="F12" s="47"/>
      <c r="G12" s="47"/>
      <c r="H12" s="49"/>
      <c r="I12" s="49"/>
      <c r="J12" s="83"/>
      <c r="K12" s="83"/>
      <c r="L12" s="99"/>
      <c r="M12" s="49"/>
      <c r="N12" s="99"/>
      <c r="O12" s="224"/>
      <c r="P12" s="99"/>
      <c r="Q12" s="99"/>
      <c r="R12" s="99"/>
      <c r="S12" s="99"/>
      <c r="T12" s="99"/>
    </row>
    <row r="13" spans="1:20">
      <c r="A13" s="32"/>
      <c r="B13" s="33" t="s">
        <v>58</v>
      </c>
      <c r="C13" s="33"/>
      <c r="D13" s="33"/>
      <c r="E13" s="33"/>
      <c r="F13" s="33"/>
      <c r="G13" s="33"/>
      <c r="H13" s="50"/>
      <c r="I13" s="50"/>
      <c r="J13" s="83"/>
      <c r="K13" s="83"/>
      <c r="M13" s="50"/>
    </row>
    <row r="14" spans="1:20">
      <c r="A14" s="51">
        <v>1</v>
      </c>
      <c r="B14" s="52" t="s">
        <v>59</v>
      </c>
      <c r="C14" s="52"/>
      <c r="D14" s="52"/>
      <c r="E14" s="52"/>
      <c r="F14" s="52"/>
      <c r="G14" s="52"/>
      <c r="H14" s="52">
        <v>0</v>
      </c>
      <c r="I14" s="52">
        <v>0</v>
      </c>
      <c r="J14" s="84"/>
      <c r="K14" s="84"/>
      <c r="M14" s="52">
        <v>0</v>
      </c>
      <c r="O14" s="225">
        <f t="shared" ref="O14:O19" si="0">+M14-H14</f>
        <v>0</v>
      </c>
    </row>
    <row r="15" spans="1:20">
      <c r="A15" s="51">
        <v>2</v>
      </c>
      <c r="B15" s="53" t="s">
        <v>60</v>
      </c>
      <c r="C15" s="53"/>
      <c r="D15" s="53"/>
      <c r="E15" s="53"/>
      <c r="F15" s="53"/>
      <c r="G15" s="53"/>
      <c r="H15" s="53">
        <v>0</v>
      </c>
      <c r="I15" s="53">
        <v>0</v>
      </c>
      <c r="J15" s="84"/>
      <c r="K15" s="84"/>
      <c r="M15" s="53">
        <v>0</v>
      </c>
      <c r="O15" s="225">
        <f t="shared" si="0"/>
        <v>0</v>
      </c>
    </row>
    <row r="16" spans="1:20">
      <c r="A16" s="51">
        <v>3</v>
      </c>
      <c r="B16" s="53" t="s">
        <v>61</v>
      </c>
      <c r="C16" s="53"/>
      <c r="D16" s="53"/>
      <c r="E16" s="53"/>
      <c r="F16" s="53"/>
      <c r="G16" s="53"/>
      <c r="H16" s="54">
        <v>0</v>
      </c>
      <c r="I16" s="54">
        <v>0</v>
      </c>
      <c r="J16" s="84"/>
      <c r="K16" s="84"/>
      <c r="M16" s="54">
        <v>0</v>
      </c>
      <c r="O16" s="226">
        <f t="shared" si="0"/>
        <v>0</v>
      </c>
    </row>
    <row r="17" spans="1:15">
      <c r="A17" s="51">
        <v>4</v>
      </c>
      <c r="B17" s="53" t="s">
        <v>62</v>
      </c>
      <c r="C17" s="53"/>
      <c r="D17" s="53"/>
      <c r="E17" s="53"/>
      <c r="F17" s="53"/>
      <c r="G17" s="53"/>
      <c r="H17" s="53">
        <v>0</v>
      </c>
      <c r="I17" s="53">
        <v>0</v>
      </c>
      <c r="J17" s="84"/>
      <c r="K17" s="84"/>
      <c r="M17" s="53">
        <v>0</v>
      </c>
      <c r="O17" s="225">
        <f t="shared" si="0"/>
        <v>0</v>
      </c>
    </row>
    <row r="18" spans="1:15">
      <c r="A18" s="51">
        <v>5</v>
      </c>
      <c r="B18" s="53" t="s">
        <v>63</v>
      </c>
      <c r="C18" s="53"/>
      <c r="D18" s="53"/>
      <c r="E18" s="53"/>
      <c r="F18" s="53"/>
      <c r="G18" s="53"/>
      <c r="H18" s="54">
        <v>0</v>
      </c>
      <c r="I18" s="54">
        <v>0</v>
      </c>
      <c r="J18" s="84"/>
      <c r="K18" s="84"/>
      <c r="M18" s="54">
        <v>0</v>
      </c>
      <c r="O18" s="226">
        <f t="shared" si="0"/>
        <v>0</v>
      </c>
    </row>
    <row r="19" spans="1:15">
      <c r="A19" s="51">
        <v>6</v>
      </c>
      <c r="B19" s="53" t="s">
        <v>64</v>
      </c>
      <c r="C19" s="53"/>
      <c r="D19" s="53"/>
      <c r="E19" s="53"/>
      <c r="F19" s="53"/>
      <c r="G19" s="53"/>
      <c r="H19" s="53">
        <v>0</v>
      </c>
      <c r="I19" s="53">
        <v>0</v>
      </c>
      <c r="J19" s="84"/>
      <c r="K19" s="84"/>
      <c r="M19" s="53">
        <v>0</v>
      </c>
      <c r="O19" s="225">
        <f t="shared" si="0"/>
        <v>0</v>
      </c>
    </row>
    <row r="20" spans="1:15">
      <c r="A20" s="51"/>
      <c r="B20" s="53"/>
      <c r="C20" s="53"/>
      <c r="D20" s="53"/>
      <c r="E20" s="53"/>
      <c r="F20" s="53"/>
      <c r="G20" s="53"/>
      <c r="H20" s="53"/>
      <c r="I20" s="53"/>
      <c r="J20" s="84"/>
      <c r="K20" s="84"/>
      <c r="M20" s="53"/>
    </row>
    <row r="21" spans="1:15">
      <c r="A21" s="51"/>
      <c r="B21" s="53" t="s">
        <v>65</v>
      </c>
      <c r="C21" s="53"/>
      <c r="D21" s="53"/>
      <c r="E21" s="53"/>
      <c r="F21" s="53"/>
      <c r="G21" s="53"/>
      <c r="H21" s="53"/>
      <c r="I21" s="53"/>
      <c r="J21" s="84"/>
      <c r="K21" s="84"/>
      <c r="M21" s="53"/>
    </row>
    <row r="22" spans="1:15">
      <c r="A22" s="51"/>
      <c r="B22" s="53" t="s">
        <v>66</v>
      </c>
      <c r="C22" s="53"/>
      <c r="D22" s="53"/>
      <c r="E22" s="53"/>
      <c r="F22" s="53"/>
      <c r="G22" s="53"/>
      <c r="H22" s="53"/>
      <c r="I22" s="53"/>
      <c r="J22" s="84"/>
      <c r="K22" s="84"/>
      <c r="L22" s="83"/>
      <c r="M22" s="53"/>
    </row>
    <row r="23" spans="1:15">
      <c r="A23" s="51">
        <v>7</v>
      </c>
      <c r="B23" s="53"/>
      <c r="C23" s="53" t="s">
        <v>67</v>
      </c>
      <c r="D23" s="53"/>
      <c r="E23" s="53"/>
      <c r="F23" s="53"/>
      <c r="G23" s="53"/>
      <c r="H23" s="98">
        <v>995</v>
      </c>
      <c r="I23" s="98">
        <v>995</v>
      </c>
      <c r="J23" s="84">
        <f t="shared" ref="J23:J77" si="1">+I23-H23</f>
        <v>0</v>
      </c>
      <c r="K23" s="84"/>
      <c r="L23" s="83"/>
      <c r="M23" s="98">
        <f>+'StaffO&amp;M Calculation'!M6</f>
        <v>795.60680000000002</v>
      </c>
      <c r="O23" s="225">
        <f>+M23-H23</f>
        <v>-199.39319999999998</v>
      </c>
    </row>
    <row r="24" spans="1:15">
      <c r="A24" s="51">
        <v>8</v>
      </c>
      <c r="B24" s="53"/>
      <c r="C24" s="53" t="s">
        <v>68</v>
      </c>
      <c r="D24" s="53"/>
      <c r="E24" s="53"/>
      <c r="F24" s="53"/>
      <c r="G24" s="53"/>
      <c r="H24" s="53">
        <v>0</v>
      </c>
      <c r="I24" s="53">
        <v>0</v>
      </c>
      <c r="J24" s="84"/>
      <c r="K24" s="84"/>
      <c r="L24" s="83"/>
      <c r="M24" s="53">
        <v>0</v>
      </c>
      <c r="O24" s="225">
        <f t="shared" ref="O24:O27" si="2">+M24-H24</f>
        <v>0</v>
      </c>
    </row>
    <row r="25" spans="1:15">
      <c r="A25" s="51">
        <v>9</v>
      </c>
      <c r="B25" s="53"/>
      <c r="C25" s="53" t="s">
        <v>69</v>
      </c>
      <c r="D25" s="53"/>
      <c r="E25" s="53"/>
      <c r="F25" s="53"/>
      <c r="G25" s="53"/>
      <c r="H25" s="53">
        <f>+('ADJ-E'!O38)/1000</f>
        <v>97.406445229000028</v>
      </c>
      <c r="I25" s="113">
        <f>+('ADJ-E'!O17)/1000</f>
        <v>51.747064073507161</v>
      </c>
      <c r="J25" s="84">
        <f t="shared" si="1"/>
        <v>-45.659381155492866</v>
      </c>
      <c r="K25" s="83"/>
      <c r="M25" s="113">
        <f>+('ADJ-E'!S17)/1000</f>
        <v>0</v>
      </c>
      <c r="O25" s="225">
        <f t="shared" si="2"/>
        <v>-97.406445229000028</v>
      </c>
    </row>
    <row r="26" spans="1:15">
      <c r="A26" s="51">
        <v>10</v>
      </c>
      <c r="B26" s="53"/>
      <c r="C26" s="53" t="s">
        <v>70</v>
      </c>
      <c r="D26" s="53"/>
      <c r="E26" s="53"/>
      <c r="F26" s="53"/>
      <c r="G26" s="53"/>
      <c r="H26" s="53">
        <v>0</v>
      </c>
      <c r="I26" s="53">
        <v>0</v>
      </c>
      <c r="J26" s="84"/>
      <c r="K26" s="84"/>
      <c r="L26" s="83"/>
      <c r="M26" s="53">
        <v>0</v>
      </c>
      <c r="O26" s="225">
        <f t="shared" si="2"/>
        <v>0</v>
      </c>
    </row>
    <row r="27" spans="1:15">
      <c r="A27" s="51">
        <v>11</v>
      </c>
      <c r="B27" s="53"/>
      <c r="C27" s="53" t="s">
        <v>71</v>
      </c>
      <c r="D27" s="53"/>
      <c r="E27" s="53"/>
      <c r="F27" s="53"/>
      <c r="G27" s="53"/>
      <c r="H27" s="54">
        <v>0</v>
      </c>
      <c r="I27" s="54">
        <v>0</v>
      </c>
      <c r="J27" s="84"/>
      <c r="K27" s="84"/>
      <c r="L27" s="83"/>
      <c r="M27" s="54">
        <v>0</v>
      </c>
      <c r="O27" s="226">
        <f t="shared" si="2"/>
        <v>0</v>
      </c>
    </row>
    <row r="28" spans="1:15" ht="12.9">
      <c r="A28" s="51">
        <v>12</v>
      </c>
      <c r="B28" s="53" t="s">
        <v>72</v>
      </c>
      <c r="C28" s="53"/>
      <c r="D28" s="53"/>
      <c r="E28" s="53"/>
      <c r="F28" s="53"/>
      <c r="G28" s="53"/>
      <c r="H28" s="50">
        <f t="shared" ref="H28:I28" si="3">SUM(H23:H27)</f>
        <v>1092.4064452289999</v>
      </c>
      <c r="I28" s="50">
        <f t="shared" si="3"/>
        <v>1046.7470640735071</v>
      </c>
      <c r="J28" s="84">
        <f t="shared" si="1"/>
        <v>-45.659381155492838</v>
      </c>
      <c r="K28" s="84"/>
      <c r="L28" s="83"/>
      <c r="M28" s="50">
        <f t="shared" ref="M28:O28" si="4">SUM(M23:M27)</f>
        <v>795.60680000000002</v>
      </c>
      <c r="O28" s="50">
        <f t="shared" si="4"/>
        <v>-296.79964522900002</v>
      </c>
    </row>
    <row r="29" spans="1:15">
      <c r="A29" s="51"/>
      <c r="B29" s="53"/>
      <c r="C29" s="53"/>
      <c r="D29" s="53"/>
      <c r="E29" s="53"/>
      <c r="F29" s="53"/>
      <c r="G29" s="53"/>
      <c r="H29" s="53"/>
      <c r="I29" s="53"/>
      <c r="J29" s="84"/>
      <c r="K29" s="84"/>
      <c r="L29" s="83"/>
      <c r="M29" s="53"/>
    </row>
    <row r="30" spans="1:15">
      <c r="A30" s="51"/>
      <c r="B30" s="53" t="s">
        <v>73</v>
      </c>
      <c r="C30" s="53"/>
      <c r="D30" s="53"/>
      <c r="E30" s="53"/>
      <c r="F30" s="53"/>
      <c r="G30" s="53"/>
      <c r="H30" s="53"/>
      <c r="I30" s="53"/>
      <c r="J30" s="84"/>
      <c r="K30" s="84"/>
      <c r="L30" s="83"/>
      <c r="M30" s="53"/>
    </row>
    <row r="31" spans="1:15">
      <c r="A31" s="51">
        <v>13</v>
      </c>
      <c r="B31" s="53"/>
      <c r="C31" s="53" t="s">
        <v>67</v>
      </c>
      <c r="D31" s="53"/>
      <c r="E31" s="53"/>
      <c r="F31" s="53"/>
      <c r="G31" s="53"/>
      <c r="H31" s="98">
        <v>3030</v>
      </c>
      <c r="I31" s="98">
        <v>3030</v>
      </c>
      <c r="J31" s="84">
        <f t="shared" si="1"/>
        <v>0</v>
      </c>
      <c r="K31" s="84"/>
      <c r="L31" s="83"/>
      <c r="M31" s="98">
        <f>+'StaffO&amp;M Calculation'!M12</f>
        <v>736.99620200000004</v>
      </c>
      <c r="O31" s="225">
        <f t="shared" ref="O31:O34" si="5">+M31-H31</f>
        <v>-2293.0037979999997</v>
      </c>
    </row>
    <row r="32" spans="1:15">
      <c r="A32" s="51">
        <v>14</v>
      </c>
      <c r="B32" s="53"/>
      <c r="C32" s="53" t="s">
        <v>74</v>
      </c>
      <c r="D32" s="53"/>
      <c r="E32" s="53"/>
      <c r="F32" s="53"/>
      <c r="G32" s="53"/>
      <c r="H32" s="53">
        <f>+('ADJ-E'!O37)/1000</f>
        <v>215.78291511145841</v>
      </c>
      <c r="I32" s="113">
        <f>+('ADJ-E'!O16)/1000</f>
        <v>215.9911230083197</v>
      </c>
      <c r="J32" s="84">
        <f t="shared" si="1"/>
        <v>0.20820789686129615</v>
      </c>
      <c r="K32" s="84"/>
      <c r="L32" s="83"/>
      <c r="M32" s="113">
        <f>+'ADJ-E'!Q16/1000</f>
        <v>2.9148663585416665</v>
      </c>
      <c r="O32" s="225">
        <f t="shared" si="5"/>
        <v>-212.86804875291674</v>
      </c>
    </row>
    <row r="33" spans="1:15">
      <c r="A33" s="51"/>
      <c r="B33" s="53"/>
      <c r="C33" s="53" t="s">
        <v>70</v>
      </c>
      <c r="D33" s="53"/>
      <c r="E33" s="53"/>
      <c r="F33" s="53"/>
      <c r="G33" s="53"/>
      <c r="H33" s="53"/>
      <c r="I33" s="53"/>
      <c r="J33" s="84"/>
      <c r="K33" s="84"/>
      <c r="L33" s="83"/>
      <c r="M33" s="53"/>
      <c r="O33" s="225">
        <f t="shared" si="5"/>
        <v>0</v>
      </c>
    </row>
    <row r="34" spans="1:15">
      <c r="A34" s="51">
        <v>15</v>
      </c>
      <c r="B34" s="53"/>
      <c r="C34" s="53" t="s">
        <v>71</v>
      </c>
      <c r="D34" s="53"/>
      <c r="E34" s="53"/>
      <c r="F34" s="53"/>
      <c r="G34" s="53"/>
      <c r="H34" s="54">
        <v>0</v>
      </c>
      <c r="I34" s="54">
        <v>0</v>
      </c>
      <c r="J34" s="84"/>
      <c r="K34" s="84"/>
      <c r="M34" s="54">
        <v>0</v>
      </c>
      <c r="O34" s="226">
        <f t="shared" si="5"/>
        <v>0</v>
      </c>
    </row>
    <row r="35" spans="1:15" ht="12.9">
      <c r="A35" s="51">
        <v>16</v>
      </c>
      <c r="B35" s="53" t="s">
        <v>75</v>
      </c>
      <c r="C35" s="53"/>
      <c r="D35" s="53"/>
      <c r="E35" s="53"/>
      <c r="F35" s="53"/>
      <c r="G35" s="53"/>
      <c r="H35" s="50">
        <f>SUM(H31:H34)</f>
        <v>3245.7829151114584</v>
      </c>
      <c r="I35" s="50">
        <f t="shared" ref="I35" si="6">SUM(I31:I34)</f>
        <v>3245.9911230083198</v>
      </c>
      <c r="J35" s="84">
        <f t="shared" si="1"/>
        <v>0.2082078968614951</v>
      </c>
      <c r="K35" s="84"/>
      <c r="M35" s="50">
        <f t="shared" ref="M35:O35" si="7">SUM(M31:M34)</f>
        <v>739.91106835854168</v>
      </c>
      <c r="O35" s="50">
        <f t="shared" si="7"/>
        <v>-2505.8718467529166</v>
      </c>
    </row>
    <row r="36" spans="1:15">
      <c r="A36" s="53"/>
      <c r="B36" s="53"/>
      <c r="C36" s="53"/>
      <c r="D36" s="53"/>
      <c r="E36" s="53"/>
      <c r="F36" s="53"/>
      <c r="G36" s="53"/>
      <c r="H36" s="53"/>
      <c r="I36" s="53"/>
      <c r="J36" s="84"/>
      <c r="K36" s="84"/>
      <c r="M36" s="53"/>
    </row>
    <row r="37" spans="1:15">
      <c r="A37" s="51">
        <v>17</v>
      </c>
      <c r="B37" s="53" t="s">
        <v>76</v>
      </c>
      <c r="C37" s="53"/>
      <c r="D37" s="53"/>
      <c r="E37" s="53"/>
      <c r="F37" s="53"/>
      <c r="G37" s="53"/>
      <c r="H37" s="53">
        <v>0</v>
      </c>
      <c r="I37" s="53">
        <v>0</v>
      </c>
      <c r="J37" s="84"/>
      <c r="K37" s="84"/>
      <c r="M37" s="53">
        <v>0</v>
      </c>
      <c r="O37" s="225">
        <f t="shared" ref="O37:O45" si="8">+M37-H37</f>
        <v>0</v>
      </c>
    </row>
    <row r="38" spans="1:15">
      <c r="A38" s="51">
        <v>18</v>
      </c>
      <c r="B38" s="53" t="s">
        <v>77</v>
      </c>
      <c r="C38" s="53"/>
      <c r="D38" s="53"/>
      <c r="E38" s="53"/>
      <c r="F38" s="53"/>
      <c r="G38" s="53"/>
      <c r="H38" s="53">
        <v>0</v>
      </c>
      <c r="I38" s="53">
        <v>0</v>
      </c>
      <c r="J38" s="84"/>
      <c r="K38" s="84"/>
      <c r="M38" s="53">
        <v>0</v>
      </c>
      <c r="O38" s="225">
        <f t="shared" si="8"/>
        <v>0</v>
      </c>
    </row>
    <row r="39" spans="1:15">
      <c r="A39" s="51">
        <v>19</v>
      </c>
      <c r="B39" s="53" t="s">
        <v>78</v>
      </c>
      <c r="C39" s="53"/>
      <c r="D39" s="53"/>
      <c r="E39" s="53"/>
      <c r="F39" s="53"/>
      <c r="G39" s="53"/>
      <c r="H39" s="53">
        <v>0</v>
      </c>
      <c r="I39" s="53">
        <v>0</v>
      </c>
      <c r="J39" s="84"/>
      <c r="K39" s="84"/>
      <c r="M39" s="53">
        <v>0</v>
      </c>
      <c r="O39" s="225">
        <f t="shared" si="8"/>
        <v>0</v>
      </c>
    </row>
    <row r="40" spans="1:15">
      <c r="A40" s="51"/>
      <c r="B40" s="53"/>
      <c r="C40" s="53"/>
      <c r="D40" s="53"/>
      <c r="E40" s="53"/>
      <c r="F40" s="53"/>
      <c r="G40" s="53"/>
      <c r="H40" s="53"/>
      <c r="I40" s="53"/>
      <c r="J40" s="84"/>
      <c r="K40" s="84"/>
      <c r="M40" s="53"/>
      <c r="O40" s="225"/>
    </row>
    <row r="41" spans="1:15">
      <c r="A41" s="53"/>
      <c r="B41" s="53" t="s">
        <v>79</v>
      </c>
      <c r="C41" s="53"/>
      <c r="D41" s="53"/>
      <c r="E41" s="53"/>
      <c r="F41" s="53"/>
      <c r="G41" s="53"/>
      <c r="H41" s="53"/>
      <c r="I41" s="53"/>
      <c r="J41" s="84"/>
      <c r="K41" s="84"/>
      <c r="M41" s="53"/>
      <c r="O41" s="225"/>
    </row>
    <row r="42" spans="1:15">
      <c r="A42" s="51">
        <v>20</v>
      </c>
      <c r="B42" s="53"/>
      <c r="C42" s="53" t="s">
        <v>67</v>
      </c>
      <c r="D42" s="53"/>
      <c r="E42" s="53"/>
      <c r="F42" s="53"/>
      <c r="G42" s="53"/>
      <c r="H42" s="53">
        <v>0</v>
      </c>
      <c r="I42" s="53">
        <v>0</v>
      </c>
      <c r="J42" s="84"/>
      <c r="K42" s="84"/>
      <c r="M42" s="53">
        <v>0</v>
      </c>
      <c r="O42" s="225">
        <f t="shared" si="8"/>
        <v>0</v>
      </c>
    </row>
    <row r="43" spans="1:15">
      <c r="A43" s="51">
        <v>21</v>
      </c>
      <c r="B43" s="53"/>
      <c r="C43" s="53" t="s">
        <v>74</v>
      </c>
      <c r="D43" s="53"/>
      <c r="E43" s="53"/>
      <c r="F43" s="53"/>
      <c r="G43" s="53"/>
      <c r="H43" s="53">
        <f>+'ADJ-E'!O39</f>
        <v>0</v>
      </c>
      <c r="I43" s="113">
        <f>('ADJ-E'!O18)/1000</f>
        <v>48.457347182612487</v>
      </c>
      <c r="J43" s="84"/>
      <c r="K43" s="84"/>
      <c r="M43" s="113">
        <f>+'ADJ-E'!Q17/1000</f>
        <v>0.26454191441329999</v>
      </c>
      <c r="O43" s="225">
        <f t="shared" si="8"/>
        <v>0.26454191441329999</v>
      </c>
    </row>
    <row r="44" spans="1:15">
      <c r="A44" s="51">
        <v>22</v>
      </c>
      <c r="B44" s="53"/>
      <c r="C44" s="53" t="s">
        <v>80</v>
      </c>
      <c r="D44" s="53"/>
      <c r="E44" s="53"/>
      <c r="F44" s="53"/>
      <c r="G44" s="53"/>
      <c r="H44" s="53">
        <v>0</v>
      </c>
      <c r="I44" s="53">
        <v>0</v>
      </c>
      <c r="J44" s="84"/>
      <c r="K44" s="84"/>
      <c r="M44" s="53">
        <v>0</v>
      </c>
      <c r="O44" s="225">
        <f t="shared" si="8"/>
        <v>0</v>
      </c>
    </row>
    <row r="45" spans="1:15">
      <c r="A45" s="51">
        <v>23</v>
      </c>
      <c r="B45" s="53"/>
      <c r="C45" s="53" t="s">
        <v>71</v>
      </c>
      <c r="D45" s="53"/>
      <c r="E45" s="53"/>
      <c r="F45" s="53"/>
      <c r="G45" s="53"/>
      <c r="H45" s="54">
        <v>0</v>
      </c>
      <c r="I45" s="54">
        <v>0</v>
      </c>
      <c r="J45" s="84"/>
      <c r="K45" s="84"/>
      <c r="M45" s="54">
        <v>0</v>
      </c>
      <c r="O45" s="225">
        <f t="shared" si="8"/>
        <v>0</v>
      </c>
    </row>
    <row r="46" spans="1:15">
      <c r="A46" s="51">
        <v>24</v>
      </c>
      <c r="B46" s="53" t="s">
        <v>81</v>
      </c>
      <c r="C46" s="53"/>
      <c r="D46" s="53"/>
      <c r="E46" s="53"/>
      <c r="F46" s="53"/>
      <c r="G46" s="53"/>
      <c r="H46" s="67">
        <f>SUM(H42:H45)</f>
        <v>0</v>
      </c>
      <c r="I46" s="67">
        <f>SUM(I42:I45)</f>
        <v>48.457347182612487</v>
      </c>
      <c r="J46" s="84"/>
      <c r="K46" s="84"/>
      <c r="M46" s="67">
        <f>SUM(M42:M45)</f>
        <v>0.26454191441329999</v>
      </c>
      <c r="O46" s="227"/>
    </row>
    <row r="47" spans="1:15" ht="12.9">
      <c r="A47" s="51">
        <v>25</v>
      </c>
      <c r="B47" s="53" t="s">
        <v>82</v>
      </c>
      <c r="C47" s="53"/>
      <c r="D47" s="53"/>
      <c r="E47" s="53"/>
      <c r="F47" s="53"/>
      <c r="G47" s="53"/>
      <c r="H47" s="62">
        <f t="shared" ref="H47" si="9">H46+H39+H38+H37+H35+H28</f>
        <v>4338.1893603404587</v>
      </c>
      <c r="I47" s="62">
        <f>I46+I39+I38+I37+I35+I28</f>
        <v>4341.1955342644396</v>
      </c>
      <c r="J47" s="106">
        <f t="shared" si="1"/>
        <v>3.0061739239808958</v>
      </c>
      <c r="K47" s="105"/>
      <c r="M47" s="62">
        <f>M46+M39+M38+M37+M35+M28</f>
        <v>1535.7824102729551</v>
      </c>
      <c r="O47" s="62">
        <f>O46+O39+O38+O37+O35+O28</f>
        <v>-2802.6714919819165</v>
      </c>
    </row>
    <row r="48" spans="1:15">
      <c r="A48" s="53"/>
      <c r="B48" s="53"/>
      <c r="C48" s="53"/>
      <c r="D48" s="53"/>
      <c r="E48" s="53"/>
      <c r="F48" s="53"/>
      <c r="G48" s="53"/>
      <c r="H48" s="53"/>
      <c r="I48" s="53"/>
      <c r="J48" s="84"/>
      <c r="K48" s="84"/>
      <c r="M48" s="53"/>
    </row>
    <row r="49" spans="1:15" ht="12.9">
      <c r="A49" s="51">
        <v>26</v>
      </c>
      <c r="B49" s="53" t="s">
        <v>83</v>
      </c>
      <c r="C49" s="53"/>
      <c r="D49" s="53"/>
      <c r="E49" s="53"/>
      <c r="F49" s="53"/>
      <c r="G49" s="53"/>
      <c r="H49" s="50">
        <f>H19-H47</f>
        <v>-4338.1893603404587</v>
      </c>
      <c r="I49" s="50">
        <f>I19-I47</f>
        <v>-4341.1955342644396</v>
      </c>
      <c r="J49" s="84">
        <f t="shared" si="1"/>
        <v>-3.0061739239808958</v>
      </c>
      <c r="K49" s="84"/>
      <c r="M49" s="50">
        <f>M19-M47</f>
        <v>-1535.7824102729551</v>
      </c>
      <c r="O49" s="50">
        <f>O19-O47</f>
        <v>2802.6714919819165</v>
      </c>
    </row>
    <row r="50" spans="1:15">
      <c r="A50" s="51"/>
      <c r="B50" s="53"/>
      <c r="C50" s="53"/>
      <c r="D50" s="53"/>
      <c r="E50" s="53"/>
      <c r="F50" s="53"/>
      <c r="G50" s="53"/>
      <c r="H50" s="53"/>
      <c r="I50" s="53"/>
      <c r="J50" s="84"/>
      <c r="K50" s="84"/>
      <c r="M50" s="53"/>
    </row>
    <row r="51" spans="1:15">
      <c r="A51" s="55"/>
      <c r="B51" s="53" t="s">
        <v>84</v>
      </c>
      <c r="C51" s="53"/>
      <c r="D51" s="53"/>
      <c r="E51" s="53"/>
      <c r="F51" s="53"/>
      <c r="G51" s="53"/>
      <c r="H51" s="53"/>
      <c r="I51" s="53"/>
      <c r="J51" s="84"/>
      <c r="K51" s="84"/>
      <c r="M51" s="53"/>
    </row>
    <row r="52" spans="1:15">
      <c r="A52" s="51">
        <v>27</v>
      </c>
      <c r="B52" s="53" t="s">
        <v>85</v>
      </c>
      <c r="C52" s="53"/>
      <c r="D52" s="56"/>
      <c r="E52" s="56"/>
      <c r="F52" s="56"/>
      <c r="G52" s="56"/>
      <c r="H52" s="50">
        <f>H49*0.21</f>
        <v>-911.01976567149632</v>
      </c>
      <c r="I52" s="50">
        <f>I49*0.21</f>
        <v>-911.65106219553229</v>
      </c>
      <c r="J52" s="84">
        <f t="shared" si="1"/>
        <v>-0.63129652403597447</v>
      </c>
      <c r="K52" s="84"/>
      <c r="M52" s="50">
        <f>M49*0.21</f>
        <v>-322.51430615732056</v>
      </c>
      <c r="O52" s="225">
        <f t="shared" ref="O52:O57" si="10">+M52-H52</f>
        <v>588.50545951417575</v>
      </c>
    </row>
    <row r="53" spans="1:15">
      <c r="A53" s="51">
        <v>28</v>
      </c>
      <c r="B53" s="53" t="s">
        <v>86</v>
      </c>
      <c r="C53" s="53"/>
      <c r="D53" s="53"/>
      <c r="E53" s="53"/>
      <c r="F53" s="53"/>
      <c r="G53" s="53"/>
      <c r="H53" s="63">
        <f>(H81*0.0248*-0.21)</f>
        <v>-68.362563920490203</v>
      </c>
      <c r="I53" s="63">
        <f>(I81*0.0248*-0.21)</f>
        <v>-58.250650085210793</v>
      </c>
      <c r="J53" s="84">
        <f t="shared" si="1"/>
        <v>10.11191383527941</v>
      </c>
      <c r="K53" s="84"/>
      <c r="M53" s="63">
        <f>(M81*F90*-0.21)</f>
        <v>-8.0196057039060022</v>
      </c>
      <c r="O53" s="225">
        <f t="shared" si="10"/>
        <v>60.342958216584201</v>
      </c>
    </row>
    <row r="54" spans="1:15">
      <c r="A54" s="51">
        <v>29</v>
      </c>
      <c r="B54" s="53" t="s">
        <v>87</v>
      </c>
      <c r="C54" s="53"/>
      <c r="D54" s="53"/>
      <c r="E54" s="53"/>
      <c r="F54" s="53"/>
      <c r="G54" s="53"/>
      <c r="H54" s="53">
        <v>0</v>
      </c>
      <c r="I54" s="53">
        <v>0</v>
      </c>
      <c r="J54" s="84"/>
      <c r="K54" s="84"/>
      <c r="M54" s="53">
        <v>0</v>
      </c>
      <c r="O54" s="225">
        <f t="shared" si="10"/>
        <v>0</v>
      </c>
    </row>
    <row r="55" spans="1:15">
      <c r="A55" s="55">
        <v>30</v>
      </c>
      <c r="B55" s="53" t="s">
        <v>88</v>
      </c>
      <c r="C55" s="53"/>
      <c r="D55" s="53"/>
      <c r="E55" s="53"/>
      <c r="F55" s="53"/>
      <c r="G55" s="53"/>
      <c r="H55" s="54">
        <v>0</v>
      </c>
      <c r="I55" s="54">
        <v>0</v>
      </c>
      <c r="J55" s="84"/>
      <c r="K55" s="84"/>
      <c r="M55" s="54">
        <v>0</v>
      </c>
      <c r="O55" s="226">
        <f t="shared" si="10"/>
        <v>0</v>
      </c>
    </row>
    <row r="56" spans="1:15">
      <c r="A56" s="32"/>
      <c r="B56" s="33"/>
      <c r="C56" s="33"/>
      <c r="D56" s="33"/>
      <c r="E56" s="33"/>
      <c r="F56" s="33"/>
      <c r="G56" s="33"/>
      <c r="H56" s="50"/>
      <c r="I56" s="50"/>
      <c r="J56" s="84"/>
      <c r="K56" s="84"/>
      <c r="M56" s="50"/>
    </row>
    <row r="57" spans="1:15" ht="14" thickBot="1">
      <c r="A57" s="57">
        <v>31</v>
      </c>
      <c r="B57" s="52" t="s">
        <v>89</v>
      </c>
      <c r="C57" s="52"/>
      <c r="D57" s="52"/>
      <c r="E57" s="52"/>
      <c r="F57" s="52"/>
      <c r="G57" s="52"/>
      <c r="H57" s="58">
        <f t="shared" ref="H57:I57" si="11">H49-SUM(H52:H55)</f>
        <v>-3358.8070307484722</v>
      </c>
      <c r="I57" s="58">
        <f t="shared" si="11"/>
        <v>-3371.2938219836965</v>
      </c>
      <c r="J57" s="84">
        <f t="shared" si="1"/>
        <v>-12.486791235224246</v>
      </c>
      <c r="K57" s="84"/>
      <c r="M57" s="58">
        <f t="shared" ref="M57" si="12">M49-SUM(M52:M55)</f>
        <v>-1205.2484984117286</v>
      </c>
      <c r="O57" s="228">
        <f t="shared" si="10"/>
        <v>2153.5585323367436</v>
      </c>
    </row>
    <row r="58" spans="1:15" ht="14" thickTop="1">
      <c r="A58" s="57"/>
      <c r="B58" s="33"/>
      <c r="C58" s="33"/>
      <c r="D58" s="33"/>
      <c r="E58" s="33"/>
      <c r="F58" s="33"/>
      <c r="G58" s="33"/>
      <c r="H58" s="50"/>
      <c r="I58" s="50"/>
      <c r="J58" s="84"/>
      <c r="K58" s="84"/>
      <c r="M58" s="50"/>
    </row>
    <row r="59" spans="1:15">
      <c r="A59" s="57"/>
      <c r="B59" s="33" t="s">
        <v>90</v>
      </c>
      <c r="C59" s="33"/>
      <c r="D59" s="33"/>
      <c r="E59" s="33"/>
      <c r="F59" s="33"/>
      <c r="G59" s="33"/>
      <c r="H59" s="50"/>
      <c r="I59" s="50"/>
      <c r="J59" s="84"/>
      <c r="K59" s="84"/>
      <c r="M59" s="50"/>
    </row>
    <row r="60" spans="1:15">
      <c r="A60" s="32"/>
      <c r="B60" s="33" t="s">
        <v>91</v>
      </c>
      <c r="C60" s="33"/>
      <c r="D60" s="33"/>
      <c r="E60" s="33"/>
      <c r="F60" s="33"/>
      <c r="G60" s="33"/>
      <c r="H60" s="50"/>
      <c r="I60" s="50"/>
      <c r="J60" s="84"/>
      <c r="K60" s="84"/>
      <c r="M60" s="50"/>
    </row>
    <row r="61" spans="1:15">
      <c r="A61" s="57">
        <v>32</v>
      </c>
      <c r="B61" s="52"/>
      <c r="C61" s="52" t="s">
        <v>92</v>
      </c>
      <c r="D61" s="52"/>
      <c r="E61" s="52"/>
      <c r="F61" s="52"/>
      <c r="G61" s="52"/>
      <c r="H61" s="53">
        <f>+'ADJ-E'!O27</f>
        <v>0</v>
      </c>
      <c r="I61" s="119">
        <f>+('ADJ-E'!O6)/1000</f>
        <v>242.28673591306247</v>
      </c>
      <c r="J61" s="84">
        <f t="shared" si="1"/>
        <v>242.28673591306247</v>
      </c>
      <c r="K61" s="84"/>
      <c r="M61" s="119">
        <f>+'Summary-Cost-E'!Q6</f>
        <v>0</v>
      </c>
      <c r="O61" s="225">
        <f t="shared" ref="O61:O66" si="13">+M61-H61</f>
        <v>0</v>
      </c>
    </row>
    <row r="62" spans="1:15">
      <c r="A62" s="57">
        <v>33</v>
      </c>
      <c r="B62" s="53"/>
      <c r="C62" s="53" t="s">
        <v>93</v>
      </c>
      <c r="D62" s="53"/>
      <c r="E62" s="53"/>
      <c r="F62" s="53"/>
      <c r="G62" s="53"/>
      <c r="H62" s="53">
        <v>0</v>
      </c>
      <c r="I62" s="53">
        <v>0</v>
      </c>
      <c r="J62" s="84">
        <f t="shared" si="1"/>
        <v>0</v>
      </c>
      <c r="K62" s="84"/>
      <c r="M62" s="53">
        <v>0</v>
      </c>
      <c r="O62" s="225">
        <f t="shared" si="13"/>
        <v>0</v>
      </c>
    </row>
    <row r="63" spans="1:15">
      <c r="A63" s="57">
        <v>34</v>
      </c>
      <c r="B63" s="53"/>
      <c r="C63" s="53" t="s">
        <v>94</v>
      </c>
      <c r="D63" s="53"/>
      <c r="E63" s="53"/>
      <c r="F63" s="53"/>
      <c r="G63" s="53"/>
      <c r="H63" s="53">
        <f>+('ADJ-E'!O26)/1000</f>
        <v>4728.468214999999</v>
      </c>
      <c r="I63" s="119">
        <f>+('ADJ-E'!O5)/1000</f>
        <v>2511.9934016265611</v>
      </c>
      <c r="J63" s="84">
        <f t="shared" si="1"/>
        <v>-2216.4748133734379</v>
      </c>
      <c r="K63" s="84"/>
      <c r="M63" s="119">
        <f>+'Summary-Cost-E'!Q5/1000</f>
        <v>49.124877539999993</v>
      </c>
      <c r="O63" s="225">
        <f t="shared" si="13"/>
        <v>-4679.343337459999</v>
      </c>
    </row>
    <row r="64" spans="1:15">
      <c r="A64" s="57">
        <v>35</v>
      </c>
      <c r="B64" s="53"/>
      <c r="C64" s="53" t="s">
        <v>73</v>
      </c>
      <c r="D64" s="53"/>
      <c r="E64" s="53"/>
      <c r="F64" s="53"/>
      <c r="G64" s="53"/>
      <c r="H64" s="53">
        <f>+('ADJ-E'!O25)/1000</f>
        <v>8807.4659229166646</v>
      </c>
      <c r="I64" s="119">
        <f>+('ADJ-E'!O4)/1000</f>
        <v>8815.9642044212087</v>
      </c>
      <c r="J64" s="84">
        <f t="shared" si="1"/>
        <v>8.4982815045441384</v>
      </c>
      <c r="K64" s="84"/>
      <c r="M64" s="119">
        <f>+'Summary-Cost-E'!Q4/1000</f>
        <v>1525.2973300000001</v>
      </c>
      <c r="O64" s="225">
        <f t="shared" si="13"/>
        <v>-7282.1685929166642</v>
      </c>
    </row>
    <row r="65" spans="1:15">
      <c r="A65" s="57">
        <v>36</v>
      </c>
      <c r="B65" s="53"/>
      <c r="C65" s="53" t="s">
        <v>95</v>
      </c>
      <c r="D65" s="53"/>
      <c r="E65" s="53"/>
      <c r="F65" s="53"/>
      <c r="G65" s="53"/>
      <c r="H65" s="54">
        <v>0</v>
      </c>
      <c r="I65" s="54">
        <v>0</v>
      </c>
      <c r="J65" s="84"/>
      <c r="K65" s="84"/>
      <c r="M65" s="54">
        <v>0</v>
      </c>
      <c r="O65" s="226">
        <f t="shared" si="13"/>
        <v>0</v>
      </c>
    </row>
    <row r="66" spans="1:15">
      <c r="A66" s="57">
        <v>37</v>
      </c>
      <c r="B66" s="53" t="s">
        <v>96</v>
      </c>
      <c r="C66" s="53"/>
      <c r="D66" s="53"/>
      <c r="E66" s="53"/>
      <c r="F66" s="53"/>
      <c r="G66" s="53"/>
      <c r="H66" s="50">
        <f t="shared" ref="H66:I66" si="14">SUM(H61:H65)</f>
        <v>13535.934137916664</v>
      </c>
      <c r="I66" s="50">
        <f t="shared" si="14"/>
        <v>11570.244341960832</v>
      </c>
      <c r="J66" s="84">
        <f t="shared" si="1"/>
        <v>-1965.6897959558319</v>
      </c>
      <c r="K66" s="84"/>
      <c r="M66" s="50">
        <f t="shared" ref="M66" si="15">SUM(M61:M65)</f>
        <v>1574.42220754</v>
      </c>
      <c r="O66" s="225">
        <f t="shared" si="13"/>
        <v>-11961.511930376664</v>
      </c>
    </row>
    <row r="67" spans="1:15">
      <c r="A67" s="57"/>
      <c r="B67" s="53" t="s">
        <v>97</v>
      </c>
      <c r="C67" s="53"/>
      <c r="D67" s="53"/>
      <c r="E67" s="53"/>
      <c r="F67" s="53"/>
      <c r="G67" s="53"/>
      <c r="H67" s="50"/>
      <c r="I67" s="50"/>
      <c r="J67" s="84"/>
      <c r="K67" s="84"/>
      <c r="M67" s="50"/>
    </row>
    <row r="68" spans="1:15">
      <c r="A68" s="57">
        <v>38</v>
      </c>
      <c r="B68" s="53"/>
      <c r="C68" s="52" t="s">
        <v>92</v>
      </c>
      <c r="D68" s="53"/>
      <c r="E68" s="53"/>
      <c r="F68" s="53"/>
      <c r="G68" s="53"/>
      <c r="H68" s="53">
        <v>0</v>
      </c>
      <c r="I68" s="121">
        <f>+('ADJ-E'!O11)/1000</f>
        <v>-42.367281214086866</v>
      </c>
      <c r="J68" s="84"/>
      <c r="K68" s="84"/>
      <c r="M68" s="121">
        <f>+'Summary-Cost-E'!Q26</f>
        <v>0</v>
      </c>
      <c r="O68" s="225">
        <f t="shared" ref="O68:O74" si="16">+M68-H68</f>
        <v>0</v>
      </c>
    </row>
    <row r="69" spans="1:15">
      <c r="A69" s="57">
        <v>39</v>
      </c>
      <c r="B69" s="53"/>
      <c r="C69" s="53" t="s">
        <v>93</v>
      </c>
      <c r="D69" s="53"/>
      <c r="E69" s="53"/>
      <c r="F69" s="53"/>
      <c r="G69" s="53"/>
      <c r="H69" s="53">
        <v>0</v>
      </c>
      <c r="I69" s="53">
        <v>0</v>
      </c>
      <c r="J69" s="84"/>
      <c r="K69" s="84"/>
      <c r="M69" s="53">
        <v>0</v>
      </c>
      <c r="O69" s="225">
        <f t="shared" si="16"/>
        <v>0</v>
      </c>
    </row>
    <row r="70" spans="1:15">
      <c r="A70" s="57">
        <v>40</v>
      </c>
      <c r="B70" s="53"/>
      <c r="C70" s="53" t="s">
        <v>94</v>
      </c>
      <c r="D70" s="53"/>
      <c r="E70" s="53"/>
      <c r="F70" s="53"/>
      <c r="G70" s="53"/>
      <c r="H70" s="53">
        <f>+('ADJ-E'!O31)/1000</f>
        <v>-91.91199550012503</v>
      </c>
      <c r="I70" s="121">
        <f>+('ADJ-E'!O10)/1000</f>
        <v>-36.335934919450644</v>
      </c>
      <c r="J70" s="84">
        <f t="shared" si="1"/>
        <v>55.576060580674387</v>
      </c>
      <c r="K70" s="84"/>
      <c r="M70" s="121">
        <f>+'Summary-Cost-E'!Q25/1000</f>
        <v>-0.26454191441329999</v>
      </c>
      <c r="O70" s="225">
        <f t="shared" si="16"/>
        <v>91.64745358571173</v>
      </c>
    </row>
    <row r="71" spans="1:15">
      <c r="A71" s="57">
        <v>41</v>
      </c>
      <c r="B71" s="53"/>
      <c r="C71" s="53" t="s">
        <v>73</v>
      </c>
      <c r="D71" s="53"/>
      <c r="E71" s="53"/>
      <c r="F71" s="53"/>
      <c r="G71" s="53"/>
      <c r="H71" s="53">
        <f>+('ADJ-E'!O30)/1000</f>
        <v>-151.76019941240887</v>
      </c>
      <c r="I71" s="121">
        <f>+('ADJ-E'!O9)/1000</f>
        <v>-189.20282859185545</v>
      </c>
      <c r="J71" s="84">
        <f t="shared" si="1"/>
        <v>-37.442629179446584</v>
      </c>
      <c r="K71" s="84"/>
      <c r="M71" s="121">
        <f>+'Summary-Cost-E'!Q24/1000</f>
        <v>-2.9148663585416665</v>
      </c>
      <c r="O71" s="225">
        <f t="shared" si="16"/>
        <v>148.84533305386719</v>
      </c>
    </row>
    <row r="72" spans="1:15">
      <c r="A72" s="57">
        <v>42</v>
      </c>
      <c r="B72" s="53"/>
      <c r="C72" s="53" t="s">
        <v>95</v>
      </c>
      <c r="D72" s="53"/>
      <c r="E72" s="53"/>
      <c r="F72" s="53"/>
      <c r="G72" s="53"/>
      <c r="H72" s="54">
        <v>0</v>
      </c>
      <c r="I72" s="54">
        <v>0</v>
      </c>
      <c r="J72" s="84"/>
      <c r="K72" s="84"/>
      <c r="M72" s="54">
        <v>0</v>
      </c>
      <c r="O72" s="226">
        <f t="shared" si="16"/>
        <v>0</v>
      </c>
    </row>
    <row r="73" spans="1:15" ht="12.9">
      <c r="A73" s="57">
        <v>43</v>
      </c>
      <c r="B73" s="53" t="s">
        <v>98</v>
      </c>
      <c r="C73" s="53"/>
      <c r="D73" s="53"/>
      <c r="E73" s="53"/>
      <c r="F73" s="53"/>
      <c r="G73" s="53"/>
      <c r="H73" s="59">
        <f t="shared" ref="H73:I73" si="17">SUM(H68:H72)</f>
        <v>-243.67219491253388</v>
      </c>
      <c r="I73" s="59">
        <f t="shared" si="17"/>
        <v>-267.90604472539297</v>
      </c>
      <c r="J73" s="84">
        <f t="shared" si="1"/>
        <v>-24.233849812859091</v>
      </c>
      <c r="K73" s="84"/>
      <c r="M73" s="59">
        <f t="shared" ref="M73:O73" si="18">SUM(M68:M72)</f>
        <v>-3.1794082729549666</v>
      </c>
      <c r="O73" s="67">
        <f t="shared" si="18"/>
        <v>240.49278663957892</v>
      </c>
    </row>
    <row r="74" spans="1:15">
      <c r="A74" s="57">
        <v>44</v>
      </c>
      <c r="B74" s="53" t="s">
        <v>99</v>
      </c>
      <c r="C74" s="53"/>
      <c r="D74" s="53"/>
      <c r="E74" s="53"/>
      <c r="F74" s="53"/>
      <c r="G74" s="53"/>
      <c r="H74" s="59">
        <f>H66+H73</f>
        <v>13292.26194300413</v>
      </c>
      <c r="I74" s="59">
        <f>I66+I73</f>
        <v>11302.338297235439</v>
      </c>
      <c r="J74" s="84">
        <f t="shared" si="1"/>
        <v>-1989.9236457686911</v>
      </c>
      <c r="K74" s="84"/>
      <c r="M74" s="59">
        <f>M66+M73</f>
        <v>1571.242799267045</v>
      </c>
      <c r="O74" s="225">
        <f t="shared" si="16"/>
        <v>-11721.019143737085</v>
      </c>
    </row>
    <row r="75" spans="1:15">
      <c r="A75" s="57"/>
      <c r="B75" s="53"/>
      <c r="C75" s="53"/>
      <c r="D75" s="53"/>
      <c r="E75" s="53"/>
      <c r="F75" s="53"/>
      <c r="G75" s="53"/>
      <c r="H75" s="50"/>
      <c r="I75" s="50"/>
      <c r="J75" s="84"/>
      <c r="K75" s="84"/>
      <c r="M75" s="50"/>
    </row>
    <row r="76" spans="1:15">
      <c r="A76" s="55">
        <v>45</v>
      </c>
      <c r="B76" s="53" t="s">
        <v>100</v>
      </c>
      <c r="C76" s="53"/>
      <c r="D76" s="53"/>
      <c r="E76" s="53"/>
      <c r="F76" s="53"/>
      <c r="G76" s="53"/>
      <c r="H76" s="54">
        <f>+('ADJ-E'!O35)/1000</f>
        <v>-165.80957731860647</v>
      </c>
      <c r="I76" s="222">
        <f>+('ADJ-E'!O14)/1000</f>
        <v>-117.49765107361175</v>
      </c>
      <c r="J76" s="107">
        <f t="shared" si="1"/>
        <v>48.311926244994723</v>
      </c>
      <c r="K76" s="84"/>
      <c r="M76" s="222">
        <f>+'Summary-Cost-E'!Q73/1000</f>
        <v>-79.500666844053427</v>
      </c>
      <c r="O76" s="226">
        <f t="shared" ref="O76" si="19">+M76-H76</f>
        <v>86.308910474553045</v>
      </c>
    </row>
    <row r="77" spans="1:15" ht="12.9">
      <c r="A77" s="55">
        <v>46</v>
      </c>
      <c r="B77" s="53"/>
      <c r="C77" s="53" t="s">
        <v>101</v>
      </c>
      <c r="D77" s="53"/>
      <c r="E77" s="53"/>
      <c r="F77" s="53"/>
      <c r="G77" s="53"/>
      <c r="H77" s="50">
        <f t="shared" ref="H77" si="20">SUM(H74:H76)</f>
        <v>13126.452365685524</v>
      </c>
      <c r="I77" s="63">
        <f>SUM(I74:I76)</f>
        <v>11184.840646161827</v>
      </c>
      <c r="J77" s="84">
        <f t="shared" si="1"/>
        <v>-1941.6117195236966</v>
      </c>
      <c r="M77" s="63">
        <f>SUM(M74:M76)</f>
        <v>1491.7421324229915</v>
      </c>
      <c r="O77" s="63">
        <f>SUM(O74:O76)</f>
        <v>-11634.710233262533</v>
      </c>
    </row>
    <row r="78" spans="1:15">
      <c r="A78" s="57">
        <v>47</v>
      </c>
      <c r="B78" s="53" t="s">
        <v>102</v>
      </c>
      <c r="C78" s="53"/>
      <c r="D78" s="53"/>
      <c r="E78" s="53"/>
      <c r="F78" s="53"/>
      <c r="G78" s="53"/>
      <c r="H78" s="53">
        <v>0</v>
      </c>
      <c r="I78" s="53">
        <v>0</v>
      </c>
      <c r="J78" s="84"/>
      <c r="K78" s="84"/>
      <c r="M78" s="53">
        <v>0</v>
      </c>
      <c r="O78" s="225">
        <f t="shared" ref="O78:O83" si="21">+M78-H78</f>
        <v>0</v>
      </c>
    </row>
    <row r="79" spans="1:15">
      <c r="A79" s="57">
        <v>48</v>
      </c>
      <c r="B79" s="53" t="s">
        <v>103</v>
      </c>
      <c r="C79" s="53"/>
      <c r="D79" s="53"/>
      <c r="E79" s="53"/>
      <c r="F79" s="53"/>
      <c r="G79" s="53"/>
      <c r="H79" s="54">
        <v>0</v>
      </c>
      <c r="I79" s="54">
        <v>0</v>
      </c>
      <c r="J79" s="84"/>
      <c r="K79" s="84"/>
      <c r="M79" s="54">
        <v>0</v>
      </c>
      <c r="O79" s="226">
        <f t="shared" si="21"/>
        <v>0</v>
      </c>
    </row>
    <row r="80" spans="1:15">
      <c r="A80" s="55"/>
      <c r="B80" s="53"/>
      <c r="C80" s="53"/>
      <c r="D80" s="53"/>
      <c r="E80" s="53"/>
      <c r="F80" s="53"/>
      <c r="G80" s="53"/>
      <c r="H80" s="50"/>
      <c r="I80" s="50"/>
      <c r="J80" s="84"/>
      <c r="K80" s="84"/>
      <c r="M80" s="50"/>
    </row>
    <row r="81" spans="1:15" ht="14" thickBot="1">
      <c r="A81" s="51">
        <v>49</v>
      </c>
      <c r="B81" s="52" t="s">
        <v>104</v>
      </c>
      <c r="C81" s="52"/>
      <c r="D81" s="52"/>
      <c r="E81" s="52"/>
      <c r="F81" s="52"/>
      <c r="G81" s="52"/>
      <c r="H81" s="58">
        <f t="shared" ref="H81:I81" si="22">SUM(H77:H79)</f>
        <v>13126.452365685524</v>
      </c>
      <c r="I81" s="58">
        <f t="shared" si="22"/>
        <v>11184.840646161827</v>
      </c>
      <c r="J81" s="108">
        <f t="shared" ref="J81:J87" si="23">+I81-H81</f>
        <v>-1941.6117195236966</v>
      </c>
      <c r="K81" s="105" t="s">
        <v>152</v>
      </c>
      <c r="M81" s="58">
        <f t="shared" ref="M81" si="24">SUM(M77:M79)</f>
        <v>1491.7421324229915</v>
      </c>
      <c r="O81" s="225">
        <f t="shared" si="21"/>
        <v>-11634.710233262533</v>
      </c>
    </row>
    <row r="82" spans="1:15" ht="14" thickTop="1">
      <c r="A82" s="51">
        <v>50</v>
      </c>
      <c r="B82" s="33" t="s">
        <v>105</v>
      </c>
      <c r="C82" s="33"/>
      <c r="D82" s="33"/>
      <c r="E82" s="33"/>
      <c r="F82" s="33"/>
      <c r="G82" s="33"/>
      <c r="H82" s="60"/>
      <c r="I82" s="60"/>
      <c r="J82" s="84"/>
      <c r="K82" s="260" t="s">
        <v>153</v>
      </c>
      <c r="L82" s="260"/>
      <c r="M82" s="60"/>
    </row>
    <row r="83" spans="1:15" ht="14" thickBot="1">
      <c r="A83" s="32">
        <v>51</v>
      </c>
      <c r="B83" s="33" t="s">
        <v>106</v>
      </c>
      <c r="C83" s="33"/>
      <c r="D83" s="33"/>
      <c r="E83" s="33"/>
      <c r="F83" s="33"/>
      <c r="G83" s="33"/>
      <c r="H83" s="61">
        <f t="shared" ref="H83" si="25">H87</f>
        <v>5738.3289087885532</v>
      </c>
      <c r="I83" s="61">
        <f>I87</f>
        <v>5563.8595532755899</v>
      </c>
      <c r="J83" s="231">
        <f t="shared" si="23"/>
        <v>-174.46935551296338</v>
      </c>
      <c r="K83" s="261"/>
      <c r="L83" s="261"/>
      <c r="M83" s="61">
        <f>M87</f>
        <v>1735.3793472362061</v>
      </c>
      <c r="O83" s="229">
        <f t="shared" si="21"/>
        <v>-4002.9495615523474</v>
      </c>
    </row>
    <row r="84" spans="1:15" ht="14" thickTop="1">
      <c r="A84" s="32"/>
      <c r="B84" s="64"/>
      <c r="C84" s="33"/>
      <c r="G84" s="33"/>
      <c r="H84" s="65"/>
      <c r="I84" s="65"/>
      <c r="J84" s="84"/>
      <c r="K84" s="84"/>
      <c r="M84" s="65"/>
    </row>
    <row r="85" spans="1:15">
      <c r="A85" s="32"/>
      <c r="B85" s="33"/>
      <c r="C85" s="33"/>
      <c r="G85" s="69"/>
      <c r="J85" s="84"/>
      <c r="K85" s="84"/>
    </row>
    <row r="86" spans="1:15">
      <c r="A86" s="32"/>
      <c r="B86" s="33"/>
      <c r="C86" s="33"/>
      <c r="D86" s="33" t="s">
        <v>112</v>
      </c>
      <c r="E86" s="33"/>
      <c r="F86" s="33"/>
      <c r="G86" s="33"/>
      <c r="H86" s="67">
        <f>H81*E91-H57</f>
        <v>4334.1024415189067</v>
      </c>
      <c r="I86" s="67">
        <f>I81*E91-I57</f>
        <v>4202.3274819935205</v>
      </c>
      <c r="J86" s="84">
        <f t="shared" si="23"/>
        <v>-131.77495952538629</v>
      </c>
      <c r="K86" s="84"/>
      <c r="M86" s="67">
        <f>M81*F91-M57</f>
        <v>1310.714667174034</v>
      </c>
      <c r="O86" s="225">
        <f t="shared" ref="O86:O87" si="26">+M86-H86</f>
        <v>-3023.3877743448729</v>
      </c>
    </row>
    <row r="87" spans="1:15">
      <c r="A87" s="32"/>
      <c r="B87" s="33"/>
      <c r="C87" s="33"/>
      <c r="D87" s="33" t="s">
        <v>113</v>
      </c>
      <c r="E87" s="33"/>
      <c r="F87" s="33"/>
      <c r="G87" s="33"/>
      <c r="H87" s="62">
        <f>H86/E92</f>
        <v>5738.3289087885532</v>
      </c>
      <c r="I87" s="62">
        <f>I86/E92</f>
        <v>5563.8595532755899</v>
      </c>
      <c r="J87" s="84">
        <f t="shared" si="23"/>
        <v>-174.46935551296338</v>
      </c>
      <c r="K87" s="83"/>
      <c r="M87" s="62">
        <f>M86/E92</f>
        <v>1735.3793472362061</v>
      </c>
      <c r="O87" s="225">
        <f t="shared" si="26"/>
        <v>-4002.9495615523474</v>
      </c>
    </row>
    <row r="88" spans="1:15">
      <c r="J88" s="83"/>
      <c r="K88" s="83"/>
    </row>
    <row r="89" spans="1:15">
      <c r="D89" s="33"/>
      <c r="E89" s="32" t="s">
        <v>299</v>
      </c>
      <c r="F89" s="32" t="s">
        <v>300</v>
      </c>
      <c r="J89" s="83"/>
    </row>
    <row r="90" spans="1:15">
      <c r="D90" s="33" t="s">
        <v>298</v>
      </c>
      <c r="E90" s="245">
        <v>2.4799999999999999E-2</v>
      </c>
      <c r="F90" s="245">
        <v>2.5600000000000001E-2</v>
      </c>
    </row>
    <row r="91" spans="1:15">
      <c r="D91" s="33" t="s">
        <v>297</v>
      </c>
      <c r="E91" s="68">
        <v>7.4300000000000005E-2</v>
      </c>
      <c r="F91" s="68">
        <v>7.0699999999999999E-2</v>
      </c>
    </row>
    <row r="92" spans="1:15">
      <c r="D92" s="33" t="s">
        <v>111</v>
      </c>
      <c r="E92" s="69">
        <v>0.75529000000000002</v>
      </c>
      <c r="F92" s="69">
        <v>0.75529000000000002</v>
      </c>
    </row>
  </sheetData>
  <mergeCells count="4">
    <mergeCell ref="D1:H1"/>
    <mergeCell ref="J2:K2"/>
    <mergeCell ref="J3:K3"/>
    <mergeCell ref="K82:L83"/>
  </mergeCells>
  <pageMargins left="0.7" right="0.7" top="0.75" bottom="0.47" header="0.3" footer="0.3"/>
  <pageSetup scale="53" orientation="portrait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43D2-A0EA-4931-B4C5-3DA56125A296}">
  <sheetPr>
    <tabColor theme="2" tint="-9.9978637043366805E-2"/>
  </sheetPr>
  <dimension ref="A1:R91"/>
  <sheetViews>
    <sheetView workbookViewId="0">
      <selection activeCell="A20" sqref="A20"/>
    </sheetView>
    <sheetView tabSelected="1" workbookViewId="1">
      <selection activeCell="I9" sqref="I9"/>
    </sheetView>
  </sheetViews>
  <sheetFormatPr defaultRowHeight="12.9"/>
  <cols>
    <col min="1" max="1" width="4.59765625" customWidth="1"/>
    <col min="2" max="3" width="1.69921875" customWidth="1"/>
    <col min="4" max="4" width="25.8984375" customWidth="1"/>
    <col min="5" max="5" width="7.09765625" bestFit="1" customWidth="1"/>
    <col min="6" max="6" width="16" customWidth="1"/>
    <col min="7" max="7" width="15.3984375" customWidth="1"/>
    <col min="8" max="8" width="11.59765625" bestFit="1" customWidth="1"/>
    <col min="9" max="9" width="11.59765625" customWidth="1"/>
    <col min="10" max="10" width="3.796875" customWidth="1"/>
    <col min="11" max="11" width="15.3984375" customWidth="1"/>
  </cols>
  <sheetData>
    <row r="1" spans="1:18">
      <c r="A1" s="32"/>
      <c r="B1" s="33"/>
      <c r="C1" s="33"/>
      <c r="F1" s="137" t="s">
        <v>154</v>
      </c>
      <c r="G1" s="137"/>
      <c r="H1" s="137"/>
    </row>
    <row r="2" spans="1:18" ht="13.45">
      <c r="A2" s="34" t="s">
        <v>49</v>
      </c>
      <c r="B2" s="33"/>
      <c r="C2" s="33"/>
      <c r="D2" s="32"/>
      <c r="E2" s="32"/>
      <c r="F2" s="110" t="s">
        <v>114</v>
      </c>
      <c r="G2" s="111" t="s">
        <v>175</v>
      </c>
      <c r="H2" s="262" t="s">
        <v>149</v>
      </c>
      <c r="I2" s="262"/>
    </row>
    <row r="3" spans="1:18" ht="13.45">
      <c r="A3" s="34" t="s">
        <v>50</v>
      </c>
      <c r="B3" s="33"/>
      <c r="C3" s="33"/>
      <c r="D3" s="32"/>
      <c r="E3" s="32"/>
      <c r="F3" s="71"/>
      <c r="G3" s="70"/>
      <c r="H3" s="263" t="s">
        <v>150</v>
      </c>
      <c r="I3" s="263"/>
    </row>
    <row r="4" spans="1:18" ht="13.45">
      <c r="A4" s="34" t="s">
        <v>51</v>
      </c>
      <c r="B4" s="33"/>
      <c r="C4" s="33"/>
      <c r="D4" s="32"/>
      <c r="E4" s="32"/>
      <c r="F4" s="73"/>
      <c r="G4" s="72"/>
      <c r="H4" s="72"/>
      <c r="I4" s="72"/>
    </row>
    <row r="5" spans="1:18" ht="13.45">
      <c r="A5" s="34" t="s">
        <v>52</v>
      </c>
      <c r="B5" s="33"/>
      <c r="C5" s="33"/>
      <c r="D5" s="32"/>
      <c r="E5" s="32"/>
      <c r="F5" s="74"/>
      <c r="G5" s="72"/>
      <c r="H5" s="72"/>
      <c r="I5" s="72"/>
    </row>
    <row r="6" spans="1:18">
      <c r="A6" s="36"/>
      <c r="B6" s="37"/>
      <c r="C6" s="37"/>
      <c r="D6" s="37"/>
      <c r="E6" s="37"/>
      <c r="F6" s="37"/>
    </row>
    <row r="7" spans="1:18">
      <c r="A7" s="38"/>
      <c r="B7" s="39"/>
      <c r="C7" s="40"/>
      <c r="D7" s="40"/>
      <c r="E7" s="40"/>
      <c r="F7" s="38" t="s">
        <v>107</v>
      </c>
      <c r="G7" s="38" t="s">
        <v>107</v>
      </c>
    </row>
    <row r="8" spans="1:18">
      <c r="A8" s="41" t="s">
        <v>53</v>
      </c>
      <c r="B8" s="42"/>
      <c r="C8" s="37"/>
      <c r="D8" s="37"/>
      <c r="E8" s="37"/>
      <c r="F8" s="35" t="s">
        <v>108</v>
      </c>
      <c r="G8" s="35" t="s">
        <v>108</v>
      </c>
      <c r="H8" s="83"/>
      <c r="I8" s="83"/>
    </row>
    <row r="9" spans="1:18">
      <c r="A9" s="43" t="s">
        <v>54</v>
      </c>
      <c r="B9" s="44"/>
      <c r="C9" s="45"/>
      <c r="D9" s="45" t="s">
        <v>55</v>
      </c>
      <c r="E9" s="45"/>
      <c r="F9" s="46" t="s">
        <v>109</v>
      </c>
      <c r="G9" s="46" t="s">
        <v>109</v>
      </c>
      <c r="H9" s="83"/>
      <c r="I9" s="83"/>
    </row>
    <row r="10" spans="1:18">
      <c r="A10" s="47"/>
      <c r="B10" s="48" t="s">
        <v>56</v>
      </c>
      <c r="C10" s="47"/>
      <c r="D10" s="47"/>
      <c r="E10" s="47"/>
      <c r="F10" s="49">
        <v>3.1699999999999964</v>
      </c>
      <c r="G10" s="49">
        <v>3.1699999999999964</v>
      </c>
      <c r="H10" s="83"/>
      <c r="I10" s="83"/>
    </row>
    <row r="11" spans="1:18">
      <c r="A11" s="47"/>
      <c r="B11" s="48" t="s">
        <v>57</v>
      </c>
      <c r="C11" s="47"/>
      <c r="D11" s="47"/>
      <c r="E11" s="47"/>
      <c r="F11" s="49" t="s">
        <v>110</v>
      </c>
      <c r="G11" s="49" t="s">
        <v>110</v>
      </c>
      <c r="H11" s="83"/>
      <c r="I11" s="83"/>
    </row>
    <row r="12" spans="1:18">
      <c r="A12" s="47"/>
      <c r="B12" s="48"/>
      <c r="C12" s="47"/>
      <c r="D12" s="47"/>
      <c r="E12" s="47"/>
      <c r="F12" s="49"/>
      <c r="G12" s="49"/>
      <c r="H12" s="83"/>
      <c r="I12" s="83"/>
      <c r="J12" s="99"/>
      <c r="L12" s="99"/>
      <c r="M12" s="99"/>
      <c r="N12" s="99"/>
      <c r="O12" s="99"/>
      <c r="P12" s="99"/>
      <c r="Q12" s="99"/>
      <c r="R12" s="99"/>
    </row>
    <row r="13" spans="1:18">
      <c r="A13" s="32"/>
      <c r="B13" s="33" t="s">
        <v>58</v>
      </c>
      <c r="C13" s="33"/>
      <c r="D13" s="33"/>
      <c r="E13" s="33"/>
      <c r="F13" s="50"/>
      <c r="G13" s="50"/>
      <c r="H13" s="83"/>
      <c r="I13" s="83"/>
    </row>
    <row r="14" spans="1:18">
      <c r="A14" s="51">
        <v>1</v>
      </c>
      <c r="B14" s="52" t="s">
        <v>59</v>
      </c>
      <c r="C14" s="52"/>
      <c r="D14" s="52"/>
      <c r="E14" s="52"/>
      <c r="F14" s="52">
        <v>0</v>
      </c>
      <c r="G14" s="52">
        <v>0</v>
      </c>
      <c r="H14" s="84"/>
      <c r="I14" s="84"/>
    </row>
    <row r="15" spans="1:18">
      <c r="A15" s="51">
        <v>2</v>
      </c>
      <c r="B15" s="53" t="s">
        <v>60</v>
      </c>
      <c r="C15" s="53"/>
      <c r="D15" s="53"/>
      <c r="E15" s="53"/>
      <c r="F15" s="53">
        <v>0</v>
      </c>
      <c r="G15" s="53">
        <v>0</v>
      </c>
      <c r="H15" s="84"/>
      <c r="I15" s="84"/>
    </row>
    <row r="16" spans="1:18">
      <c r="A16" s="51">
        <v>3</v>
      </c>
      <c r="B16" s="53" t="s">
        <v>61</v>
      </c>
      <c r="C16" s="53"/>
      <c r="D16" s="53"/>
      <c r="E16" s="53"/>
      <c r="F16" s="54">
        <v>0</v>
      </c>
      <c r="G16" s="54">
        <v>0</v>
      </c>
      <c r="H16" s="84"/>
      <c r="I16" s="84"/>
    </row>
    <row r="17" spans="1:11">
      <c r="A17" s="51">
        <v>4</v>
      </c>
      <c r="B17" s="53" t="s">
        <v>62</v>
      </c>
      <c r="C17" s="53"/>
      <c r="D17" s="53"/>
      <c r="E17" s="53"/>
      <c r="F17" s="53">
        <v>0</v>
      </c>
      <c r="G17" s="53">
        <v>0</v>
      </c>
      <c r="H17" s="84"/>
      <c r="I17" s="84"/>
    </row>
    <row r="18" spans="1:11">
      <c r="A18" s="51">
        <v>5</v>
      </c>
      <c r="B18" s="53" t="s">
        <v>63</v>
      </c>
      <c r="C18" s="53"/>
      <c r="D18" s="53"/>
      <c r="E18" s="53"/>
      <c r="F18" s="54">
        <v>0</v>
      </c>
      <c r="G18" s="54">
        <v>0</v>
      </c>
      <c r="H18" s="84"/>
      <c r="I18" s="84"/>
    </row>
    <row r="19" spans="1:11">
      <c r="A19" s="51">
        <v>6</v>
      </c>
      <c r="B19" s="53" t="s">
        <v>64</v>
      </c>
      <c r="C19" s="53"/>
      <c r="D19" s="53"/>
      <c r="E19" s="53"/>
      <c r="F19" s="53">
        <v>0</v>
      </c>
      <c r="G19" s="53">
        <v>0</v>
      </c>
      <c r="H19" s="84"/>
      <c r="I19" s="84"/>
    </row>
    <row r="20" spans="1:11">
      <c r="A20" s="51"/>
      <c r="B20" s="53"/>
      <c r="C20" s="53"/>
      <c r="D20" s="53"/>
      <c r="E20" s="53"/>
      <c r="F20" s="53"/>
      <c r="G20" s="53"/>
      <c r="H20" s="84"/>
      <c r="I20" s="84"/>
    </row>
    <row r="21" spans="1:11">
      <c r="A21" s="51"/>
      <c r="B21" s="53" t="s">
        <v>65</v>
      </c>
      <c r="C21" s="53"/>
      <c r="D21" s="53"/>
      <c r="E21" s="53"/>
      <c r="F21" s="53"/>
      <c r="G21" s="53"/>
      <c r="H21" s="84"/>
      <c r="I21" s="84"/>
    </row>
    <row r="22" spans="1:11">
      <c r="A22" s="51"/>
      <c r="B22" s="53" t="s">
        <v>66</v>
      </c>
      <c r="C22" s="53"/>
      <c r="D22" s="53"/>
      <c r="E22" s="53"/>
      <c r="F22" s="53"/>
      <c r="G22" s="53"/>
      <c r="H22" s="84"/>
      <c r="I22" s="84"/>
      <c r="J22" s="83"/>
    </row>
    <row r="23" spans="1:11">
      <c r="A23" s="51">
        <v>7</v>
      </c>
      <c r="B23" s="53"/>
      <c r="C23" s="53" t="s">
        <v>67</v>
      </c>
      <c r="D23" s="53"/>
      <c r="E23" s="53"/>
      <c r="F23" s="98">
        <v>995</v>
      </c>
      <c r="G23" s="98">
        <v>995</v>
      </c>
      <c r="H23" s="84">
        <f t="shared" ref="H23:H77" si="0">+G23-F23</f>
        <v>0</v>
      </c>
      <c r="I23" s="84"/>
      <c r="J23" s="83"/>
      <c r="K23" s="83" t="s">
        <v>146</v>
      </c>
    </row>
    <row r="24" spans="1:11">
      <c r="A24" s="51">
        <v>8</v>
      </c>
      <c r="B24" s="53"/>
      <c r="C24" s="53" t="s">
        <v>68</v>
      </c>
      <c r="D24" s="53"/>
      <c r="E24" s="53"/>
      <c r="F24" s="53">
        <v>0</v>
      </c>
      <c r="G24" s="53">
        <v>0</v>
      </c>
      <c r="H24" s="84"/>
      <c r="I24" s="84"/>
      <c r="J24" s="83"/>
    </row>
    <row r="25" spans="1:11">
      <c r="A25" s="51">
        <v>9</v>
      </c>
      <c r="B25" s="53"/>
      <c r="C25" s="53" t="s">
        <v>69</v>
      </c>
      <c r="D25" s="53"/>
      <c r="E25" s="53"/>
      <c r="F25" s="53">
        <f>+('ADJ-E'!O38)/1000</f>
        <v>97.406445229000028</v>
      </c>
      <c r="G25" s="53">
        <f>+('ADJ-E'!O17)/1000</f>
        <v>51.747064073507161</v>
      </c>
      <c r="H25" s="84">
        <f t="shared" si="0"/>
        <v>-45.659381155492866</v>
      </c>
      <c r="I25" s="84"/>
      <c r="J25" s="83"/>
    </row>
    <row r="26" spans="1:11">
      <c r="A26" s="51">
        <v>10</v>
      </c>
      <c r="B26" s="53"/>
      <c r="C26" s="53" t="s">
        <v>70</v>
      </c>
      <c r="D26" s="53"/>
      <c r="E26" s="53"/>
      <c r="F26" s="53">
        <v>0</v>
      </c>
      <c r="G26" s="53">
        <v>0</v>
      </c>
      <c r="H26" s="84"/>
      <c r="I26" s="84"/>
      <c r="J26" s="83"/>
    </row>
    <row r="27" spans="1:11">
      <c r="A27" s="51">
        <v>11</v>
      </c>
      <c r="B27" s="53"/>
      <c r="C27" s="53" t="s">
        <v>71</v>
      </c>
      <c r="D27" s="53"/>
      <c r="E27" s="53"/>
      <c r="F27" s="54">
        <v>0</v>
      </c>
      <c r="G27" s="54">
        <v>0</v>
      </c>
      <c r="H27" s="84"/>
      <c r="I27" s="84"/>
      <c r="J27" s="83"/>
    </row>
    <row r="28" spans="1:11">
      <c r="A28" s="51">
        <v>12</v>
      </c>
      <c r="B28" s="53" t="s">
        <v>72</v>
      </c>
      <c r="C28" s="53"/>
      <c r="D28" s="53"/>
      <c r="E28" s="53"/>
      <c r="F28" s="50">
        <f t="shared" ref="F28:G28" si="1">SUM(F23:F27)</f>
        <v>1092.4064452289999</v>
      </c>
      <c r="G28" s="50">
        <f t="shared" si="1"/>
        <v>1046.7470640735071</v>
      </c>
      <c r="H28" s="84">
        <f t="shared" si="0"/>
        <v>-45.659381155492838</v>
      </c>
      <c r="I28" s="84"/>
      <c r="J28" s="83"/>
    </row>
    <row r="29" spans="1:11">
      <c r="A29" s="51"/>
      <c r="B29" s="53"/>
      <c r="C29" s="53"/>
      <c r="D29" s="53"/>
      <c r="E29" s="53"/>
      <c r="F29" s="53"/>
      <c r="G29" s="53"/>
      <c r="H29" s="84"/>
      <c r="I29" s="84"/>
      <c r="J29" s="83"/>
    </row>
    <row r="30" spans="1:11">
      <c r="A30" s="51"/>
      <c r="B30" s="53" t="s">
        <v>73</v>
      </c>
      <c r="C30" s="53"/>
      <c r="D30" s="53"/>
      <c r="E30" s="53"/>
      <c r="F30" s="53"/>
      <c r="G30" s="53"/>
      <c r="H30" s="84"/>
      <c r="I30" s="84"/>
      <c r="J30" s="83"/>
    </row>
    <row r="31" spans="1:11">
      <c r="A31" s="51">
        <v>13</v>
      </c>
      <c r="B31" s="53"/>
      <c r="C31" s="53" t="s">
        <v>67</v>
      </c>
      <c r="D31" s="53"/>
      <c r="E31" s="53"/>
      <c r="F31" s="98">
        <v>3030</v>
      </c>
      <c r="G31" s="98">
        <v>3030</v>
      </c>
      <c r="H31" s="84">
        <f t="shared" si="0"/>
        <v>0</v>
      </c>
      <c r="I31" s="84"/>
      <c r="J31" s="83"/>
      <c r="K31" s="83" t="s">
        <v>146</v>
      </c>
    </row>
    <row r="32" spans="1:11">
      <c r="A32" s="51">
        <v>14</v>
      </c>
      <c r="B32" s="53"/>
      <c r="C32" s="53" t="s">
        <v>74</v>
      </c>
      <c r="D32" s="53"/>
      <c r="E32" s="53"/>
      <c r="F32" s="53">
        <f>+('ADJ-E'!O37)/1000</f>
        <v>215.78291511145841</v>
      </c>
      <c r="G32" s="53">
        <f>+('ADJ-E'!O16)/1000</f>
        <v>215.9911230083197</v>
      </c>
      <c r="H32" s="84">
        <f t="shared" si="0"/>
        <v>0.20820789686129615</v>
      </c>
      <c r="I32" s="84"/>
      <c r="J32" s="83"/>
    </row>
    <row r="33" spans="1:10">
      <c r="A33" s="51"/>
      <c r="B33" s="53"/>
      <c r="C33" s="53" t="s">
        <v>70</v>
      </c>
      <c r="D33" s="53"/>
      <c r="E33" s="53"/>
      <c r="F33" s="53"/>
      <c r="G33" s="53"/>
      <c r="H33" s="84"/>
      <c r="I33" s="84"/>
      <c r="J33" s="83"/>
    </row>
    <row r="34" spans="1:10">
      <c r="A34" s="51">
        <v>15</v>
      </c>
      <c r="B34" s="53"/>
      <c r="C34" s="53" t="s">
        <v>71</v>
      </c>
      <c r="D34" s="53"/>
      <c r="E34" s="53"/>
      <c r="F34" s="54">
        <v>0</v>
      </c>
      <c r="G34" s="54">
        <v>0</v>
      </c>
      <c r="H34" s="84"/>
      <c r="I34" s="84"/>
    </row>
    <row r="35" spans="1:10">
      <c r="A35" s="51">
        <v>16</v>
      </c>
      <c r="B35" s="53" t="s">
        <v>75</v>
      </c>
      <c r="C35" s="53"/>
      <c r="D35" s="53"/>
      <c r="E35" s="53"/>
      <c r="F35" s="50">
        <f>SUM(F31:F34)</f>
        <v>3245.7829151114584</v>
      </c>
      <c r="G35" s="50">
        <f t="shared" ref="G35" si="2">SUM(G31:G34)</f>
        <v>3245.9911230083198</v>
      </c>
      <c r="H35" s="84">
        <f t="shared" si="0"/>
        <v>0.2082078968614951</v>
      </c>
      <c r="I35" s="84"/>
    </row>
    <row r="36" spans="1:10">
      <c r="A36" s="53"/>
      <c r="B36" s="53"/>
      <c r="C36" s="53"/>
      <c r="D36" s="53"/>
      <c r="E36" s="53"/>
      <c r="F36" s="53"/>
      <c r="G36" s="53"/>
      <c r="H36" s="84"/>
      <c r="I36" s="84"/>
    </row>
    <row r="37" spans="1:10">
      <c r="A37" s="51">
        <v>17</v>
      </c>
      <c r="B37" s="53" t="s">
        <v>76</v>
      </c>
      <c r="C37" s="53"/>
      <c r="D37" s="53"/>
      <c r="E37" s="53"/>
      <c r="F37" s="53">
        <v>0</v>
      </c>
      <c r="G37" s="53">
        <v>0</v>
      </c>
      <c r="H37" s="84"/>
      <c r="I37" s="84"/>
    </row>
    <row r="38" spans="1:10">
      <c r="A38" s="51">
        <v>18</v>
      </c>
      <c r="B38" s="53" t="s">
        <v>77</v>
      </c>
      <c r="C38" s="53"/>
      <c r="D38" s="53"/>
      <c r="E38" s="53"/>
      <c r="F38" s="53">
        <v>0</v>
      </c>
      <c r="G38" s="53">
        <v>0</v>
      </c>
      <c r="H38" s="84"/>
      <c r="I38" s="84"/>
    </row>
    <row r="39" spans="1:10">
      <c r="A39" s="51">
        <v>19</v>
      </c>
      <c r="B39" s="53" t="s">
        <v>78</v>
      </c>
      <c r="C39" s="53"/>
      <c r="D39" s="53"/>
      <c r="E39" s="53"/>
      <c r="F39" s="53">
        <v>0</v>
      </c>
      <c r="G39" s="53">
        <v>0</v>
      </c>
      <c r="H39" s="84"/>
      <c r="I39" s="84"/>
    </row>
    <row r="40" spans="1:10">
      <c r="A40" s="51"/>
      <c r="B40" s="53"/>
      <c r="C40" s="53"/>
      <c r="D40" s="53"/>
      <c r="E40" s="53"/>
      <c r="F40" s="53"/>
      <c r="G40" s="53"/>
      <c r="H40" s="84"/>
      <c r="I40" s="84"/>
    </row>
    <row r="41" spans="1:10">
      <c r="A41" s="53"/>
      <c r="B41" s="53" t="s">
        <v>79</v>
      </c>
      <c r="C41" s="53"/>
      <c r="D41" s="53"/>
      <c r="E41" s="53"/>
      <c r="F41" s="53"/>
      <c r="G41" s="53"/>
      <c r="H41" s="84"/>
      <c r="I41" s="84"/>
    </row>
    <row r="42" spans="1:10">
      <c r="A42" s="51">
        <v>20</v>
      </c>
      <c r="B42" s="53"/>
      <c r="C42" s="53" t="s">
        <v>67</v>
      </c>
      <c r="D42" s="53"/>
      <c r="E42" s="53"/>
      <c r="F42" s="53">
        <v>0</v>
      </c>
      <c r="G42" s="53">
        <v>0</v>
      </c>
      <c r="H42" s="84"/>
      <c r="I42" s="84"/>
    </row>
    <row r="43" spans="1:10">
      <c r="A43" s="51">
        <v>21</v>
      </c>
      <c r="B43" s="53"/>
      <c r="C43" s="53" t="s">
        <v>74</v>
      </c>
      <c r="D43" s="53"/>
      <c r="E43" s="53"/>
      <c r="F43" s="53">
        <f>+'ADJ-E'!O39</f>
        <v>0</v>
      </c>
      <c r="G43" s="53">
        <f>('ADJ-E'!O18)/1000</f>
        <v>48.457347182612487</v>
      </c>
      <c r="H43" s="84"/>
      <c r="I43" s="84"/>
    </row>
    <row r="44" spans="1:10">
      <c r="A44" s="51">
        <v>22</v>
      </c>
      <c r="B44" s="53"/>
      <c r="C44" s="53" t="s">
        <v>80</v>
      </c>
      <c r="D44" s="53"/>
      <c r="E44" s="53"/>
      <c r="F44" s="53">
        <v>0</v>
      </c>
      <c r="G44" s="53">
        <v>0</v>
      </c>
      <c r="H44" s="84"/>
      <c r="I44" s="84"/>
    </row>
    <row r="45" spans="1:10">
      <c r="A45" s="51">
        <v>23</v>
      </c>
      <c r="B45" s="53"/>
      <c r="C45" s="53" t="s">
        <v>71</v>
      </c>
      <c r="D45" s="53"/>
      <c r="E45" s="53"/>
      <c r="F45" s="54">
        <v>0</v>
      </c>
      <c r="G45" s="54">
        <v>0</v>
      </c>
      <c r="H45" s="84"/>
      <c r="I45" s="84"/>
    </row>
    <row r="46" spans="1:10">
      <c r="A46" s="51">
        <v>24</v>
      </c>
      <c r="B46" s="53" t="s">
        <v>81</v>
      </c>
      <c r="C46" s="53"/>
      <c r="D46" s="53"/>
      <c r="E46" s="53"/>
      <c r="F46" s="67">
        <f>SUM(F42:F45)</f>
        <v>0</v>
      </c>
      <c r="G46" s="67">
        <f>SUM(G42:G45)</f>
        <v>48.457347182612487</v>
      </c>
      <c r="H46" s="84"/>
      <c r="I46" s="84"/>
    </row>
    <row r="47" spans="1:10">
      <c r="A47" s="51">
        <v>25</v>
      </c>
      <c r="B47" s="53" t="s">
        <v>82</v>
      </c>
      <c r="C47" s="53"/>
      <c r="D47" s="53"/>
      <c r="E47" s="53"/>
      <c r="F47" s="62">
        <f t="shared" ref="F47" si="3">F46+F39+F38+F37+F35+F28</f>
        <v>4338.1893603404587</v>
      </c>
      <c r="G47" s="62">
        <f>G46+G39+G38+G37+G35+G28</f>
        <v>4341.1955342644396</v>
      </c>
      <c r="H47" s="106">
        <f t="shared" si="0"/>
        <v>3.0061739239808958</v>
      </c>
      <c r="I47" s="105" t="s">
        <v>151</v>
      </c>
    </row>
    <row r="48" spans="1:10">
      <c r="A48" s="53"/>
      <c r="B48" s="53"/>
      <c r="C48" s="53"/>
      <c r="D48" s="53"/>
      <c r="E48" s="53"/>
      <c r="F48" s="53"/>
      <c r="G48" s="53"/>
      <c r="H48" s="84"/>
      <c r="I48" s="84"/>
    </row>
    <row r="49" spans="1:9">
      <c r="A49" s="51">
        <v>26</v>
      </c>
      <c r="B49" s="53" t="s">
        <v>83</v>
      </c>
      <c r="C49" s="53"/>
      <c r="D49" s="53"/>
      <c r="E49" s="53"/>
      <c r="F49" s="50">
        <f>F19-F47</f>
        <v>-4338.1893603404587</v>
      </c>
      <c r="G49" s="50">
        <f>G19-G47</f>
        <v>-4341.1955342644396</v>
      </c>
      <c r="H49" s="84">
        <f t="shared" si="0"/>
        <v>-3.0061739239808958</v>
      </c>
      <c r="I49" s="84"/>
    </row>
    <row r="50" spans="1:9">
      <c r="A50" s="51"/>
      <c r="B50" s="53"/>
      <c r="C50" s="53"/>
      <c r="D50" s="53"/>
      <c r="E50" s="53"/>
      <c r="F50" s="53"/>
      <c r="G50" s="53"/>
      <c r="H50" s="84"/>
      <c r="I50" s="84"/>
    </row>
    <row r="51" spans="1:9">
      <c r="A51" s="55"/>
      <c r="B51" s="53" t="s">
        <v>84</v>
      </c>
      <c r="C51" s="53"/>
      <c r="D51" s="53"/>
      <c r="E51" s="53"/>
      <c r="F51" s="53"/>
      <c r="G51" s="53"/>
      <c r="H51" s="84"/>
      <c r="I51" s="84"/>
    </row>
    <row r="52" spans="1:9">
      <c r="A52" s="51">
        <v>27</v>
      </c>
      <c r="B52" s="53" t="s">
        <v>85</v>
      </c>
      <c r="C52" s="53"/>
      <c r="D52" s="56"/>
      <c r="E52" s="56"/>
      <c r="F52" s="50">
        <f>F49*0.21</f>
        <v>-911.01976567149632</v>
      </c>
      <c r="G52" s="50">
        <f>G49*0.21</f>
        <v>-911.65106219553229</v>
      </c>
      <c r="H52" s="84">
        <f t="shared" si="0"/>
        <v>-0.63129652403597447</v>
      </c>
      <c r="I52" s="84"/>
    </row>
    <row r="53" spans="1:9">
      <c r="A53" s="51">
        <v>28</v>
      </c>
      <c r="B53" s="53" t="s">
        <v>86</v>
      </c>
      <c r="C53" s="53"/>
      <c r="D53" s="53"/>
      <c r="E53" s="53"/>
      <c r="F53" s="63">
        <f>(F81*0.0248*-0.21)</f>
        <v>-68.362563920490203</v>
      </c>
      <c r="G53" s="63">
        <f>(G81*0.0248*-0.21)</f>
        <v>-58.250650085210793</v>
      </c>
      <c r="H53" s="84">
        <f t="shared" si="0"/>
        <v>10.11191383527941</v>
      </c>
      <c r="I53" s="84"/>
    </row>
    <row r="54" spans="1:9">
      <c r="A54" s="51">
        <v>29</v>
      </c>
      <c r="B54" s="53" t="s">
        <v>87</v>
      </c>
      <c r="C54" s="53"/>
      <c r="D54" s="53"/>
      <c r="E54" s="53"/>
      <c r="F54" s="53">
        <v>0</v>
      </c>
      <c r="G54" s="53">
        <v>0</v>
      </c>
      <c r="H54" s="84"/>
      <c r="I54" s="84"/>
    </row>
    <row r="55" spans="1:9">
      <c r="A55" s="55">
        <v>30</v>
      </c>
      <c r="B55" s="53" t="s">
        <v>88</v>
      </c>
      <c r="C55" s="53"/>
      <c r="D55" s="53"/>
      <c r="E55" s="53"/>
      <c r="F55" s="54">
        <v>0</v>
      </c>
      <c r="G55" s="54">
        <v>0</v>
      </c>
      <c r="H55" s="84"/>
      <c r="I55" s="84"/>
    </row>
    <row r="56" spans="1:9">
      <c r="A56" s="32"/>
      <c r="B56" s="33"/>
      <c r="C56" s="33"/>
      <c r="D56" s="33"/>
      <c r="E56" s="33"/>
      <c r="F56" s="50"/>
      <c r="G56" s="50"/>
      <c r="H56" s="84"/>
      <c r="I56" s="84"/>
    </row>
    <row r="57" spans="1:9" ht="13.45" thickBot="1">
      <c r="A57" s="57">
        <v>31</v>
      </c>
      <c r="B57" s="52" t="s">
        <v>89</v>
      </c>
      <c r="C57" s="52"/>
      <c r="D57" s="52"/>
      <c r="E57" s="52"/>
      <c r="F57" s="58">
        <f t="shared" ref="F57:G57" si="4">F49-SUM(F52:F55)</f>
        <v>-3358.8070307484722</v>
      </c>
      <c r="G57" s="58">
        <f t="shared" si="4"/>
        <v>-3371.2938219836965</v>
      </c>
      <c r="H57" s="84">
        <f t="shared" si="0"/>
        <v>-12.486791235224246</v>
      </c>
      <c r="I57" s="84"/>
    </row>
    <row r="58" spans="1:9" ht="13.45" thickTop="1">
      <c r="A58" s="57"/>
      <c r="B58" s="33"/>
      <c r="C58" s="33"/>
      <c r="D58" s="33"/>
      <c r="E58" s="33"/>
      <c r="F58" s="50"/>
      <c r="G58" s="50"/>
      <c r="H58" s="84"/>
      <c r="I58" s="84"/>
    </row>
    <row r="59" spans="1:9">
      <c r="A59" s="57"/>
      <c r="B59" s="33" t="s">
        <v>90</v>
      </c>
      <c r="C59" s="33"/>
      <c r="D59" s="33"/>
      <c r="E59" s="33"/>
      <c r="F59" s="50"/>
      <c r="G59" s="50"/>
      <c r="H59" s="84"/>
      <c r="I59" s="84"/>
    </row>
    <row r="60" spans="1:9">
      <c r="A60" s="32"/>
      <c r="B60" s="33" t="s">
        <v>91</v>
      </c>
      <c r="C60" s="33"/>
      <c r="D60" s="33"/>
      <c r="E60" s="33"/>
      <c r="F60" s="50"/>
      <c r="G60" s="50"/>
      <c r="H60" s="84"/>
      <c r="I60" s="84"/>
    </row>
    <row r="61" spans="1:9">
      <c r="A61" s="57">
        <v>32</v>
      </c>
      <c r="B61" s="52"/>
      <c r="C61" s="52" t="s">
        <v>92</v>
      </c>
      <c r="D61" s="52"/>
      <c r="E61" s="52"/>
      <c r="F61" s="53">
        <f>+'ADJ-E'!O27</f>
        <v>0</v>
      </c>
      <c r="G61" s="53">
        <f>+('ADJ-E'!O6)/1000</f>
        <v>242.28673591306247</v>
      </c>
      <c r="H61" s="84">
        <f t="shared" si="0"/>
        <v>242.28673591306247</v>
      </c>
      <c r="I61" s="84"/>
    </row>
    <row r="62" spans="1:9">
      <c r="A62" s="57">
        <v>33</v>
      </c>
      <c r="B62" s="53"/>
      <c r="C62" s="53" t="s">
        <v>93</v>
      </c>
      <c r="D62" s="53"/>
      <c r="E62" s="53"/>
      <c r="F62" s="53">
        <v>0</v>
      </c>
      <c r="G62" s="53">
        <v>0</v>
      </c>
      <c r="H62" s="84">
        <f t="shared" si="0"/>
        <v>0</v>
      </c>
      <c r="I62" s="84"/>
    </row>
    <row r="63" spans="1:9">
      <c r="A63" s="57">
        <v>34</v>
      </c>
      <c r="B63" s="53"/>
      <c r="C63" s="53" t="s">
        <v>94</v>
      </c>
      <c r="D63" s="53"/>
      <c r="E63" s="53"/>
      <c r="F63" s="53">
        <f>+('ADJ-E'!O26)/1000</f>
        <v>4728.468214999999</v>
      </c>
      <c r="G63" s="53">
        <f>+('ADJ-E'!O5)/1000</f>
        <v>2511.9934016265611</v>
      </c>
      <c r="H63" s="84">
        <f t="shared" si="0"/>
        <v>-2216.4748133734379</v>
      </c>
      <c r="I63" s="84"/>
    </row>
    <row r="64" spans="1:9">
      <c r="A64" s="57">
        <v>35</v>
      </c>
      <c r="B64" s="53"/>
      <c r="C64" s="53" t="s">
        <v>73</v>
      </c>
      <c r="D64" s="53"/>
      <c r="E64" s="53"/>
      <c r="F64" s="53">
        <f>+('ADJ-E'!O25)/1000</f>
        <v>8807.4659229166646</v>
      </c>
      <c r="G64" s="53">
        <f>+('ADJ-E'!O4)/1000</f>
        <v>8815.9642044212087</v>
      </c>
      <c r="H64" s="84">
        <f t="shared" si="0"/>
        <v>8.4982815045441384</v>
      </c>
      <c r="I64" s="84"/>
    </row>
    <row r="65" spans="1:9">
      <c r="A65" s="57">
        <v>36</v>
      </c>
      <c r="B65" s="53"/>
      <c r="C65" s="53" t="s">
        <v>95</v>
      </c>
      <c r="D65" s="53"/>
      <c r="E65" s="53"/>
      <c r="F65" s="54">
        <v>0</v>
      </c>
      <c r="G65" s="54">
        <v>0</v>
      </c>
      <c r="H65" s="84"/>
      <c r="I65" s="84"/>
    </row>
    <row r="66" spans="1:9">
      <c r="A66" s="57">
        <v>37</v>
      </c>
      <c r="B66" s="53" t="s">
        <v>96</v>
      </c>
      <c r="C66" s="53"/>
      <c r="D66" s="53"/>
      <c r="E66" s="53"/>
      <c r="F66" s="50">
        <f t="shared" ref="F66:G66" si="5">SUM(F61:F65)</f>
        <v>13535.934137916664</v>
      </c>
      <c r="G66" s="50">
        <f t="shared" si="5"/>
        <v>11570.244341960832</v>
      </c>
      <c r="H66" s="84">
        <f t="shared" si="0"/>
        <v>-1965.6897959558319</v>
      </c>
      <c r="I66" s="84"/>
    </row>
    <row r="67" spans="1:9">
      <c r="A67" s="57"/>
      <c r="B67" s="53" t="s">
        <v>97</v>
      </c>
      <c r="C67" s="53"/>
      <c r="D67" s="53"/>
      <c r="E67" s="53"/>
      <c r="F67" s="50"/>
      <c r="G67" s="50"/>
      <c r="H67" s="84"/>
      <c r="I67" s="84"/>
    </row>
    <row r="68" spans="1:9">
      <c r="A68" s="57">
        <v>38</v>
      </c>
      <c r="B68" s="53"/>
      <c r="C68" s="52" t="s">
        <v>92</v>
      </c>
      <c r="D68" s="53"/>
      <c r="E68" s="53"/>
      <c r="F68" s="53">
        <v>0</v>
      </c>
      <c r="G68" s="53">
        <f>+('ADJ-E'!O11)/1000</f>
        <v>-42.367281214086866</v>
      </c>
      <c r="H68" s="84"/>
      <c r="I68" s="84"/>
    </row>
    <row r="69" spans="1:9">
      <c r="A69" s="57">
        <v>39</v>
      </c>
      <c r="B69" s="53"/>
      <c r="C69" s="53" t="s">
        <v>93</v>
      </c>
      <c r="D69" s="53"/>
      <c r="E69" s="53"/>
      <c r="F69" s="53">
        <v>0</v>
      </c>
      <c r="G69" s="53">
        <v>0</v>
      </c>
      <c r="H69" s="84"/>
      <c r="I69" s="84"/>
    </row>
    <row r="70" spans="1:9">
      <c r="A70" s="57">
        <v>40</v>
      </c>
      <c r="B70" s="53"/>
      <c r="C70" s="53" t="s">
        <v>94</v>
      </c>
      <c r="D70" s="53"/>
      <c r="E70" s="53"/>
      <c r="F70" s="53">
        <f>+('ADJ-E'!O31)/1000</f>
        <v>-91.91199550012503</v>
      </c>
      <c r="G70" s="53">
        <f>+('ADJ-E'!O10)/1000</f>
        <v>-36.335934919450644</v>
      </c>
      <c r="H70" s="84">
        <f t="shared" si="0"/>
        <v>55.576060580674387</v>
      </c>
      <c r="I70" s="84"/>
    </row>
    <row r="71" spans="1:9">
      <c r="A71" s="57">
        <v>41</v>
      </c>
      <c r="B71" s="53"/>
      <c r="C71" s="53" t="s">
        <v>73</v>
      </c>
      <c r="D71" s="53"/>
      <c r="E71" s="53"/>
      <c r="F71" s="53">
        <f>+('ADJ-E'!O30)/1000</f>
        <v>-151.76019941240887</v>
      </c>
      <c r="G71" s="53">
        <f>+('ADJ-E'!O9)/1000</f>
        <v>-189.20282859185545</v>
      </c>
      <c r="H71" s="84">
        <f t="shared" si="0"/>
        <v>-37.442629179446584</v>
      </c>
      <c r="I71" s="84"/>
    </row>
    <row r="72" spans="1:9">
      <c r="A72" s="57">
        <v>42</v>
      </c>
      <c r="B72" s="53"/>
      <c r="C72" s="53" t="s">
        <v>95</v>
      </c>
      <c r="D72" s="53"/>
      <c r="E72" s="53"/>
      <c r="F72" s="54">
        <v>0</v>
      </c>
      <c r="G72" s="54">
        <v>0</v>
      </c>
      <c r="H72" s="84"/>
      <c r="I72" s="84"/>
    </row>
    <row r="73" spans="1:9">
      <c r="A73" s="57">
        <v>43</v>
      </c>
      <c r="B73" s="53" t="s">
        <v>98</v>
      </c>
      <c r="C73" s="53"/>
      <c r="D73" s="53"/>
      <c r="E73" s="53"/>
      <c r="F73" s="59">
        <f t="shared" ref="F73:G73" si="6">SUM(F68:F72)</f>
        <v>-243.67219491253388</v>
      </c>
      <c r="G73" s="59">
        <f t="shared" si="6"/>
        <v>-267.90604472539297</v>
      </c>
      <c r="H73" s="84">
        <f t="shared" si="0"/>
        <v>-24.233849812859091</v>
      </c>
      <c r="I73" s="84"/>
    </row>
    <row r="74" spans="1:9">
      <c r="A74" s="57">
        <v>44</v>
      </c>
      <c r="B74" s="53" t="s">
        <v>99</v>
      </c>
      <c r="C74" s="53"/>
      <c r="D74" s="53"/>
      <c r="E74" s="53"/>
      <c r="F74" s="59">
        <f>F66+F73</f>
        <v>13292.26194300413</v>
      </c>
      <c r="G74" s="59">
        <f>G66+G73</f>
        <v>11302.338297235439</v>
      </c>
      <c r="H74" s="84">
        <f t="shared" si="0"/>
        <v>-1989.9236457686911</v>
      </c>
      <c r="I74" s="84"/>
    </row>
    <row r="75" spans="1:9">
      <c r="A75" s="57"/>
      <c r="B75" s="53"/>
      <c r="C75" s="53"/>
      <c r="D75" s="53"/>
      <c r="E75" s="53"/>
      <c r="F75" s="50"/>
      <c r="G75" s="50"/>
      <c r="H75" s="84"/>
      <c r="I75" s="84"/>
    </row>
    <row r="76" spans="1:9">
      <c r="A76" s="55">
        <v>45</v>
      </c>
      <c r="B76" s="53" t="s">
        <v>100</v>
      </c>
      <c r="C76" s="53"/>
      <c r="D76" s="53"/>
      <c r="E76" s="53"/>
      <c r="F76" s="54">
        <f>+('ADJ-E'!O35)/1000</f>
        <v>-165.80957731860647</v>
      </c>
      <c r="G76" s="54">
        <f>+('ADJ-E'!O14)/1000</f>
        <v>-117.49765107361175</v>
      </c>
      <c r="H76" s="107">
        <f t="shared" si="0"/>
        <v>48.311926244994723</v>
      </c>
      <c r="I76" s="84"/>
    </row>
    <row r="77" spans="1:9">
      <c r="A77" s="55">
        <v>46</v>
      </c>
      <c r="B77" s="53"/>
      <c r="C77" s="53" t="s">
        <v>101</v>
      </c>
      <c r="D77" s="53"/>
      <c r="E77" s="53"/>
      <c r="F77" s="50">
        <f t="shared" ref="F77" si="7">SUM(F74:F76)</f>
        <v>13126.452365685524</v>
      </c>
      <c r="G77" s="50">
        <f>SUM(G74:G76)</f>
        <v>11184.840646161827</v>
      </c>
      <c r="H77" s="84">
        <f t="shared" si="0"/>
        <v>-1941.6117195236966</v>
      </c>
    </row>
    <row r="78" spans="1:9">
      <c r="A78" s="57">
        <v>47</v>
      </c>
      <c r="B78" s="53" t="s">
        <v>102</v>
      </c>
      <c r="C78" s="53"/>
      <c r="D78" s="53"/>
      <c r="E78" s="53"/>
      <c r="F78" s="53">
        <v>0</v>
      </c>
      <c r="G78" s="53">
        <v>0</v>
      </c>
      <c r="H78" s="84"/>
      <c r="I78" s="84"/>
    </row>
    <row r="79" spans="1:9">
      <c r="A79" s="57">
        <v>48</v>
      </c>
      <c r="B79" s="53" t="s">
        <v>103</v>
      </c>
      <c r="C79" s="53"/>
      <c r="D79" s="53"/>
      <c r="E79" s="53"/>
      <c r="F79" s="54">
        <v>0</v>
      </c>
      <c r="G79" s="54">
        <v>0</v>
      </c>
      <c r="H79" s="84"/>
      <c r="I79" s="84"/>
    </row>
    <row r="80" spans="1:9">
      <c r="A80" s="55"/>
      <c r="B80" s="53"/>
      <c r="C80" s="53"/>
      <c r="D80" s="53"/>
      <c r="E80" s="53"/>
      <c r="F80" s="50"/>
      <c r="G80" s="50"/>
      <c r="H80" s="84"/>
      <c r="I80" s="84"/>
    </row>
    <row r="81" spans="1:10" ht="13.45" thickBot="1">
      <c r="A81" s="51">
        <v>49</v>
      </c>
      <c r="B81" s="52" t="s">
        <v>104</v>
      </c>
      <c r="C81" s="52"/>
      <c r="D81" s="52"/>
      <c r="E81" s="52"/>
      <c r="F81" s="58">
        <f t="shared" ref="F81:G81" si="8">SUM(F77:F79)</f>
        <v>13126.452365685524</v>
      </c>
      <c r="G81" s="58">
        <f t="shared" si="8"/>
        <v>11184.840646161827</v>
      </c>
      <c r="H81" s="108">
        <f t="shared" ref="H81:H89" si="9">+G81-F81</f>
        <v>-1941.6117195236966</v>
      </c>
      <c r="I81" s="105" t="s">
        <v>152</v>
      </c>
    </row>
    <row r="82" spans="1:10" ht="13.45" thickTop="1">
      <c r="A82" s="51">
        <v>50</v>
      </c>
      <c r="B82" s="33" t="s">
        <v>105</v>
      </c>
      <c r="C82" s="33"/>
      <c r="D82" s="33"/>
      <c r="E82" s="33"/>
      <c r="F82" s="60"/>
      <c r="G82" s="60"/>
      <c r="H82" s="84"/>
      <c r="I82" s="264" t="s">
        <v>153</v>
      </c>
      <c r="J82" s="264"/>
    </row>
    <row r="83" spans="1:10" ht="13.45" thickBot="1">
      <c r="A83" s="32">
        <v>51</v>
      </c>
      <c r="B83" s="33" t="s">
        <v>106</v>
      </c>
      <c r="C83" s="33"/>
      <c r="D83" s="33"/>
      <c r="E83" s="33"/>
      <c r="F83" s="61">
        <f t="shared" ref="F83" si="10">F89</f>
        <v>5738.3289087885532</v>
      </c>
      <c r="G83" s="61">
        <f>G89</f>
        <v>5563.8595532755899</v>
      </c>
      <c r="H83" s="109">
        <f t="shared" si="9"/>
        <v>-174.46935551296338</v>
      </c>
      <c r="I83" s="265"/>
      <c r="J83" s="265"/>
    </row>
    <row r="84" spans="1:10" ht="13.45" thickTop="1">
      <c r="A84" s="32"/>
      <c r="B84" s="64"/>
      <c r="C84" s="33"/>
      <c r="D84" s="33"/>
      <c r="E84" s="33"/>
      <c r="F84" s="65"/>
      <c r="G84" s="65"/>
      <c r="H84" s="84"/>
      <c r="I84" s="84"/>
    </row>
    <row r="85" spans="1:10">
      <c r="A85" s="32"/>
      <c r="B85" s="33"/>
      <c r="C85" s="33"/>
      <c r="D85" s="33"/>
      <c r="E85" s="33"/>
      <c r="F85" s="66"/>
      <c r="G85" s="66"/>
      <c r="H85" s="84"/>
      <c r="I85" s="84"/>
    </row>
    <row r="86" spans="1:10">
      <c r="A86" s="32"/>
      <c r="B86" s="33"/>
      <c r="C86" s="33"/>
      <c r="D86" s="33"/>
      <c r="E86" s="68">
        <v>7.4300000000000005E-2</v>
      </c>
      <c r="F86" s="50"/>
      <c r="G86" s="50"/>
      <c r="H86" s="84"/>
      <c r="I86" s="84"/>
    </row>
    <row r="87" spans="1:10">
      <c r="A87" s="32"/>
      <c r="B87" s="33"/>
      <c r="C87" s="33"/>
      <c r="D87" s="33" t="s">
        <v>111</v>
      </c>
      <c r="E87" s="69">
        <v>0.75529000000000002</v>
      </c>
      <c r="H87" s="84"/>
      <c r="I87" s="84"/>
    </row>
    <row r="88" spans="1:10">
      <c r="A88" s="32"/>
      <c r="B88" s="33"/>
      <c r="C88" s="33"/>
      <c r="D88" s="33" t="s">
        <v>112</v>
      </c>
      <c r="E88" s="33"/>
      <c r="F88" s="67">
        <f>F81*E86-F57</f>
        <v>4334.1024415189067</v>
      </c>
      <c r="G88" s="67">
        <f>G81*E86-G57</f>
        <v>4202.3274819935205</v>
      </c>
      <c r="H88" s="84">
        <f t="shared" si="9"/>
        <v>-131.77495952538629</v>
      </c>
      <c r="I88" s="84"/>
    </row>
    <row r="89" spans="1:10">
      <c r="A89" s="32"/>
      <c r="B89" s="33"/>
      <c r="C89" s="33"/>
      <c r="D89" s="33" t="s">
        <v>113</v>
      </c>
      <c r="E89" s="33"/>
      <c r="F89" s="62">
        <f>F88/E87</f>
        <v>5738.3289087885532</v>
      </c>
      <c r="G89" s="62">
        <f>G88/E87</f>
        <v>5563.8595532755899</v>
      </c>
      <c r="H89" s="84">
        <f t="shared" si="9"/>
        <v>-174.46935551296338</v>
      </c>
      <c r="I89" s="83"/>
    </row>
    <row r="90" spans="1:10">
      <c r="H90" s="83"/>
      <c r="I90" s="83"/>
    </row>
    <row r="91" spans="1:10">
      <c r="H91" s="83"/>
    </row>
  </sheetData>
  <mergeCells count="3">
    <mergeCell ref="H2:I2"/>
    <mergeCell ref="H3:I3"/>
    <mergeCell ref="I82:J83"/>
  </mergeCells>
  <pageMargins left="0.7" right="0.7" top="0.75" bottom="0.75" header="0.3" footer="0.3"/>
  <pageSetup scale="53" orientation="portrait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A1:Q61"/>
  <sheetViews>
    <sheetView topLeftCell="G21" workbookViewId="0">
      <selection activeCell="Q21" sqref="Q21"/>
    </sheetView>
    <sheetView tabSelected="1" workbookViewId="1">
      <selection activeCell="I9" sqref="I9"/>
    </sheetView>
  </sheetViews>
  <sheetFormatPr defaultRowHeight="12.9"/>
  <cols>
    <col min="1" max="1" width="17" bestFit="1" customWidth="1"/>
    <col min="2" max="2" width="13.69921875" bestFit="1" customWidth="1"/>
    <col min="3" max="3" width="15.296875" bestFit="1" customWidth="1"/>
    <col min="4" max="14" width="13.69921875" bestFit="1" customWidth="1"/>
    <col min="15" max="15" width="14.296875" bestFit="1" customWidth="1"/>
    <col min="16" max="16" width="11.09765625" style="116" customWidth="1"/>
    <col min="17" max="17" width="18.8984375" customWidth="1"/>
  </cols>
  <sheetData>
    <row r="1" spans="1:17" ht="13.45">
      <c r="A1" s="115" t="s">
        <v>172</v>
      </c>
      <c r="J1" s="133" t="s">
        <v>154</v>
      </c>
      <c r="O1" s="115" t="s">
        <v>169</v>
      </c>
      <c r="P1" s="116" t="s">
        <v>155</v>
      </c>
    </row>
    <row r="2" spans="1:17">
      <c r="A2" s="75" t="s">
        <v>115</v>
      </c>
      <c r="O2" s="115" t="s">
        <v>170</v>
      </c>
      <c r="Q2" s="116" t="s">
        <v>177</v>
      </c>
    </row>
    <row r="3" spans="1:17">
      <c r="B3" s="6">
        <f>'Summary-Cost-E'!Z3</f>
        <v>202109</v>
      </c>
      <c r="C3" s="6">
        <f>'Summary-Cost-E'!AA3</f>
        <v>202110</v>
      </c>
      <c r="D3" s="6">
        <f>'Summary-Cost-E'!AB3</f>
        <v>202111</v>
      </c>
      <c r="E3" s="6">
        <f>'Summary-Cost-E'!AC3</f>
        <v>202112</v>
      </c>
      <c r="F3" s="6">
        <f>'Summary-Cost-E'!AD3</f>
        <v>202201</v>
      </c>
      <c r="G3" s="6">
        <f>'Summary-Cost-E'!AE3</f>
        <v>202202</v>
      </c>
      <c r="H3" s="6">
        <f>'Summary-Cost-E'!AF3</f>
        <v>202203</v>
      </c>
      <c r="I3" s="6">
        <f>'Summary-Cost-E'!AG3</f>
        <v>202204</v>
      </c>
      <c r="J3" s="6">
        <f>'Summary-Cost-E'!AH3</f>
        <v>202205</v>
      </c>
      <c r="K3" s="6">
        <f>'Summary-Cost-E'!AI3</f>
        <v>202206</v>
      </c>
      <c r="L3" s="6">
        <f>'Summary-Cost-E'!AJ3</f>
        <v>202207</v>
      </c>
      <c r="M3" s="6">
        <f>'Summary-Cost-E'!AK3</f>
        <v>202208</v>
      </c>
      <c r="N3" s="6">
        <f>'Summary-Cost-E'!AL3</f>
        <v>202209</v>
      </c>
      <c r="O3" s="6" t="s">
        <v>9</v>
      </c>
      <c r="Q3" s="120" t="s">
        <v>171</v>
      </c>
    </row>
    <row r="4" spans="1:17" s="2" customFormat="1">
      <c r="A4" t="str">
        <f>'Summary-Cost-E'!C4</f>
        <v xml:space="preserve">Distribution </v>
      </c>
      <c r="B4" s="8">
        <f>'Summary-Cost-E'!Z4</f>
        <v>7244470.171663668</v>
      </c>
      <c r="C4" s="8">
        <f>'Summary-Cost-E'!AA4</f>
        <v>7787844.1427031374</v>
      </c>
      <c r="D4" s="8">
        <f>'Summary-Cost-E'!AB4</f>
        <v>8497079.4285380822</v>
      </c>
      <c r="E4" s="8">
        <f>'Summary-Cost-E'!AC4</f>
        <v>9040464.3995769992</v>
      </c>
      <c r="F4" s="8">
        <f>'Summary-Cost-E'!AD4</f>
        <v>9040464.3995769992</v>
      </c>
      <c r="G4" s="8">
        <f>'Summary-Cost-E'!AE4</f>
        <v>9040464.3995769992</v>
      </c>
      <c r="H4" s="8">
        <f>'Summary-Cost-E'!AF4</f>
        <v>9040464.3995769992</v>
      </c>
      <c r="I4" s="8">
        <f>'Summary-Cost-E'!AG4</f>
        <v>9040464.3995769992</v>
      </c>
      <c r="J4" s="8">
        <f>'Summary-Cost-E'!AH4</f>
        <v>9040464.3995769992</v>
      </c>
      <c r="K4" s="8">
        <f>'Summary-Cost-E'!AI4</f>
        <v>9040464.3995769992</v>
      </c>
      <c r="L4" s="8">
        <f>'Summary-Cost-E'!AJ4</f>
        <v>9040464.3995769992</v>
      </c>
      <c r="M4" s="8">
        <f>'Summary-Cost-E'!AK4</f>
        <v>9040464.3995769992</v>
      </c>
      <c r="N4" s="8">
        <f>'Summary-Cost-E'!AL4</f>
        <v>9040464.3995769992</v>
      </c>
      <c r="O4" s="120">
        <f>(((B4+N4)/2)+C4+D4+E4+F4+G4+H4+I4+J4+K4+L4+M4)/12</f>
        <v>8815964.2044212092</v>
      </c>
      <c r="P4" s="117" t="s">
        <v>161</v>
      </c>
      <c r="Q4" s="120">
        <f>+'Summary-Cost-E'!Q4</f>
        <v>1525297.33</v>
      </c>
    </row>
    <row r="5" spans="1:17" s="2" customFormat="1">
      <c r="A5" t="str">
        <f>'Summary-Cost-E'!C5</f>
        <v>Transmission</v>
      </c>
      <c r="B5" s="8">
        <f>'Summary-Cost-E'!Z5</f>
        <v>2264475.6959887496</v>
      </c>
      <c r="C5" s="8">
        <f>'Summary-Cost-E'!AA5</f>
        <v>2305500.7298343745</v>
      </c>
      <c r="D5" s="8">
        <f>'Summary-Cost-E'!AB5</f>
        <v>2543445.9277799996</v>
      </c>
      <c r="E5" s="8">
        <f>'Summary-Cost-E'!AC5</f>
        <v>2543445.9277799996</v>
      </c>
      <c r="F5" s="8">
        <f>'Summary-Cost-E'!AD5</f>
        <v>2543445.9277799996</v>
      </c>
      <c r="G5" s="8">
        <f>'Summary-Cost-E'!AE5</f>
        <v>2543445.9277799996</v>
      </c>
      <c r="H5" s="8">
        <f>'Summary-Cost-E'!AF5</f>
        <v>2543445.9277799996</v>
      </c>
      <c r="I5" s="8">
        <f>'Summary-Cost-E'!AG5</f>
        <v>2543445.9277799996</v>
      </c>
      <c r="J5" s="8">
        <f>'Summary-Cost-E'!AH5</f>
        <v>2543445.9277799996</v>
      </c>
      <c r="K5" s="8">
        <f>'Summary-Cost-E'!AI5</f>
        <v>2543445.9277799996</v>
      </c>
      <c r="L5" s="8">
        <f>'Summary-Cost-E'!AJ5</f>
        <v>2543445.9277799996</v>
      </c>
      <c r="M5" s="8">
        <f>'Summary-Cost-E'!AK5</f>
        <v>2543445.9277799996</v>
      </c>
      <c r="N5" s="8">
        <f>'Summary-Cost-E'!AL5</f>
        <v>2543445.9277799996</v>
      </c>
      <c r="O5" s="120">
        <f t="shared" ref="O5:O6" si="0">(((B5+N5)/2)+C5+D5+E5+F5+G5+H5+I5+J5+K5+L5+M5)/12</f>
        <v>2511993.4016265613</v>
      </c>
      <c r="P5" s="117" t="s">
        <v>160</v>
      </c>
      <c r="Q5" s="120">
        <f>+'Summary-Cost-E'!Q5</f>
        <v>49124.877539999994</v>
      </c>
    </row>
    <row r="6" spans="1:17" s="2" customFormat="1">
      <c r="A6" t="s">
        <v>20</v>
      </c>
      <c r="B6" s="8">
        <f>'Summary-Cost-E'!Z6</f>
        <v>241907.61147024998</v>
      </c>
      <c r="C6" s="8">
        <f>'Summary-Cost-E'!AA6</f>
        <v>242052.03982941664</v>
      </c>
      <c r="D6" s="8">
        <f>'Summary-Cost-E'!AB6</f>
        <v>242196.4681885833</v>
      </c>
      <c r="E6" s="8">
        <f>'Summary-Cost-E'!AC6</f>
        <v>242340.89654774996</v>
      </c>
      <c r="F6" s="8">
        <f>'Summary-Cost-E'!AD6</f>
        <v>242340.89654774996</v>
      </c>
      <c r="G6" s="8">
        <f>'Summary-Cost-E'!AE6</f>
        <v>242340.89654774996</v>
      </c>
      <c r="H6" s="8">
        <f>'Summary-Cost-E'!AF6</f>
        <v>242340.89654774996</v>
      </c>
      <c r="I6" s="8">
        <f>'Summary-Cost-E'!AG6</f>
        <v>242340.89654774996</v>
      </c>
      <c r="J6" s="8">
        <f>'Summary-Cost-E'!AH6</f>
        <v>242340.89654774996</v>
      </c>
      <c r="K6" s="8">
        <f>'Summary-Cost-E'!AI6</f>
        <v>242340.89654774996</v>
      </c>
      <c r="L6" s="8">
        <f>'Summary-Cost-E'!AJ6</f>
        <v>242340.89654774996</v>
      </c>
      <c r="M6" s="8">
        <f>'Summary-Cost-E'!AK6</f>
        <v>242340.89654774996</v>
      </c>
      <c r="N6" s="8">
        <f>'Summary-Cost-E'!AL6</f>
        <v>242340.89654774996</v>
      </c>
      <c r="O6" s="120">
        <f t="shared" si="0"/>
        <v>242286.73591306247</v>
      </c>
      <c r="P6" s="117" t="s">
        <v>159</v>
      </c>
      <c r="Q6" s="120">
        <f>+'Summary-Cost-E'!Q6</f>
        <v>0</v>
      </c>
    </row>
    <row r="7" spans="1:17" s="14" customFormat="1" ht="13.45" thickBot="1">
      <c r="A7" t="s">
        <v>7</v>
      </c>
      <c r="B7" s="5">
        <f>SUM(B4:B6)</f>
        <v>9750853.4791226685</v>
      </c>
      <c r="C7" s="5">
        <f t="shared" ref="C7:M7" si="1">SUM(C4:C6)</f>
        <v>10335396.912366929</v>
      </c>
      <c r="D7" s="5">
        <f t="shared" si="1"/>
        <v>11282721.824506667</v>
      </c>
      <c r="E7" s="5">
        <f t="shared" si="1"/>
        <v>11826251.223904748</v>
      </c>
      <c r="F7" s="5">
        <f t="shared" si="1"/>
        <v>11826251.223904748</v>
      </c>
      <c r="G7" s="5">
        <f t="shared" si="1"/>
        <v>11826251.223904748</v>
      </c>
      <c r="H7" s="5">
        <f t="shared" si="1"/>
        <v>11826251.223904748</v>
      </c>
      <c r="I7" s="5">
        <f t="shared" si="1"/>
        <v>11826251.223904748</v>
      </c>
      <c r="J7" s="5">
        <f t="shared" si="1"/>
        <v>11826251.223904748</v>
      </c>
      <c r="K7" s="5">
        <f t="shared" si="1"/>
        <v>11826251.223904748</v>
      </c>
      <c r="L7" s="5">
        <f t="shared" si="1"/>
        <v>11826251.223904748</v>
      </c>
      <c r="M7" s="5">
        <f t="shared" si="1"/>
        <v>11826251.223904748</v>
      </c>
      <c r="N7" s="5">
        <f>SUM(N4:N6)</f>
        <v>11826251.223904748</v>
      </c>
      <c r="O7" s="7">
        <f>SUM(O4:O6)</f>
        <v>11570244.341960832</v>
      </c>
      <c r="P7" s="118"/>
      <c r="Q7" s="134">
        <f>SUM(Q4:Q6)</f>
        <v>1574422.2075400001</v>
      </c>
    </row>
    <row r="8" spans="1:17">
      <c r="Q8" s="2"/>
    </row>
    <row r="9" spans="1:17">
      <c r="A9" t="str">
        <f>'Summary-Cost-E'!C24</f>
        <v>Distribution</v>
      </c>
      <c r="B9" s="2">
        <f>'Summary-Cost-E'!Z24</f>
        <v>-83482.981113629809</v>
      </c>
      <c r="C9" s="2">
        <f>'Summary-Cost-E'!AA24</f>
        <v>-98828.468642879248</v>
      </c>
      <c r="D9" s="2">
        <f>'Summary-Cost-E'!AB24</f>
        <v>-115452.66145518799</v>
      </c>
      <c r="E9" s="2">
        <f>'Summary-Cost-E'!AC24</f>
        <v>-133355.57077972213</v>
      </c>
      <c r="F9" s="2">
        <f>'Summary-Cost-E'!AD24</f>
        <v>-151813.18559552517</v>
      </c>
      <c r="G9" s="2">
        <f>'Summary-Cost-E'!AE24</f>
        <v>-170270.80041132821</v>
      </c>
      <c r="H9" s="2">
        <f>'Summary-Cost-E'!AF24</f>
        <v>-188728.41522713125</v>
      </c>
      <c r="I9" s="2">
        <f>'Summary-Cost-E'!AG24</f>
        <v>-207186.03004293429</v>
      </c>
      <c r="J9" s="2">
        <f>'Summary-Cost-E'!AH24</f>
        <v>-225643.64485873733</v>
      </c>
      <c r="K9" s="2">
        <f>'Summary-Cost-E'!AI24</f>
        <v>-244101.25967454037</v>
      </c>
      <c r="L9" s="2">
        <f>'Summary-Cost-E'!AJ24</f>
        <v>-262558.87449034338</v>
      </c>
      <c r="M9" s="2">
        <f>'Summary-Cost-E'!AK24</f>
        <v>-281016.4893061464</v>
      </c>
      <c r="N9" s="2">
        <f>'Summary-Cost-E'!AL24</f>
        <v>-299474.10412194941</v>
      </c>
      <c r="O9" s="122">
        <f t="shared" ref="O9:O10" si="2">(((B9+N9)/2)+C9+D9+E9+F9+G9+H9+I9+J9+K9+L9+M9)/12</f>
        <v>-189202.82859185545</v>
      </c>
      <c r="P9" s="116" t="s">
        <v>163</v>
      </c>
      <c r="Q9" s="122">
        <f>+'Summary-Cost-E'!Q24</f>
        <v>-2914.8663585416666</v>
      </c>
    </row>
    <row r="10" spans="1:17">
      <c r="A10" t="str">
        <f>'Summary-Cost-E'!C25</f>
        <v xml:space="preserve">Transmission </v>
      </c>
      <c r="B10" s="2">
        <f>'Summary-Cost-E'!Z25</f>
        <v>-10742.347459220488</v>
      </c>
      <c r="C10" s="2">
        <f>'Summary-Cost-E'!AA25</f>
        <v>-14664.910558052003</v>
      </c>
      <c r="D10" s="2">
        <f>'Summary-Cost-E'!AB25</f>
        <v>-18826.923105837675</v>
      </c>
      <c r="E10" s="2">
        <f>'Summary-Cost-E'!AC25</f>
        <v>-23193.171948526673</v>
      </c>
      <c r="F10" s="2">
        <f>'Summary-Cost-E'!AD25</f>
        <v>-27559.420791215671</v>
      </c>
      <c r="G10" s="2">
        <f>'Summary-Cost-E'!AE25</f>
        <v>-31925.669633904668</v>
      </c>
      <c r="H10" s="2">
        <f>'Summary-Cost-E'!AF25</f>
        <v>-36291.918476593666</v>
      </c>
      <c r="I10" s="2">
        <f>'Summary-Cost-E'!AG25</f>
        <v>-40658.167319282664</v>
      </c>
      <c r="J10" s="2">
        <f>'Summary-Cost-E'!AH25</f>
        <v>-45024.416161971661</v>
      </c>
      <c r="K10" s="2">
        <f>'Summary-Cost-E'!AI25</f>
        <v>-49390.665004660659</v>
      </c>
      <c r="L10" s="2">
        <f>'Summary-Cost-E'!AJ25</f>
        <v>-53756.913847349657</v>
      </c>
      <c r="M10" s="2">
        <f>'Summary-Cost-E'!AK25</f>
        <v>-58123.162690038655</v>
      </c>
      <c r="N10" s="2">
        <f>'Summary-Cost-E'!AL25</f>
        <v>-62489.411532727652</v>
      </c>
      <c r="O10" s="122">
        <f t="shared" si="2"/>
        <v>-36335.934919450643</v>
      </c>
      <c r="P10" s="116" t="s">
        <v>164</v>
      </c>
      <c r="Q10" s="122">
        <f>+'Summary-Cost-E'!Q25</f>
        <v>-264.54191441329999</v>
      </c>
    </row>
    <row r="11" spans="1:17">
      <c r="A11" t="s">
        <v>20</v>
      </c>
      <c r="B11" s="2">
        <f>'Summary-Cost-E'!Z26</f>
        <v>-18143.070860268752</v>
      </c>
      <c r="C11" s="2">
        <f>'Summary-Cost-E'!AA26</f>
        <v>-22176.067954432641</v>
      </c>
      <c r="D11" s="2">
        <f>'Summary-Cost-E'!AB26</f>
        <v>-26211.472187915973</v>
      </c>
      <c r="E11" s="2">
        <f>'Summary-Cost-E'!AC26</f>
        <v>-30249.283560718752</v>
      </c>
      <c r="F11" s="2">
        <f>'Summary-Cost-E'!AD26</f>
        <v>-34288.29850318125</v>
      </c>
      <c r="G11" s="2">
        <f>'Summary-Cost-E'!AE26</f>
        <v>-38327.313445643747</v>
      </c>
      <c r="H11" s="2">
        <f>'Summary-Cost-E'!AF26</f>
        <v>-42366.328388106245</v>
      </c>
      <c r="I11" s="2">
        <f>'Summary-Cost-E'!AG26</f>
        <v>-46405.343330568743</v>
      </c>
      <c r="J11" s="2">
        <f>'Summary-Cost-E'!AH26</f>
        <v>-50444.358273031241</v>
      </c>
      <c r="K11" s="2">
        <f>'Summary-Cost-E'!AI26</f>
        <v>-54483.373215493739</v>
      </c>
      <c r="L11" s="2">
        <f>'Summary-Cost-E'!AJ26</f>
        <v>-58522.388157956237</v>
      </c>
      <c r="M11" s="2">
        <f>'Summary-Cost-E'!AK26</f>
        <v>-62561.403100418735</v>
      </c>
      <c r="N11" s="2">
        <f>'Summary-Cost-E'!AL26</f>
        <v>-66600.41804288124</v>
      </c>
      <c r="O11" s="122">
        <f t="shared" ref="O11" si="3">(((B11+N11)/2)+C11+D11+E11+F11+G11+H11+I11+J11+K11+L11+M11)/12</f>
        <v>-42367.281214086863</v>
      </c>
      <c r="P11" s="116" t="s">
        <v>162</v>
      </c>
      <c r="Q11" s="122">
        <f>+'Summary-Cost-E'!Q26</f>
        <v>0</v>
      </c>
    </row>
    <row r="12" spans="1:17" ht="13.45" thickBot="1">
      <c r="A12" t="s">
        <v>10</v>
      </c>
      <c r="B12" s="5">
        <f t="shared" ref="B12:M12" si="4">SUM(B9:B11)</f>
        <v>-112368.39943311905</v>
      </c>
      <c r="C12" s="5">
        <f t="shared" si="4"/>
        <v>-135669.44715536389</v>
      </c>
      <c r="D12" s="5">
        <f t="shared" si="4"/>
        <v>-160491.05674894163</v>
      </c>
      <c r="E12" s="5">
        <f t="shared" si="4"/>
        <v>-186798.02628896755</v>
      </c>
      <c r="F12" s="5">
        <f t="shared" si="4"/>
        <v>-213660.90488992209</v>
      </c>
      <c r="G12" s="5">
        <f t="shared" si="4"/>
        <v>-240523.78349087664</v>
      </c>
      <c r="H12" s="5">
        <f t="shared" si="4"/>
        <v>-267386.66209183115</v>
      </c>
      <c r="I12" s="5">
        <f t="shared" si="4"/>
        <v>-294249.5406927857</v>
      </c>
      <c r="J12" s="5">
        <f t="shared" si="4"/>
        <v>-321112.41929374024</v>
      </c>
      <c r="K12" s="5">
        <f t="shared" si="4"/>
        <v>-347975.29789469478</v>
      </c>
      <c r="L12" s="5">
        <f t="shared" si="4"/>
        <v>-374838.17649564927</v>
      </c>
      <c r="M12" s="5">
        <f t="shared" si="4"/>
        <v>-401701.05509660381</v>
      </c>
      <c r="N12" s="5">
        <f>SUM(N9:N11)</f>
        <v>-428563.9336975583</v>
      </c>
      <c r="O12" s="7">
        <f>SUM(O9:O11)</f>
        <v>-267906.04472539295</v>
      </c>
      <c r="Q12" s="135">
        <f>SUM(T4)</f>
        <v>0</v>
      </c>
    </row>
    <row r="14" spans="1:17">
      <c r="A14" t="s">
        <v>11</v>
      </c>
      <c r="B14" s="2">
        <f>'Summary-Cost-E'!Z73</f>
        <v>-72183.533453241194</v>
      </c>
      <c r="C14" s="2">
        <f>'Summary-Cost-E'!AA73</f>
        <v>-76555.015925994085</v>
      </c>
      <c r="D14" s="2">
        <f>'Summary-Cost-E'!AB73</f>
        <v>-80607.180405767052</v>
      </c>
      <c r="E14" s="2">
        <f>'Summary-Cost-E'!AC73</f>
        <v>-84347.419296785927</v>
      </c>
      <c r="F14" s="2">
        <f>'Summary-Cost-E'!AD73</f>
        <v>-94604.638222847469</v>
      </c>
      <c r="G14" s="2">
        <f>'Summary-Cost-E'!AE73</f>
        <v>-104861.85714890902</v>
      </c>
      <c r="H14" s="2">
        <f>'Summary-Cost-E'!AF73</f>
        <v>-115119.07607497058</v>
      </c>
      <c r="I14" s="2">
        <f>'Summary-Cost-E'!AG73</f>
        <v>-125376.29500103214</v>
      </c>
      <c r="J14" s="2">
        <f>'Summary-Cost-E'!AH73</f>
        <v>-135633.51392709368</v>
      </c>
      <c r="K14" s="2">
        <f>'Summary-Cost-E'!AI73</f>
        <v>-145890.73285315523</v>
      </c>
      <c r="L14" s="2">
        <f>'Summary-Cost-E'!AJ73</f>
        <v>-156147.95177921679</v>
      </c>
      <c r="M14" s="2">
        <f>'Summary-Cost-E'!AK73</f>
        <v>-166405.17070527837</v>
      </c>
      <c r="N14" s="2">
        <f>'Summary-Cost-E'!AL73</f>
        <v>-176662.3896313399</v>
      </c>
      <c r="O14" s="123">
        <f>(((B14+N14)/2)+C14+D14+E14+F14+G14+H14+I14+J14+K14+L14+M14)/12</f>
        <v>-117497.65107361175</v>
      </c>
      <c r="P14" s="116" t="s">
        <v>165</v>
      </c>
      <c r="Q14" s="123">
        <f>+'Summary-Cost-E'!Q73</f>
        <v>-79500.666844053427</v>
      </c>
    </row>
    <row r="16" spans="1:17">
      <c r="A16" t="str">
        <f>'Summary-Cost-E'!C17</f>
        <v>Distribution</v>
      </c>
      <c r="C16" s="2">
        <f>'Summary-Cost-E'!AA17</f>
        <v>15345.487529249447</v>
      </c>
      <c r="D16" s="2">
        <f>'Summary-Cost-E'!AB17</f>
        <v>16624.192812308745</v>
      </c>
      <c r="E16" s="2">
        <f>'Summary-Cost-E'!AC17</f>
        <v>17902.909324534146</v>
      </c>
      <c r="F16" s="2">
        <f>'Summary-Cost-E'!AD17</f>
        <v>18457.614815803041</v>
      </c>
      <c r="G16" s="2">
        <f>'Summary-Cost-E'!AE17</f>
        <v>18457.614815803041</v>
      </c>
      <c r="H16" s="2">
        <f>'Summary-Cost-E'!AF17</f>
        <v>18457.614815803041</v>
      </c>
      <c r="I16" s="2">
        <f>'Summary-Cost-E'!AG17</f>
        <v>18457.614815803041</v>
      </c>
      <c r="J16" s="2">
        <f>'Summary-Cost-E'!AH17</f>
        <v>18457.614815803041</v>
      </c>
      <c r="K16" s="2">
        <f>'Summary-Cost-E'!AI17</f>
        <v>18457.614815803041</v>
      </c>
      <c r="L16" s="2">
        <f>'Summary-Cost-E'!AJ17</f>
        <v>18457.614815803041</v>
      </c>
      <c r="M16" s="2">
        <f>'Summary-Cost-E'!AK17</f>
        <v>18457.614815803041</v>
      </c>
      <c r="N16" s="2">
        <f>'Summary-Cost-E'!AL17</f>
        <v>18457.614815803041</v>
      </c>
      <c r="O16" s="112">
        <f>SUM(C16:N16)</f>
        <v>215991.1230083197</v>
      </c>
      <c r="P16" s="116" t="s">
        <v>156</v>
      </c>
      <c r="Q16" s="112">
        <f>+'Summary-Cost-E'!Q17</f>
        <v>2914.8663585416666</v>
      </c>
    </row>
    <row r="17" spans="1:17">
      <c r="A17" t="str">
        <f>'Summary-Cost-E'!C18</f>
        <v xml:space="preserve">Transmission </v>
      </c>
      <c r="C17" s="2">
        <f>'Summary-Cost-E'!AA18</f>
        <v>3922.5630988315152</v>
      </c>
      <c r="D17" s="2">
        <f>'Summary-Cost-E'!AB18</f>
        <v>4162.0125477856709</v>
      </c>
      <c r="E17" s="2">
        <f>'Summary-Cost-E'!AC18</f>
        <v>4366.2488426889995</v>
      </c>
      <c r="F17" s="2">
        <f>'Summary-Cost-E'!AD18</f>
        <v>4366.2488426889995</v>
      </c>
      <c r="G17" s="2">
        <f>'Summary-Cost-E'!AE18</f>
        <v>4366.2488426889995</v>
      </c>
      <c r="H17" s="2">
        <f>'Summary-Cost-E'!AF18</f>
        <v>4366.2488426889995</v>
      </c>
      <c r="I17" s="2">
        <f>'Summary-Cost-E'!AG18</f>
        <v>4366.2488426889995</v>
      </c>
      <c r="J17" s="2">
        <f>'Summary-Cost-E'!AH18</f>
        <v>4366.2488426889995</v>
      </c>
      <c r="K17" s="2">
        <f>'Summary-Cost-E'!AI18</f>
        <v>4366.2488426889995</v>
      </c>
      <c r="L17" s="2">
        <f>'Summary-Cost-E'!AJ18</f>
        <v>4366.2488426889995</v>
      </c>
      <c r="M17" s="2">
        <f>'Summary-Cost-E'!AK18</f>
        <v>4366.2488426889995</v>
      </c>
      <c r="N17" s="2">
        <f>'Summary-Cost-E'!AL18</f>
        <v>4366.2488426889995</v>
      </c>
      <c r="O17" s="112">
        <f t="shared" ref="O17" si="5">SUM(C17:N17)</f>
        <v>51747.064073507165</v>
      </c>
      <c r="P17" s="116" t="s">
        <v>157</v>
      </c>
      <c r="Q17" s="112">
        <f>+'Summary-Cost-E'!Q18</f>
        <v>264.54191441329999</v>
      </c>
    </row>
    <row r="18" spans="1:17">
      <c r="A18" t="s">
        <v>20</v>
      </c>
      <c r="C18" s="2">
        <f>'Summary-Cost-E'!AA19</f>
        <v>4032.997094163889</v>
      </c>
      <c r="D18" s="2">
        <f>'Summary-Cost-E'!AB19</f>
        <v>4035.4042334833334</v>
      </c>
      <c r="E18" s="2">
        <f>'Summary-Cost-E'!AC19</f>
        <v>4037.811372802777</v>
      </c>
      <c r="F18" s="2">
        <f>'Summary-Cost-E'!AD19</f>
        <v>4039.0149424624997</v>
      </c>
      <c r="G18" s="2">
        <f>'Summary-Cost-E'!AE19</f>
        <v>4039.0149424624997</v>
      </c>
      <c r="H18" s="2">
        <f>'Summary-Cost-E'!AF19</f>
        <v>4039.0149424624997</v>
      </c>
      <c r="I18" s="2">
        <f>'Summary-Cost-E'!AG19</f>
        <v>4039.0149424624997</v>
      </c>
      <c r="J18" s="2">
        <f>'Summary-Cost-E'!AH19</f>
        <v>4039.0149424624997</v>
      </c>
      <c r="K18" s="2">
        <f>'Summary-Cost-E'!AI19</f>
        <v>4039.0149424624997</v>
      </c>
      <c r="L18" s="2">
        <f>'Summary-Cost-E'!AJ19</f>
        <v>4039.0149424624997</v>
      </c>
      <c r="M18" s="2">
        <f>'Summary-Cost-E'!AK19</f>
        <v>4039.0149424624997</v>
      </c>
      <c r="N18" s="2">
        <f>'Summary-Cost-E'!AL19</f>
        <v>4039.0149424624997</v>
      </c>
      <c r="O18" s="112">
        <f t="shared" ref="O18" si="6">SUM(C18:N18)</f>
        <v>48457.347182612488</v>
      </c>
      <c r="P18" s="116" t="s">
        <v>158</v>
      </c>
      <c r="Q18" s="112">
        <f>+'Summary-Cost-E'!Q19</f>
        <v>0</v>
      </c>
    </row>
    <row r="19" spans="1:17" ht="13.45" thickBot="1">
      <c r="A19" t="s">
        <v>12</v>
      </c>
      <c r="C19" s="5">
        <f>SUM(C16:C18)</f>
        <v>23301.047722244854</v>
      </c>
      <c r="D19" s="5">
        <f t="shared" ref="D19:M19" si="7">SUM(D16:D18)</f>
        <v>24821.609593577748</v>
      </c>
      <c r="E19" s="5">
        <f t="shared" si="7"/>
        <v>26306.969540025926</v>
      </c>
      <c r="F19" s="5">
        <f t="shared" si="7"/>
        <v>26862.878600954537</v>
      </c>
      <c r="G19" s="5">
        <f t="shared" si="7"/>
        <v>26862.878600954537</v>
      </c>
      <c r="H19" s="5">
        <f t="shared" si="7"/>
        <v>26862.878600954537</v>
      </c>
      <c r="I19" s="5">
        <f t="shared" si="7"/>
        <v>26862.878600954537</v>
      </c>
      <c r="J19" s="5">
        <f t="shared" si="7"/>
        <v>26862.878600954537</v>
      </c>
      <c r="K19" s="5">
        <f t="shared" si="7"/>
        <v>26862.878600954537</v>
      </c>
      <c r="L19" s="5">
        <f t="shared" si="7"/>
        <v>26862.878600954537</v>
      </c>
      <c r="M19" s="5">
        <f t="shared" si="7"/>
        <v>26862.878600954537</v>
      </c>
      <c r="N19" s="5">
        <f>SUM(N16:N18)</f>
        <v>26862.878600954537</v>
      </c>
      <c r="O19" s="7">
        <f>SUM(O16:O18)</f>
        <v>316195.53426443937</v>
      </c>
      <c r="Q19" s="135">
        <f>SUM(Q16:Q18)</f>
        <v>3179.4082729549664</v>
      </c>
    </row>
    <row r="23" spans="1:17">
      <c r="A23" s="75" t="s">
        <v>173</v>
      </c>
    </row>
    <row r="24" spans="1:17">
      <c r="B24" s="6">
        <v>202109</v>
      </c>
      <c r="C24" s="6">
        <v>202110</v>
      </c>
      <c r="D24" s="6">
        <v>202111</v>
      </c>
      <c r="E24" s="6">
        <v>202112</v>
      </c>
      <c r="F24" s="6">
        <v>202201</v>
      </c>
      <c r="G24" s="6">
        <v>202202</v>
      </c>
      <c r="H24" s="6">
        <v>202203</v>
      </c>
      <c r="I24" s="6">
        <v>202204</v>
      </c>
      <c r="J24" s="6">
        <v>202205</v>
      </c>
      <c r="K24" s="6">
        <v>202206</v>
      </c>
      <c r="L24" s="6">
        <v>202207</v>
      </c>
      <c r="M24" s="6">
        <v>202208</v>
      </c>
      <c r="N24" s="6">
        <v>202209</v>
      </c>
      <c r="O24" s="6" t="s">
        <v>9</v>
      </c>
    </row>
    <row r="25" spans="1:17">
      <c r="A25" t="s">
        <v>17</v>
      </c>
      <c r="B25" s="8">
        <v>5344696.9749999996</v>
      </c>
      <c r="C25" s="8">
        <v>7233480.0374999996</v>
      </c>
      <c r="D25" s="8">
        <v>9122263.0999999996</v>
      </c>
      <c r="E25" s="8">
        <v>9122263.0999999996</v>
      </c>
      <c r="F25" s="8">
        <v>9122263.0999999996</v>
      </c>
      <c r="G25" s="8">
        <v>9122263.0999999996</v>
      </c>
      <c r="H25" s="8">
        <v>9122263.0999999996</v>
      </c>
      <c r="I25" s="8">
        <v>9122263.0999999996</v>
      </c>
      <c r="J25" s="8">
        <v>9122263.0999999996</v>
      </c>
      <c r="K25" s="8">
        <v>9122263.0999999996</v>
      </c>
      <c r="L25" s="8">
        <v>9122263.0999999996</v>
      </c>
      <c r="M25" s="8">
        <v>9122263.0999999996</v>
      </c>
      <c r="N25" s="8">
        <v>9122263.0999999996</v>
      </c>
      <c r="O25" s="29">
        <v>8807465.9229166638</v>
      </c>
    </row>
    <row r="26" spans="1:17">
      <c r="A26" t="s">
        <v>13</v>
      </c>
      <c r="B26" s="8">
        <v>4465895.96</v>
      </c>
      <c r="C26" s="8">
        <v>4739884.4000000004</v>
      </c>
      <c r="D26" s="8">
        <v>4739884.4000000004</v>
      </c>
      <c r="E26" s="8">
        <v>4739884.4000000004</v>
      </c>
      <c r="F26" s="8">
        <v>4739884.4000000004</v>
      </c>
      <c r="G26" s="8">
        <v>4739884.4000000004</v>
      </c>
      <c r="H26" s="8">
        <v>4739884.4000000004</v>
      </c>
      <c r="I26" s="8">
        <v>4739884.4000000004</v>
      </c>
      <c r="J26" s="8">
        <v>4739884.4000000004</v>
      </c>
      <c r="K26" s="8">
        <v>4739884.4000000004</v>
      </c>
      <c r="L26" s="8">
        <v>4739884.4000000004</v>
      </c>
      <c r="M26" s="8">
        <v>4739884.4000000004</v>
      </c>
      <c r="N26" s="8">
        <v>4739884.4000000004</v>
      </c>
      <c r="O26" s="29">
        <v>4728468.2149999989</v>
      </c>
    </row>
    <row r="27" spans="1:17">
      <c r="A27" t="s">
        <v>20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9"/>
    </row>
    <row r="28" spans="1:17" ht="13.45" thickBot="1">
      <c r="A28" t="s">
        <v>7</v>
      </c>
      <c r="B28" s="5">
        <v>9810592.9349999987</v>
      </c>
      <c r="C28" s="5">
        <v>11973364.4375</v>
      </c>
      <c r="D28" s="5">
        <v>13862147.5</v>
      </c>
      <c r="E28" s="5">
        <v>13862147.5</v>
      </c>
      <c r="F28" s="5">
        <v>13862147.5</v>
      </c>
      <c r="G28" s="5">
        <v>13862147.5</v>
      </c>
      <c r="H28" s="5">
        <v>13862147.5</v>
      </c>
      <c r="I28" s="5">
        <v>13862147.5</v>
      </c>
      <c r="J28" s="5">
        <v>13862147.5</v>
      </c>
      <c r="K28" s="5">
        <v>13862147.5</v>
      </c>
      <c r="L28" s="5">
        <v>13862147.5</v>
      </c>
      <c r="M28" s="5">
        <v>13862147.5</v>
      </c>
      <c r="N28" s="5">
        <v>13862147.5</v>
      </c>
      <c r="O28" s="7">
        <v>13535934.137916701</v>
      </c>
    </row>
    <row r="30" spans="1:17">
      <c r="A30" t="s">
        <v>18</v>
      </c>
      <c r="B30" s="2">
        <v>-47242.974098541672</v>
      </c>
      <c r="C30" s="2">
        <v>-60083.196465468754</v>
      </c>
      <c r="D30" s="2">
        <v>-76779.684251666666</v>
      </c>
      <c r="E30" s="2">
        <v>-95404.304747499991</v>
      </c>
      <c r="F30" s="2">
        <v>-114028.92524333333</v>
      </c>
      <c r="G30" s="2">
        <v>-132653.54573916667</v>
      </c>
      <c r="H30" s="2">
        <v>-151278.16623500001</v>
      </c>
      <c r="I30" s="2">
        <v>-169902.78673083335</v>
      </c>
      <c r="J30" s="2">
        <v>-188527.40722666669</v>
      </c>
      <c r="K30" s="2">
        <v>-207152.02772250003</v>
      </c>
      <c r="L30" s="2">
        <v>-225776.64821833337</v>
      </c>
      <c r="M30" s="2">
        <v>-244401.26871416671</v>
      </c>
      <c r="N30" s="2">
        <v>-263025.88921000005</v>
      </c>
      <c r="O30" s="30">
        <v>-151760.19941240887</v>
      </c>
    </row>
    <row r="31" spans="1:17">
      <c r="A31" t="s">
        <v>14</v>
      </c>
      <c r="B31" s="2">
        <v>-43316.560698999994</v>
      </c>
      <c r="C31" s="2">
        <v>-51218.188841333329</v>
      </c>
      <c r="D31" s="2">
        <v>-59354.99039466666</v>
      </c>
      <c r="E31" s="2">
        <v>-67491.791947999998</v>
      </c>
      <c r="F31" s="2">
        <v>-75628.593501333336</v>
      </c>
      <c r="G31" s="2">
        <v>-83765.395054666675</v>
      </c>
      <c r="H31" s="2">
        <v>-91902.196608000013</v>
      </c>
      <c r="I31" s="2">
        <v>-100038.99816133335</v>
      </c>
      <c r="J31" s="2">
        <v>-108175.79971466669</v>
      </c>
      <c r="K31" s="2">
        <v>-116312.60126800003</v>
      </c>
      <c r="L31" s="2">
        <v>-124449.40282133337</v>
      </c>
      <c r="M31" s="2">
        <v>-132586.2043746667</v>
      </c>
      <c r="N31" s="2">
        <v>-140723.00592800003</v>
      </c>
      <c r="O31" s="30">
        <v>-91911.995500125035</v>
      </c>
    </row>
    <row r="32" spans="1:17">
      <c r="A32" t="s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0"/>
    </row>
    <row r="33" spans="1:15" ht="13.45" thickBot="1">
      <c r="A33" t="s">
        <v>10</v>
      </c>
      <c r="B33" s="5">
        <v>-90559.534797541666</v>
      </c>
      <c r="C33" s="5">
        <v>-111301.38530680208</v>
      </c>
      <c r="D33" s="5">
        <v>-136134.67464633333</v>
      </c>
      <c r="E33" s="5">
        <v>-162896.09669549999</v>
      </c>
      <c r="F33" s="5">
        <v>-189657.51874466665</v>
      </c>
      <c r="G33" s="5">
        <v>-216418.94079383335</v>
      </c>
      <c r="H33" s="5">
        <v>-243180.36284300004</v>
      </c>
      <c r="I33" s="5">
        <v>-269941.78489216673</v>
      </c>
      <c r="J33" s="5">
        <v>-296703.20694133337</v>
      </c>
      <c r="K33" s="5">
        <v>-323464.62899050006</v>
      </c>
      <c r="L33" s="5">
        <v>-350226.05103966675</v>
      </c>
      <c r="M33" s="5">
        <v>-376987.47308883339</v>
      </c>
      <c r="N33" s="5">
        <v>-403748.89513800008</v>
      </c>
      <c r="O33" s="7">
        <v>-243672.19491253392</v>
      </c>
    </row>
    <row r="35" spans="1:15">
      <c r="A35" t="s">
        <v>11</v>
      </c>
      <c r="B35" s="2">
        <v>-110436.605455015</v>
      </c>
      <c r="C35" s="2">
        <v>-117343.36710570907</v>
      </c>
      <c r="D35" s="2">
        <v>-123390.92660204624</v>
      </c>
      <c r="E35" s="2">
        <v>-129033.57822935999</v>
      </c>
      <c r="F35" s="2">
        <v>-140587.73472835001</v>
      </c>
      <c r="G35" s="2">
        <v>-152141.89122733998</v>
      </c>
      <c r="H35" s="2">
        <v>-163696.04772633</v>
      </c>
      <c r="I35" s="2">
        <v>-175250.20422531996</v>
      </c>
      <c r="J35" s="2">
        <v>-186804.36072430998</v>
      </c>
      <c r="K35" s="2">
        <v>-198358.51722329998</v>
      </c>
      <c r="L35" s="2">
        <v>-209912.67372228997</v>
      </c>
      <c r="M35" s="2">
        <v>-221466.83022127999</v>
      </c>
      <c r="N35" s="2">
        <v>-233020.98672026995</v>
      </c>
      <c r="O35" s="17">
        <v>-165809.57731860646</v>
      </c>
    </row>
    <row r="37" spans="1:15">
      <c r="A37" t="s">
        <v>18</v>
      </c>
      <c r="C37" s="2">
        <v>12840.222366927082</v>
      </c>
      <c r="D37" s="2">
        <v>16696.487786197915</v>
      </c>
      <c r="E37" s="2">
        <v>18624.620495833333</v>
      </c>
      <c r="F37" s="2">
        <v>18624.620495833333</v>
      </c>
      <c r="G37" s="2">
        <v>18624.620495833333</v>
      </c>
      <c r="H37" s="2">
        <v>18624.620495833333</v>
      </c>
      <c r="I37" s="2">
        <v>18624.620495833333</v>
      </c>
      <c r="J37" s="2">
        <v>18624.620495833333</v>
      </c>
      <c r="K37" s="2">
        <v>18624.620495833333</v>
      </c>
      <c r="L37" s="2">
        <v>18624.620495833333</v>
      </c>
      <c r="M37" s="2">
        <v>18624.620495833333</v>
      </c>
      <c r="N37" s="2">
        <v>18624.620495833333</v>
      </c>
      <c r="O37" s="3">
        <v>215782.91511145839</v>
      </c>
    </row>
    <row r="38" spans="1:15">
      <c r="A38" t="s">
        <v>14</v>
      </c>
      <c r="C38" s="2">
        <v>7901.6281423333321</v>
      </c>
      <c r="D38" s="2">
        <v>8136.8015533333346</v>
      </c>
      <c r="E38" s="2">
        <v>8136.8015533333346</v>
      </c>
      <c r="F38" s="2">
        <v>8136.8015533333346</v>
      </c>
      <c r="G38" s="2">
        <v>8136.8015533333346</v>
      </c>
      <c r="H38" s="2">
        <v>8136.8015533333346</v>
      </c>
      <c r="I38" s="2">
        <v>8136.8015533333346</v>
      </c>
      <c r="J38" s="2">
        <v>8136.8015533333346</v>
      </c>
      <c r="K38" s="2">
        <v>8136.8015533333346</v>
      </c>
      <c r="L38" s="2">
        <v>8136.8015533333346</v>
      </c>
      <c r="M38" s="2">
        <v>8136.8015533333346</v>
      </c>
      <c r="N38" s="2">
        <v>8136.8015533333346</v>
      </c>
      <c r="O38" s="3">
        <v>97406.445229000034</v>
      </c>
    </row>
    <row r="39" spans="1:15">
      <c r="A39" t="s">
        <v>20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</row>
    <row r="40" spans="1:15" ht="13.45" thickBot="1">
      <c r="A40" t="s">
        <v>12</v>
      </c>
      <c r="C40" s="5">
        <v>20741.850509260414</v>
      </c>
      <c r="D40" s="5">
        <v>24833.289339531249</v>
      </c>
      <c r="E40" s="5">
        <v>26761.422049166667</v>
      </c>
      <c r="F40" s="5">
        <v>26761.422049166667</v>
      </c>
      <c r="G40" s="5">
        <v>26761.422049166667</v>
      </c>
      <c r="H40" s="5">
        <v>26761.422049166667</v>
      </c>
      <c r="I40" s="5">
        <v>26761.422049166667</v>
      </c>
      <c r="J40" s="5">
        <v>26761.422049166667</v>
      </c>
      <c r="K40" s="5">
        <v>26761.422049166667</v>
      </c>
      <c r="L40" s="5">
        <v>26761.422049166667</v>
      </c>
      <c r="M40" s="5">
        <v>26761.422049166667</v>
      </c>
      <c r="N40" s="5">
        <v>26761.422049166667</v>
      </c>
      <c r="O40" s="7">
        <v>313189.36034045846</v>
      </c>
    </row>
    <row r="44" spans="1:15">
      <c r="A44" s="75" t="s">
        <v>48</v>
      </c>
    </row>
    <row r="45" spans="1:15">
      <c r="B45" s="6">
        <v>202109</v>
      </c>
      <c r="C45" s="6">
        <v>202110</v>
      </c>
      <c r="D45" s="6">
        <v>202111</v>
      </c>
      <c r="E45" s="6">
        <v>202112</v>
      </c>
      <c r="F45" s="6">
        <v>202201</v>
      </c>
      <c r="G45" s="6">
        <v>202202</v>
      </c>
      <c r="H45" s="6">
        <v>202203</v>
      </c>
      <c r="I45" s="6">
        <v>202204</v>
      </c>
      <c r="J45" s="6">
        <v>202205</v>
      </c>
      <c r="K45" s="6">
        <v>202206</v>
      </c>
      <c r="L45" s="6">
        <v>202207</v>
      </c>
      <c r="M45" s="6">
        <v>202208</v>
      </c>
      <c r="N45" s="6">
        <v>202209</v>
      </c>
      <c r="O45" s="6" t="s">
        <v>9</v>
      </c>
    </row>
    <row r="46" spans="1:15">
      <c r="A46" t="s">
        <v>17</v>
      </c>
      <c r="B46" s="8">
        <f t="shared" ref="B46:N46" si="8">+B25-B4</f>
        <v>-1899773.1966636684</v>
      </c>
      <c r="C46" s="8">
        <f t="shared" si="8"/>
        <v>-554364.10520313773</v>
      </c>
      <c r="D46" s="8">
        <f t="shared" si="8"/>
        <v>625183.67146191746</v>
      </c>
      <c r="E46" s="8">
        <f t="shared" si="8"/>
        <v>81798.70042300038</v>
      </c>
      <c r="F46" s="8">
        <f t="shared" si="8"/>
        <v>81798.70042300038</v>
      </c>
      <c r="G46" s="8">
        <f t="shared" si="8"/>
        <v>81798.70042300038</v>
      </c>
      <c r="H46" s="8">
        <f t="shared" si="8"/>
        <v>81798.70042300038</v>
      </c>
      <c r="I46" s="8">
        <f t="shared" si="8"/>
        <v>81798.70042300038</v>
      </c>
      <c r="J46" s="8">
        <f t="shared" si="8"/>
        <v>81798.70042300038</v>
      </c>
      <c r="K46" s="8">
        <f t="shared" si="8"/>
        <v>81798.70042300038</v>
      </c>
      <c r="L46" s="8">
        <f t="shared" si="8"/>
        <v>81798.70042300038</v>
      </c>
      <c r="M46" s="8">
        <f t="shared" si="8"/>
        <v>81798.70042300038</v>
      </c>
      <c r="N46" s="8">
        <f t="shared" si="8"/>
        <v>81798.70042300038</v>
      </c>
      <c r="O46" s="29">
        <f>(((B46+N46)/2)+C46+D46+E46+F46+G46+H46+I46+J46+K46+L46+M46)/12</f>
        <v>-8498.2815045459047</v>
      </c>
    </row>
    <row r="47" spans="1:15">
      <c r="A47" t="s">
        <v>13</v>
      </c>
      <c r="B47" s="8">
        <f t="shared" ref="B47:N47" si="9">+B26-B5</f>
        <v>2201420.2640112503</v>
      </c>
      <c r="C47" s="8">
        <f t="shared" si="9"/>
        <v>2434383.6701656259</v>
      </c>
      <c r="D47" s="8">
        <f t="shared" si="9"/>
        <v>2196438.4722200008</v>
      </c>
      <c r="E47" s="8">
        <f t="shared" si="9"/>
        <v>2196438.4722200008</v>
      </c>
      <c r="F47" s="8">
        <f t="shared" si="9"/>
        <v>2196438.4722200008</v>
      </c>
      <c r="G47" s="8">
        <f t="shared" si="9"/>
        <v>2196438.4722200008</v>
      </c>
      <c r="H47" s="8">
        <f t="shared" si="9"/>
        <v>2196438.4722200008</v>
      </c>
      <c r="I47" s="8">
        <f t="shared" si="9"/>
        <v>2196438.4722200008</v>
      </c>
      <c r="J47" s="8">
        <f t="shared" si="9"/>
        <v>2196438.4722200008</v>
      </c>
      <c r="K47" s="8">
        <f t="shared" si="9"/>
        <v>2196438.4722200008</v>
      </c>
      <c r="L47" s="8">
        <f t="shared" si="9"/>
        <v>2196438.4722200008</v>
      </c>
      <c r="M47" s="8">
        <f t="shared" si="9"/>
        <v>2196438.4722200008</v>
      </c>
      <c r="N47" s="8">
        <f t="shared" si="9"/>
        <v>2196438.4722200008</v>
      </c>
      <c r="O47" s="29">
        <f t="shared" ref="O47" si="10">(((B47+N47)/2)+C47+D47+E47+F47+G47+H47+I47+J47+K47+L47+M47)/12</f>
        <v>2216474.8133734376</v>
      </c>
    </row>
    <row r="48" spans="1:15">
      <c r="A48" t="s">
        <v>20</v>
      </c>
      <c r="B48" s="8">
        <f t="shared" ref="B48:N48" si="11">+B27-B6</f>
        <v>-241907.61147024998</v>
      </c>
      <c r="C48" s="8">
        <f t="shared" si="11"/>
        <v>-242052.03982941664</v>
      </c>
      <c r="D48" s="8">
        <f t="shared" si="11"/>
        <v>-242196.4681885833</v>
      </c>
      <c r="E48" s="8">
        <f t="shared" si="11"/>
        <v>-242340.89654774996</v>
      </c>
      <c r="F48" s="8">
        <f t="shared" si="11"/>
        <v>-242340.89654774996</v>
      </c>
      <c r="G48" s="8">
        <f t="shared" si="11"/>
        <v>-242340.89654774996</v>
      </c>
      <c r="H48" s="8">
        <f t="shared" si="11"/>
        <v>-242340.89654774996</v>
      </c>
      <c r="I48" s="8">
        <f t="shared" si="11"/>
        <v>-242340.89654774996</v>
      </c>
      <c r="J48" s="8">
        <f t="shared" si="11"/>
        <v>-242340.89654774996</v>
      </c>
      <c r="K48" s="8">
        <f t="shared" si="11"/>
        <v>-242340.89654774996</v>
      </c>
      <c r="L48" s="8">
        <f t="shared" si="11"/>
        <v>-242340.89654774996</v>
      </c>
      <c r="M48" s="8">
        <f t="shared" si="11"/>
        <v>-242340.89654774996</v>
      </c>
      <c r="N48" s="8">
        <f t="shared" si="11"/>
        <v>-242340.89654774996</v>
      </c>
      <c r="O48" s="29">
        <f t="shared" ref="O48" si="12">(((B48+N48)/2)+C48+D48+E48+F48+G48+H48+I48+J48+K48+L48+M48)/12</f>
        <v>-242286.73591306247</v>
      </c>
    </row>
    <row r="49" spans="1:15" ht="13.45" thickBot="1">
      <c r="A49" t="s">
        <v>7</v>
      </c>
      <c r="B49" s="5">
        <f t="shared" ref="B49:N49" si="13">+B28-B7</f>
        <v>59739.455877330154</v>
      </c>
      <c r="C49" s="5">
        <f t="shared" si="13"/>
        <v>1637967.5251330715</v>
      </c>
      <c r="D49" s="5">
        <f t="shared" si="13"/>
        <v>2579425.6754933335</v>
      </c>
      <c r="E49" s="5">
        <f t="shared" si="13"/>
        <v>2035896.2760952525</v>
      </c>
      <c r="F49" s="5">
        <f t="shared" si="13"/>
        <v>2035896.2760952525</v>
      </c>
      <c r="G49" s="5">
        <f t="shared" si="13"/>
        <v>2035896.2760952525</v>
      </c>
      <c r="H49" s="5">
        <f t="shared" si="13"/>
        <v>2035896.2760952525</v>
      </c>
      <c r="I49" s="5">
        <f t="shared" si="13"/>
        <v>2035896.2760952525</v>
      </c>
      <c r="J49" s="5">
        <f t="shared" si="13"/>
        <v>2035896.2760952525</v>
      </c>
      <c r="K49" s="5">
        <f t="shared" si="13"/>
        <v>2035896.2760952525</v>
      </c>
      <c r="L49" s="5">
        <f t="shared" si="13"/>
        <v>2035896.2760952525</v>
      </c>
      <c r="M49" s="5">
        <f t="shared" si="13"/>
        <v>2035896.2760952525</v>
      </c>
      <c r="N49" s="5">
        <f t="shared" si="13"/>
        <v>2035896.2760952525</v>
      </c>
      <c r="O49" s="7">
        <f>SUM(O46:O48)</f>
        <v>1965689.7959558293</v>
      </c>
    </row>
    <row r="51" spans="1:15">
      <c r="A51" t="s">
        <v>18</v>
      </c>
      <c r="B51" s="8">
        <f>+B30-B9</f>
        <v>36240.007015088137</v>
      </c>
      <c r="C51" s="8">
        <f t="shared" ref="C51:N51" si="14">+C30-C9</f>
        <v>38745.272177410494</v>
      </c>
      <c r="D51" s="8">
        <f t="shared" si="14"/>
        <v>38672.977203521325</v>
      </c>
      <c r="E51" s="8">
        <f t="shared" si="14"/>
        <v>37951.266032222135</v>
      </c>
      <c r="F51" s="8">
        <f t="shared" si="14"/>
        <v>37784.260352191835</v>
      </c>
      <c r="G51" s="8">
        <f t="shared" si="14"/>
        <v>37617.254672161536</v>
      </c>
      <c r="H51" s="8">
        <f t="shared" si="14"/>
        <v>37450.248992131237</v>
      </c>
      <c r="I51" s="8">
        <f t="shared" si="14"/>
        <v>37283.243312100938</v>
      </c>
      <c r="J51" s="8">
        <f t="shared" si="14"/>
        <v>37116.237632070639</v>
      </c>
      <c r="K51" s="8">
        <f t="shared" si="14"/>
        <v>36949.23195204034</v>
      </c>
      <c r="L51" s="8">
        <f t="shared" si="14"/>
        <v>36782.226272010012</v>
      </c>
      <c r="M51" s="8">
        <f t="shared" si="14"/>
        <v>36615.220591979683</v>
      </c>
      <c r="N51" s="8">
        <f t="shared" si="14"/>
        <v>36448.214911949355</v>
      </c>
      <c r="O51" s="30">
        <f t="shared" ref="O51:O52" si="15">(((B51+N51)/2)+C51+D51+E51+F51+G51+H51+I51+J51+K51+L51+M51)/12</f>
        <v>37442.62917944658</v>
      </c>
    </row>
    <row r="52" spans="1:15">
      <c r="A52" t="s">
        <v>14</v>
      </c>
      <c r="B52" s="8">
        <f>+B31-B10</f>
        <v>-32574.213239779507</v>
      </c>
      <c r="C52" s="8">
        <f t="shared" ref="C52:N52" si="16">+C31-C10</f>
        <v>-36553.278283281325</v>
      </c>
      <c r="D52" s="8">
        <f t="shared" si="16"/>
        <v>-40528.067288828985</v>
      </c>
      <c r="E52" s="8">
        <f t="shared" si="16"/>
        <v>-44298.619999473325</v>
      </c>
      <c r="F52" s="8">
        <f t="shared" si="16"/>
        <v>-48069.172710117666</v>
      </c>
      <c r="G52" s="8">
        <f t="shared" si="16"/>
        <v>-51839.725420762006</v>
      </c>
      <c r="H52" s="8">
        <f t="shared" si="16"/>
        <v>-55610.278131406347</v>
      </c>
      <c r="I52" s="8">
        <f t="shared" si="16"/>
        <v>-59380.830842050687</v>
      </c>
      <c r="J52" s="8">
        <f t="shared" si="16"/>
        <v>-63151.383552695028</v>
      </c>
      <c r="K52" s="8">
        <f t="shared" si="16"/>
        <v>-66921.936263339361</v>
      </c>
      <c r="L52" s="8">
        <f t="shared" si="16"/>
        <v>-70692.488973983709</v>
      </c>
      <c r="M52" s="8">
        <f t="shared" si="16"/>
        <v>-74463.041684628057</v>
      </c>
      <c r="N52" s="8">
        <f t="shared" si="16"/>
        <v>-78233.594395272376</v>
      </c>
      <c r="O52" s="30">
        <f t="shared" si="15"/>
        <v>-55576.060580674362</v>
      </c>
    </row>
    <row r="53" spans="1:15">
      <c r="A53" t="s">
        <v>20</v>
      </c>
      <c r="B53" s="8">
        <f>+B32-B11</f>
        <v>18143.070860268752</v>
      </c>
      <c r="C53" s="8">
        <f t="shared" ref="C53:N53" si="17">+C32-C11</f>
        <v>22176.067954432641</v>
      </c>
      <c r="D53" s="8">
        <f t="shared" si="17"/>
        <v>26211.472187915973</v>
      </c>
      <c r="E53" s="8">
        <f t="shared" si="17"/>
        <v>30249.283560718752</v>
      </c>
      <c r="F53" s="8">
        <f t="shared" si="17"/>
        <v>34288.29850318125</v>
      </c>
      <c r="G53" s="8">
        <f t="shared" si="17"/>
        <v>38327.313445643747</v>
      </c>
      <c r="H53" s="8">
        <f t="shared" si="17"/>
        <v>42366.328388106245</v>
      </c>
      <c r="I53" s="8">
        <f t="shared" si="17"/>
        <v>46405.343330568743</v>
      </c>
      <c r="J53" s="8">
        <f t="shared" si="17"/>
        <v>50444.358273031241</v>
      </c>
      <c r="K53" s="8">
        <f t="shared" si="17"/>
        <v>54483.373215493739</v>
      </c>
      <c r="L53" s="8">
        <f t="shared" si="17"/>
        <v>58522.388157956237</v>
      </c>
      <c r="M53" s="8">
        <f t="shared" si="17"/>
        <v>62561.403100418735</v>
      </c>
      <c r="N53" s="8">
        <f t="shared" si="17"/>
        <v>66600.41804288124</v>
      </c>
      <c r="O53" s="30">
        <f t="shared" ref="O53" si="18">(((B53+N53)/2)+C53+D53+E53+F53+G53+H53+I53+J53+K53+L53+M53)/12</f>
        <v>42367.281214086863</v>
      </c>
    </row>
    <row r="54" spans="1:15" ht="13.45" thickBot="1">
      <c r="A54" t="s">
        <v>10</v>
      </c>
      <c r="B54" s="5">
        <f>+B33-B12</f>
        <v>21808.864635577382</v>
      </c>
      <c r="C54" s="5">
        <f t="shared" ref="C54:N54" si="19">+C33-C12</f>
        <v>24368.061848561803</v>
      </c>
      <c r="D54" s="5">
        <f t="shared" si="19"/>
        <v>24356.382102608302</v>
      </c>
      <c r="E54" s="5">
        <f t="shared" si="19"/>
        <v>23901.929593467561</v>
      </c>
      <c r="F54" s="5">
        <f t="shared" si="19"/>
        <v>24003.386145255441</v>
      </c>
      <c r="G54" s="5">
        <f t="shared" si="19"/>
        <v>24104.842697043292</v>
      </c>
      <c r="H54" s="5">
        <f t="shared" si="19"/>
        <v>24206.299248831114</v>
      </c>
      <c r="I54" s="5">
        <f t="shared" si="19"/>
        <v>24307.755800618965</v>
      </c>
      <c r="J54" s="5">
        <f t="shared" si="19"/>
        <v>24409.212352406874</v>
      </c>
      <c r="K54" s="5">
        <f t="shared" si="19"/>
        <v>24510.668904194725</v>
      </c>
      <c r="L54" s="5">
        <f t="shared" si="19"/>
        <v>24612.125455982517</v>
      </c>
      <c r="M54" s="5">
        <f t="shared" si="19"/>
        <v>24713.582007770427</v>
      </c>
      <c r="N54" s="5">
        <f t="shared" si="19"/>
        <v>24815.038559558219</v>
      </c>
      <c r="O54" s="7">
        <f>SUM(O51:O53)</f>
        <v>24233.84981285908</v>
      </c>
    </row>
    <row r="56" spans="1:15">
      <c r="A56" t="s">
        <v>11</v>
      </c>
      <c r="B56" s="8">
        <f>+B35-B14</f>
        <v>-38253.072001773806</v>
      </c>
      <c r="C56" s="8">
        <f t="shared" ref="C56:M56" si="20">+C35-C14</f>
        <v>-40788.351179714984</v>
      </c>
      <c r="D56" s="8">
        <f t="shared" si="20"/>
        <v>-42783.746196279186</v>
      </c>
      <c r="E56" s="8">
        <f t="shared" si="20"/>
        <v>-44686.158932574064</v>
      </c>
      <c r="F56" s="8">
        <f t="shared" si="20"/>
        <v>-45983.096505502544</v>
      </c>
      <c r="G56" s="8">
        <f t="shared" si="20"/>
        <v>-47280.034078430952</v>
      </c>
      <c r="H56" s="8">
        <f t="shared" si="20"/>
        <v>-48576.971651359418</v>
      </c>
      <c r="I56" s="8">
        <f t="shared" si="20"/>
        <v>-49873.909224287825</v>
      </c>
      <c r="J56" s="8">
        <f t="shared" si="20"/>
        <v>-51170.846797216305</v>
      </c>
      <c r="K56" s="8">
        <f t="shared" si="20"/>
        <v>-52467.784370144742</v>
      </c>
      <c r="L56" s="8">
        <f t="shared" si="20"/>
        <v>-53764.721943073178</v>
      </c>
      <c r="M56" s="8">
        <f t="shared" si="20"/>
        <v>-55061.659516001615</v>
      </c>
      <c r="N56" s="8">
        <f>+N35-N14</f>
        <v>-56358.597088930052</v>
      </c>
      <c r="O56" s="17">
        <f>(((B56+N56)/2)+C56+D56+E56+F56+G56+H56+I56+J56+K56+L56+M56)/12</f>
        <v>-48311.92624499472</v>
      </c>
    </row>
    <row r="58" spans="1:15">
      <c r="A58" t="s">
        <v>18</v>
      </c>
      <c r="C58" s="8">
        <f t="shared" ref="C58:M58" si="21">+C37-C16</f>
        <v>-2505.2651623223646</v>
      </c>
      <c r="D58" s="8">
        <f t="shared" si="21"/>
        <v>72.294973889169341</v>
      </c>
      <c r="E58" s="8">
        <f t="shared" si="21"/>
        <v>721.71117129918639</v>
      </c>
      <c r="F58" s="8">
        <f t="shared" si="21"/>
        <v>167.00568003029184</v>
      </c>
      <c r="G58" s="8">
        <f t="shared" si="21"/>
        <v>167.00568003029184</v>
      </c>
      <c r="H58" s="8">
        <f t="shared" si="21"/>
        <v>167.00568003029184</v>
      </c>
      <c r="I58" s="8">
        <f t="shared" si="21"/>
        <v>167.00568003029184</v>
      </c>
      <c r="J58" s="8">
        <f t="shared" si="21"/>
        <v>167.00568003029184</v>
      </c>
      <c r="K58" s="8">
        <f t="shared" si="21"/>
        <v>167.00568003029184</v>
      </c>
      <c r="L58" s="8">
        <f t="shared" si="21"/>
        <v>167.00568003029184</v>
      </c>
      <c r="M58" s="8">
        <f t="shared" si="21"/>
        <v>167.00568003029184</v>
      </c>
      <c r="N58" s="8">
        <f>+N37-N16</f>
        <v>167.00568003029184</v>
      </c>
      <c r="O58" s="3">
        <f>SUM(C58:N58)</f>
        <v>-208.20789686138232</v>
      </c>
    </row>
    <row r="59" spans="1:15">
      <c r="A59" t="s">
        <v>14</v>
      </c>
      <c r="C59" s="8">
        <f t="shared" ref="C59:N59" si="22">+C38-C17</f>
        <v>3979.0650435018169</v>
      </c>
      <c r="D59" s="8">
        <f t="shared" si="22"/>
        <v>3974.7890055476637</v>
      </c>
      <c r="E59" s="8">
        <f t="shared" si="22"/>
        <v>3770.5527106443351</v>
      </c>
      <c r="F59" s="8">
        <f t="shared" si="22"/>
        <v>3770.5527106443351</v>
      </c>
      <c r="G59" s="8">
        <f t="shared" si="22"/>
        <v>3770.5527106443351</v>
      </c>
      <c r="H59" s="8">
        <f t="shared" si="22"/>
        <v>3770.5527106443351</v>
      </c>
      <c r="I59" s="8">
        <f t="shared" si="22"/>
        <v>3770.5527106443351</v>
      </c>
      <c r="J59" s="8">
        <f t="shared" si="22"/>
        <v>3770.5527106443351</v>
      </c>
      <c r="K59" s="8">
        <f t="shared" si="22"/>
        <v>3770.5527106443351</v>
      </c>
      <c r="L59" s="8">
        <f t="shared" si="22"/>
        <v>3770.5527106443351</v>
      </c>
      <c r="M59" s="8">
        <f t="shared" si="22"/>
        <v>3770.5527106443351</v>
      </c>
      <c r="N59" s="8">
        <f t="shared" si="22"/>
        <v>3770.5527106443351</v>
      </c>
      <c r="O59" s="3">
        <f t="shared" ref="O59" si="23">SUM(C59:N59)</f>
        <v>45659.381155492818</v>
      </c>
    </row>
    <row r="60" spans="1:15">
      <c r="A60" t="s">
        <v>20</v>
      </c>
      <c r="C60" s="8">
        <f t="shared" ref="C60:N60" si="24">+C39-C18</f>
        <v>-4032.997094163889</v>
      </c>
      <c r="D60" s="8">
        <f t="shared" si="24"/>
        <v>-4035.4042334833334</v>
      </c>
      <c r="E60" s="8">
        <f t="shared" si="24"/>
        <v>-4037.811372802777</v>
      </c>
      <c r="F60" s="8">
        <f t="shared" si="24"/>
        <v>-4039.0149424624997</v>
      </c>
      <c r="G60" s="8">
        <f t="shared" si="24"/>
        <v>-4039.0149424624997</v>
      </c>
      <c r="H60" s="8">
        <f t="shared" si="24"/>
        <v>-4039.0149424624997</v>
      </c>
      <c r="I60" s="8">
        <f t="shared" si="24"/>
        <v>-4039.0149424624997</v>
      </c>
      <c r="J60" s="8">
        <f t="shared" si="24"/>
        <v>-4039.0149424624997</v>
      </c>
      <c r="K60" s="8">
        <f t="shared" si="24"/>
        <v>-4039.0149424624997</v>
      </c>
      <c r="L60" s="8">
        <f t="shared" si="24"/>
        <v>-4039.0149424624997</v>
      </c>
      <c r="M60" s="8">
        <f t="shared" si="24"/>
        <v>-4039.0149424624997</v>
      </c>
      <c r="N60" s="8">
        <f t="shared" si="24"/>
        <v>-4039.0149424624997</v>
      </c>
      <c r="O60" s="3">
        <f t="shared" ref="O60" si="25">SUM(C60:N60)</f>
        <v>-48457.347182612488</v>
      </c>
    </row>
    <row r="61" spans="1:15" ht="13.45" thickBot="1">
      <c r="A61" t="s">
        <v>12</v>
      </c>
      <c r="C61" s="5">
        <f>+C40-C19</f>
        <v>-2559.1972129844398</v>
      </c>
      <c r="D61" s="5">
        <f t="shared" ref="D61:M61" si="26">+D40-D19</f>
        <v>11.679745953500969</v>
      </c>
      <c r="E61" s="5">
        <f t="shared" si="26"/>
        <v>454.45250914074131</v>
      </c>
      <c r="F61" s="5">
        <f t="shared" si="26"/>
        <v>-101.4565517878691</v>
      </c>
      <c r="G61" s="5">
        <f t="shared" si="26"/>
        <v>-101.4565517878691</v>
      </c>
      <c r="H61" s="5">
        <f t="shared" si="26"/>
        <v>-101.4565517878691</v>
      </c>
      <c r="I61" s="5">
        <f t="shared" si="26"/>
        <v>-101.4565517878691</v>
      </c>
      <c r="J61" s="5">
        <f t="shared" si="26"/>
        <v>-101.4565517878691</v>
      </c>
      <c r="K61" s="5">
        <f t="shared" si="26"/>
        <v>-101.4565517878691</v>
      </c>
      <c r="L61" s="5">
        <f t="shared" si="26"/>
        <v>-101.4565517878691</v>
      </c>
      <c r="M61" s="5">
        <f t="shared" si="26"/>
        <v>-101.4565517878691</v>
      </c>
      <c r="N61" s="5">
        <f>+N40-N19</f>
        <v>-101.4565517878691</v>
      </c>
      <c r="O61" s="7">
        <f>SUM(O58:O60)</f>
        <v>-3006.1739239810559</v>
      </c>
    </row>
  </sheetData>
  <pageMargins left="0.7" right="0.7" top="0.75" bottom="0.75" header="0.3" footer="0.3"/>
  <pageSetup scale="50" fitToHeight="0" orientation="landscape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</sheetPr>
  <dimension ref="A1:AG16"/>
  <sheetViews>
    <sheetView topLeftCell="R1" workbookViewId="0">
      <selection activeCell="AC17" sqref="AC17"/>
    </sheetView>
    <sheetView tabSelected="1" workbookViewId="1">
      <selection activeCell="I9" sqref="I9"/>
    </sheetView>
  </sheetViews>
  <sheetFormatPr defaultColWidth="9.09765625" defaultRowHeight="14" outlineLevelCol="1"/>
  <cols>
    <col min="1" max="1" width="7.8984375" style="19" customWidth="1"/>
    <col min="2" max="2" width="47.59765625" style="19" bestFit="1" customWidth="1"/>
    <col min="3" max="3" width="24.59765625" style="19" bestFit="1" customWidth="1"/>
    <col min="4" max="4" width="10.09765625" style="19" bestFit="1" customWidth="1"/>
    <col min="5" max="5" width="13.69921875" style="19" bestFit="1" customWidth="1"/>
    <col min="6" max="6" width="8.59765625" style="19" customWidth="1"/>
    <col min="7" max="12" width="7.3984375" style="19" bestFit="1" customWidth="1"/>
    <col min="13" max="13" width="8" style="19" bestFit="1" customWidth="1"/>
    <col min="14" max="16" width="9" style="19" bestFit="1" customWidth="1"/>
    <col min="17" max="17" width="10.59765625" style="19" bestFit="1" customWidth="1"/>
    <col min="18" max="18" width="14.59765625" style="19" bestFit="1" customWidth="1"/>
    <col min="19" max="19" width="4.59765625" style="19" customWidth="1"/>
    <col min="20" max="20" width="17.8984375" style="19" bestFit="1" customWidth="1"/>
    <col min="21" max="27" width="8.3984375" style="19" customWidth="1" outlineLevel="1"/>
    <col min="28" max="28" width="9" style="19" customWidth="1" outlineLevel="1"/>
    <col min="29" max="29" width="10.59765625" style="19" customWidth="1" outlineLevel="1"/>
    <col min="30" max="31" width="9" style="19" customWidth="1" outlineLevel="1"/>
    <col min="32" max="32" width="13.296875" style="19" bestFit="1" customWidth="1" outlineLevel="1"/>
    <col min="33" max="33" width="31.3984375" style="19" bestFit="1" customWidth="1"/>
    <col min="34" max="16384" width="9.09765625" style="19"/>
  </cols>
  <sheetData>
    <row r="1" spans="1:33">
      <c r="A1" s="18" t="s">
        <v>26</v>
      </c>
      <c r="F1" s="86" t="s">
        <v>129</v>
      </c>
      <c r="J1" s="114" t="s">
        <v>154</v>
      </c>
      <c r="R1" s="78"/>
      <c r="S1" s="78"/>
      <c r="T1" s="86" t="s">
        <v>133</v>
      </c>
      <c r="U1" s="19">
        <v>1</v>
      </c>
      <c r="V1" s="19">
        <v>2</v>
      </c>
      <c r="W1" s="19">
        <v>3</v>
      </c>
      <c r="X1" s="19">
        <v>4</v>
      </c>
      <c r="Y1" s="19">
        <v>5</v>
      </c>
      <c r="Z1" s="19">
        <v>6</v>
      </c>
      <c r="AA1" s="19">
        <v>7</v>
      </c>
      <c r="AB1" s="19">
        <v>8</v>
      </c>
      <c r="AC1" s="19">
        <v>9</v>
      </c>
      <c r="AD1" s="19">
        <v>10</v>
      </c>
      <c r="AE1" s="19">
        <v>11</v>
      </c>
      <c r="AF1" s="19">
        <v>12</v>
      </c>
    </row>
    <row r="2" spans="1:33">
      <c r="F2" s="78" t="s">
        <v>47</v>
      </c>
      <c r="G2" s="78" t="s">
        <v>47</v>
      </c>
      <c r="H2" s="78" t="s">
        <v>47</v>
      </c>
      <c r="I2" s="78" t="s">
        <v>47</v>
      </c>
      <c r="J2" s="78" t="s">
        <v>47</v>
      </c>
      <c r="K2" s="78" t="s">
        <v>47</v>
      </c>
      <c r="L2" s="78" t="s">
        <v>47</v>
      </c>
      <c r="M2" s="78" t="s">
        <v>47</v>
      </c>
      <c r="N2" s="78" t="s">
        <v>47</v>
      </c>
      <c r="O2" s="78" t="s">
        <v>47</v>
      </c>
      <c r="P2" s="78" t="s">
        <v>47</v>
      </c>
      <c r="Q2" s="78" t="s">
        <v>47</v>
      </c>
      <c r="R2" s="78" t="s">
        <v>47</v>
      </c>
      <c r="S2" s="78"/>
      <c r="T2" s="78" t="s">
        <v>130</v>
      </c>
      <c r="U2" s="77" t="s">
        <v>47</v>
      </c>
      <c r="V2" s="77" t="s">
        <v>47</v>
      </c>
      <c r="W2" s="77" t="s">
        <v>47</v>
      </c>
      <c r="X2" s="77" t="s">
        <v>47</v>
      </c>
      <c r="Y2" s="77" t="s">
        <v>47</v>
      </c>
      <c r="Z2" s="77" t="s">
        <v>47</v>
      </c>
      <c r="AA2" s="77" t="s">
        <v>47</v>
      </c>
      <c r="AB2" s="77" t="s">
        <v>47</v>
      </c>
      <c r="AC2" s="77" t="s">
        <v>47</v>
      </c>
      <c r="AD2" s="77" t="s">
        <v>47</v>
      </c>
      <c r="AE2" s="77" t="s">
        <v>47</v>
      </c>
      <c r="AF2" s="77" t="s">
        <v>47</v>
      </c>
      <c r="AG2" s="81"/>
    </row>
    <row r="3" spans="1:33">
      <c r="A3" s="19" t="s">
        <v>28</v>
      </c>
      <c r="B3" s="76" t="s">
        <v>122</v>
      </c>
      <c r="C3" s="76" t="s">
        <v>121</v>
      </c>
      <c r="D3" s="76" t="s">
        <v>128</v>
      </c>
      <c r="E3" s="76" t="s">
        <v>123</v>
      </c>
      <c r="F3" s="78" t="s">
        <v>31</v>
      </c>
      <c r="G3" s="78" t="s">
        <v>32</v>
      </c>
      <c r="H3" s="78" t="s">
        <v>33</v>
      </c>
      <c r="I3" s="78" t="s">
        <v>34</v>
      </c>
      <c r="J3" s="78" t="s">
        <v>35</v>
      </c>
      <c r="K3" s="78" t="s">
        <v>36</v>
      </c>
      <c r="L3" s="78" t="s">
        <v>37</v>
      </c>
      <c r="M3" s="78" t="s">
        <v>38</v>
      </c>
      <c r="N3" s="78" t="s">
        <v>39</v>
      </c>
      <c r="O3" s="78" t="s">
        <v>40</v>
      </c>
      <c r="P3" s="78" t="s">
        <v>41</v>
      </c>
      <c r="Q3" s="78" t="s">
        <v>42</v>
      </c>
      <c r="R3" s="85" t="s">
        <v>129</v>
      </c>
      <c r="S3" s="85"/>
      <c r="T3" s="82" t="s">
        <v>131</v>
      </c>
      <c r="U3" s="19" t="s">
        <v>31</v>
      </c>
      <c r="V3" s="19" t="s">
        <v>32</v>
      </c>
      <c r="W3" s="19" t="s">
        <v>33</v>
      </c>
      <c r="X3" s="19" t="s">
        <v>34</v>
      </c>
      <c r="Y3" s="19" t="s">
        <v>35</v>
      </c>
      <c r="Z3" s="19" t="s">
        <v>36</v>
      </c>
      <c r="AA3" s="19" t="s">
        <v>37</v>
      </c>
      <c r="AB3" s="19" t="s">
        <v>38</v>
      </c>
      <c r="AC3" s="19" t="s">
        <v>39</v>
      </c>
      <c r="AD3" s="19" t="s">
        <v>40</v>
      </c>
      <c r="AE3" s="19" t="s">
        <v>41</v>
      </c>
      <c r="AF3" s="19" t="s">
        <v>42</v>
      </c>
      <c r="AG3" s="89" t="s">
        <v>132</v>
      </c>
    </row>
    <row r="4" spans="1:33">
      <c r="A4" s="19">
        <v>2075</v>
      </c>
      <c r="B4" s="90" t="s">
        <v>116</v>
      </c>
      <c r="C4" s="90" t="s">
        <v>44</v>
      </c>
      <c r="D4" t="s">
        <v>127</v>
      </c>
      <c r="E4" t="s">
        <v>124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3"/>
      <c r="L4" s="3"/>
      <c r="M4" s="3"/>
      <c r="N4" s="3"/>
      <c r="O4" s="3">
        <v>5759.87</v>
      </c>
      <c r="P4" s="3">
        <v>5190.8999999999996</v>
      </c>
      <c r="Q4" s="3">
        <v>5256.8300000000008</v>
      </c>
      <c r="R4" s="79">
        <f>+SUM(F4:Q4)</f>
        <v>16207.600000000002</v>
      </c>
      <c r="S4" s="79"/>
      <c r="T4" s="87">
        <v>0</v>
      </c>
      <c r="U4" s="80">
        <f t="shared" ref="U4:AF4" si="0">+F4*$T$4</f>
        <v>0</v>
      </c>
      <c r="V4" s="80">
        <f t="shared" si="0"/>
        <v>0</v>
      </c>
      <c r="W4" s="80">
        <f t="shared" si="0"/>
        <v>0</v>
      </c>
      <c r="X4" s="80">
        <f t="shared" si="0"/>
        <v>0</v>
      </c>
      <c r="Y4" s="80">
        <f t="shared" si="0"/>
        <v>0</v>
      </c>
      <c r="Z4" s="80">
        <f t="shared" si="0"/>
        <v>0</v>
      </c>
      <c r="AA4" s="80">
        <f t="shared" si="0"/>
        <v>0</v>
      </c>
      <c r="AB4" s="80">
        <f t="shared" si="0"/>
        <v>0</v>
      </c>
      <c r="AC4" s="80">
        <f t="shared" si="0"/>
        <v>0</v>
      </c>
      <c r="AD4" s="80">
        <f t="shared" si="0"/>
        <v>0</v>
      </c>
      <c r="AE4" s="80">
        <f t="shared" si="0"/>
        <v>0</v>
      </c>
      <c r="AF4" s="80">
        <f t="shared" si="0"/>
        <v>0</v>
      </c>
      <c r="AG4" s="21">
        <f>SUM(U4:AF4)</f>
        <v>0</v>
      </c>
    </row>
    <row r="5" spans="1:33">
      <c r="A5" s="19">
        <v>2075</v>
      </c>
      <c r="B5" s="90" t="s">
        <v>116</v>
      </c>
      <c r="C5" s="90" t="s">
        <v>44</v>
      </c>
      <c r="D5" t="s">
        <v>127</v>
      </c>
      <c r="E5" t="s">
        <v>125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3"/>
      <c r="L5" s="3"/>
      <c r="M5" s="3"/>
      <c r="N5" s="3"/>
      <c r="O5" s="3">
        <v>5450.02</v>
      </c>
      <c r="P5" s="3">
        <v>4360.46</v>
      </c>
      <c r="Q5" s="3">
        <v>4535.3899999999994</v>
      </c>
      <c r="R5" s="79">
        <f t="shared" ref="R5:R9" si="1">+SUM(F5:Q5)</f>
        <v>14345.869999999999</v>
      </c>
      <c r="S5" s="79"/>
      <c r="T5" s="87">
        <v>1</v>
      </c>
      <c r="U5" s="80">
        <f t="shared" ref="U5:AF5" si="2">+F5*$T$5</f>
        <v>0</v>
      </c>
      <c r="V5" s="80">
        <f t="shared" si="2"/>
        <v>0</v>
      </c>
      <c r="W5" s="80">
        <f t="shared" si="2"/>
        <v>0</v>
      </c>
      <c r="X5" s="80">
        <f t="shared" si="2"/>
        <v>0</v>
      </c>
      <c r="Y5" s="80">
        <f t="shared" si="2"/>
        <v>0</v>
      </c>
      <c r="Z5" s="80">
        <f t="shared" si="2"/>
        <v>0</v>
      </c>
      <c r="AA5" s="80">
        <f t="shared" si="2"/>
        <v>0</v>
      </c>
      <c r="AB5" s="80">
        <f t="shared" si="2"/>
        <v>0</v>
      </c>
      <c r="AC5" s="80">
        <f t="shared" si="2"/>
        <v>0</v>
      </c>
      <c r="AD5" s="80">
        <f t="shared" si="2"/>
        <v>5450.02</v>
      </c>
      <c r="AE5" s="80">
        <f t="shared" si="2"/>
        <v>4360.46</v>
      </c>
      <c r="AF5" s="80">
        <f t="shared" si="2"/>
        <v>4535.3899999999994</v>
      </c>
      <c r="AG5" s="21">
        <f t="shared" ref="AG5:AG9" si="3">SUM(U5:AF5)</f>
        <v>14345.869999999999</v>
      </c>
    </row>
    <row r="6" spans="1:33">
      <c r="A6" s="19">
        <v>2075</v>
      </c>
      <c r="B6" s="90" t="s">
        <v>117</v>
      </c>
      <c r="C6" s="90" t="s">
        <v>44</v>
      </c>
      <c r="D6" t="s">
        <v>127</v>
      </c>
      <c r="E6" t="s">
        <v>125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3"/>
      <c r="L6" s="3">
        <v>7603.97</v>
      </c>
      <c r="M6" s="3">
        <v>35856.06</v>
      </c>
      <c r="N6" s="3">
        <v>27327.629999999997</v>
      </c>
      <c r="O6" s="3">
        <v>99296.03</v>
      </c>
      <c r="P6" s="3">
        <v>187761.44</v>
      </c>
      <c r="Q6" s="3">
        <v>1153106.33</v>
      </c>
      <c r="R6" s="79">
        <f t="shared" si="1"/>
        <v>1510951.46</v>
      </c>
      <c r="S6" s="79"/>
      <c r="T6" s="87">
        <v>1</v>
      </c>
      <c r="U6" s="80">
        <f>+F6*$T$6</f>
        <v>0</v>
      </c>
      <c r="V6" s="80">
        <f t="shared" ref="V6:AF6" si="4">+G6*$T$6</f>
        <v>0</v>
      </c>
      <c r="W6" s="80">
        <f t="shared" si="4"/>
        <v>0</v>
      </c>
      <c r="X6" s="80">
        <f t="shared" si="4"/>
        <v>0</v>
      </c>
      <c r="Y6" s="80">
        <f t="shared" si="4"/>
        <v>0</v>
      </c>
      <c r="Z6" s="80">
        <f t="shared" si="4"/>
        <v>0</v>
      </c>
      <c r="AA6" s="80">
        <f t="shared" si="4"/>
        <v>7603.97</v>
      </c>
      <c r="AB6" s="80">
        <f t="shared" si="4"/>
        <v>35856.06</v>
      </c>
      <c r="AC6" s="80">
        <f t="shared" si="4"/>
        <v>27327.629999999997</v>
      </c>
      <c r="AD6" s="80">
        <f t="shared" si="4"/>
        <v>99296.03</v>
      </c>
      <c r="AE6" s="80">
        <f t="shared" si="4"/>
        <v>187761.44</v>
      </c>
      <c r="AF6" s="80">
        <f t="shared" si="4"/>
        <v>1153106.33</v>
      </c>
      <c r="AG6" s="21">
        <f t="shared" si="3"/>
        <v>1510951.46</v>
      </c>
    </row>
    <row r="7" spans="1:33" ht="14.25" customHeight="1">
      <c r="A7" s="19">
        <v>2075</v>
      </c>
      <c r="B7" s="90" t="s">
        <v>118</v>
      </c>
      <c r="C7" s="90" t="s">
        <v>44</v>
      </c>
      <c r="D7" t="s">
        <v>127</v>
      </c>
      <c r="E7" t="s">
        <v>124</v>
      </c>
      <c r="F7" s="20"/>
      <c r="G7" s="20"/>
      <c r="H7" s="20"/>
      <c r="I7" s="20"/>
      <c r="J7" s="20"/>
      <c r="K7" s="3"/>
      <c r="L7" s="3">
        <v>6206.8099999999995</v>
      </c>
      <c r="M7" s="3">
        <v>10897.08</v>
      </c>
      <c r="N7" s="3">
        <v>126809.06</v>
      </c>
      <c r="O7" s="3">
        <v>571093.28</v>
      </c>
      <c r="P7" s="3">
        <v>374867.83</v>
      </c>
      <c r="Q7" s="3">
        <v>500675.57999999996</v>
      </c>
      <c r="R7" s="79">
        <f t="shared" si="1"/>
        <v>1590549.6400000001</v>
      </c>
      <c r="S7" s="79"/>
      <c r="T7" s="87">
        <v>0</v>
      </c>
      <c r="U7" s="80">
        <f>+F7*$T$7</f>
        <v>0</v>
      </c>
      <c r="V7" s="80">
        <f t="shared" ref="V7:AF7" si="5">+G7*$T$7</f>
        <v>0</v>
      </c>
      <c r="W7" s="80">
        <f t="shared" si="5"/>
        <v>0</v>
      </c>
      <c r="X7" s="80">
        <f t="shared" si="5"/>
        <v>0</v>
      </c>
      <c r="Y7" s="80">
        <f t="shared" si="5"/>
        <v>0</v>
      </c>
      <c r="Z7" s="80">
        <f t="shared" si="5"/>
        <v>0</v>
      </c>
      <c r="AA7" s="80">
        <f t="shared" si="5"/>
        <v>0</v>
      </c>
      <c r="AB7" s="80">
        <f t="shared" si="5"/>
        <v>0</v>
      </c>
      <c r="AC7" s="80">
        <f t="shared" si="5"/>
        <v>0</v>
      </c>
      <c r="AD7" s="80">
        <f t="shared" si="5"/>
        <v>0</v>
      </c>
      <c r="AE7" s="80">
        <f t="shared" si="5"/>
        <v>0</v>
      </c>
      <c r="AF7" s="80">
        <f t="shared" si="5"/>
        <v>0</v>
      </c>
      <c r="AG7" s="21">
        <f t="shared" si="3"/>
        <v>0</v>
      </c>
    </row>
    <row r="8" spans="1:33">
      <c r="A8" s="19">
        <v>2075</v>
      </c>
      <c r="B8" s="90" t="s">
        <v>119</v>
      </c>
      <c r="C8" s="90" t="s">
        <v>43</v>
      </c>
      <c r="D8" t="s">
        <v>127</v>
      </c>
      <c r="E8" t="s">
        <v>126</v>
      </c>
      <c r="K8" s="3"/>
      <c r="L8" s="3"/>
      <c r="M8" s="3"/>
      <c r="N8" s="3"/>
      <c r="O8" s="3"/>
      <c r="P8" s="3">
        <v>13214.43</v>
      </c>
      <c r="Q8" s="3">
        <v>-11942.529999999999</v>
      </c>
      <c r="R8" s="79">
        <f t="shared" si="1"/>
        <v>1271.9000000000015</v>
      </c>
      <c r="S8" s="79"/>
      <c r="T8" s="88">
        <v>0.65639999999999998</v>
      </c>
      <c r="U8" s="80">
        <f>+F8*$T$8</f>
        <v>0</v>
      </c>
      <c r="V8" s="80">
        <f t="shared" ref="V8:AF8" si="6">+G8*$T$8</f>
        <v>0</v>
      </c>
      <c r="W8" s="80">
        <f t="shared" si="6"/>
        <v>0</v>
      </c>
      <c r="X8" s="80">
        <f t="shared" si="6"/>
        <v>0</v>
      </c>
      <c r="Y8" s="80">
        <f t="shared" si="6"/>
        <v>0</v>
      </c>
      <c r="Z8" s="80">
        <f t="shared" si="6"/>
        <v>0</v>
      </c>
      <c r="AA8" s="80">
        <f t="shared" si="6"/>
        <v>0</v>
      </c>
      <c r="AB8" s="80">
        <f t="shared" si="6"/>
        <v>0</v>
      </c>
      <c r="AC8" s="80">
        <f t="shared" si="6"/>
        <v>0</v>
      </c>
      <c r="AD8" s="80">
        <f t="shared" si="6"/>
        <v>0</v>
      </c>
      <c r="AE8" s="80">
        <f t="shared" si="6"/>
        <v>8673.9518520000001</v>
      </c>
      <c r="AF8" s="80">
        <f t="shared" si="6"/>
        <v>-7839.0766919999987</v>
      </c>
      <c r="AG8" s="21">
        <f t="shared" si="3"/>
        <v>834.87516000000142</v>
      </c>
    </row>
    <row r="9" spans="1:33" ht="14.55" thickBot="1">
      <c r="A9" s="19">
        <v>2075</v>
      </c>
      <c r="B9" s="90" t="s">
        <v>120</v>
      </c>
      <c r="C9" s="90" t="s">
        <v>43</v>
      </c>
      <c r="D9" t="s">
        <v>127</v>
      </c>
      <c r="E9" t="s">
        <v>126</v>
      </c>
      <c r="K9" s="3">
        <v>4375.33</v>
      </c>
      <c r="L9" s="3">
        <v>1601.45</v>
      </c>
      <c r="M9" s="3">
        <v>9962.26</v>
      </c>
      <c r="N9" s="3">
        <v>15297.35</v>
      </c>
      <c r="O9" s="3">
        <v>30643.02</v>
      </c>
      <c r="P9" s="3">
        <v>2847.85</v>
      </c>
      <c r="Q9" s="3">
        <v>8840.69</v>
      </c>
      <c r="R9" s="94">
        <f t="shared" si="1"/>
        <v>73567.95</v>
      </c>
      <c r="S9" s="79"/>
      <c r="T9" s="88">
        <v>0.65639999999999998</v>
      </c>
      <c r="U9" s="80">
        <f>+F9*$T$9</f>
        <v>0</v>
      </c>
      <c r="V9" s="80">
        <f t="shared" ref="V9:AF9" si="7">+G9*$T$9</f>
        <v>0</v>
      </c>
      <c r="W9" s="80">
        <f t="shared" si="7"/>
        <v>0</v>
      </c>
      <c r="X9" s="80">
        <f t="shared" si="7"/>
        <v>0</v>
      </c>
      <c r="Y9" s="80">
        <f t="shared" si="7"/>
        <v>0</v>
      </c>
      <c r="Z9" s="80">
        <f t="shared" si="7"/>
        <v>2871.9666119999997</v>
      </c>
      <c r="AA9" s="80">
        <f t="shared" si="7"/>
        <v>1051.1917800000001</v>
      </c>
      <c r="AB9" s="80">
        <f t="shared" si="7"/>
        <v>6539.2274639999996</v>
      </c>
      <c r="AC9" s="80">
        <f t="shared" si="7"/>
        <v>10041.180539999999</v>
      </c>
      <c r="AD9" s="80">
        <f t="shared" si="7"/>
        <v>20114.078328</v>
      </c>
      <c r="AE9" s="80">
        <f t="shared" si="7"/>
        <v>1869.3287399999999</v>
      </c>
      <c r="AF9" s="80">
        <f t="shared" si="7"/>
        <v>5803.0289160000002</v>
      </c>
      <c r="AG9" s="21">
        <f t="shared" si="3"/>
        <v>48290.002379999998</v>
      </c>
    </row>
    <row r="10" spans="1:33" ht="14.55" thickBot="1">
      <c r="R10" s="95">
        <f>SUM(R4:R9)</f>
        <v>3206894.4200000004</v>
      </c>
      <c r="AG10" s="22">
        <f>SUM(AG4:AG9)</f>
        <v>1574422.2075400001</v>
      </c>
    </row>
    <row r="11" spans="1:33">
      <c r="E11" s="31"/>
      <c r="R11" s="23" t="s">
        <v>129</v>
      </c>
      <c r="AA11" s="26"/>
      <c r="AG11" s="25" t="s">
        <v>147</v>
      </c>
    </row>
    <row r="12" spans="1:33">
      <c r="E12" s="77"/>
      <c r="F12" s="81"/>
      <c r="AA12" s="26"/>
      <c r="AG12" s="103" t="s">
        <v>148</v>
      </c>
    </row>
    <row r="13" spans="1:33" ht="15.05" customHeight="1">
      <c r="A13" s="266" t="s">
        <v>145</v>
      </c>
      <c r="B13" s="266"/>
      <c r="C13" s="266"/>
      <c r="D13" s="266"/>
      <c r="E13" s="266"/>
      <c r="R13" s="20">
        <f>+R10-R4-R7</f>
        <v>1600137.1800000002</v>
      </c>
      <c r="AG13" s="136"/>
    </row>
    <row r="14" spans="1:33">
      <c r="A14" s="266"/>
      <c r="B14" s="266"/>
      <c r="C14" s="266"/>
      <c r="D14" s="266"/>
      <c r="E14" s="266"/>
      <c r="R14" s="20"/>
      <c r="AG14" s="136" t="s">
        <v>174</v>
      </c>
    </row>
    <row r="15" spans="1:33">
      <c r="A15" s="101"/>
      <c r="B15" s="101"/>
      <c r="C15" s="101"/>
      <c r="D15" s="101"/>
      <c r="E15" s="101"/>
      <c r="Q15" s="20"/>
      <c r="R15" s="20"/>
      <c r="AG15" s="20">
        <f>+R10-AG10</f>
        <v>1632472.2124600003</v>
      </c>
    </row>
    <row r="16" spans="1:33">
      <c r="R16" s="20"/>
    </row>
  </sheetData>
  <autoFilter ref="A3:AG6" xr:uid="{00000000-0009-0000-0000-000003000000}"/>
  <mergeCells count="1">
    <mergeCell ref="A13:E14"/>
  </mergeCells>
  <phoneticPr fontId="21" type="noConversion"/>
  <pageMargins left="0.7" right="0.7" top="0.75" bottom="0.75" header="0.3" footer="0.3"/>
  <pageSetup scale="53" fitToHeight="0" orientation="landscape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A1:AO73"/>
  <sheetViews>
    <sheetView workbookViewId="0">
      <selection activeCell="A20" sqref="A20"/>
    </sheetView>
    <sheetView tabSelected="1" workbookViewId="1">
      <selection activeCell="I9" sqref="I9"/>
    </sheetView>
  </sheetViews>
  <sheetFormatPr defaultRowHeight="12.9"/>
  <cols>
    <col min="1" max="1" width="25.19921875" style="1" customWidth="1"/>
    <col min="3" max="3" width="13.296875" customWidth="1"/>
    <col min="5" max="13" width="11.69921875" bestFit="1" customWidth="1"/>
    <col min="14" max="16" width="12.296875" bestFit="1" customWidth="1"/>
    <col min="17" max="17" width="13.59765625" customWidth="1"/>
    <col min="18" max="18" width="13.59765625" hidden="1" customWidth="1"/>
    <col min="19" max="19" width="12.3984375" style="2" hidden="1" customWidth="1"/>
    <col min="20" max="23" width="12.3984375" hidden="1" customWidth="1"/>
    <col min="24" max="25" width="12.8984375" hidden="1" customWidth="1"/>
    <col min="26" max="26" width="12.8984375" style="125" hidden="1" customWidth="1"/>
    <col min="27" max="34" width="12.8984375" hidden="1" customWidth="1"/>
    <col min="35" max="37" width="12.69921875" hidden="1" customWidth="1"/>
    <col min="38" max="38" width="12.69921875" bestFit="1" customWidth="1"/>
    <col min="39" max="39" width="11.59765625" bestFit="1" customWidth="1"/>
    <col min="40" max="40" width="4.69921875" customWidth="1"/>
    <col min="41" max="41" width="10.296875" bestFit="1" customWidth="1"/>
  </cols>
  <sheetData>
    <row r="1" spans="1:41" ht="13.45">
      <c r="E1" s="114" t="s">
        <v>154</v>
      </c>
      <c r="AM1" s="130" t="s">
        <v>168</v>
      </c>
    </row>
    <row r="2" spans="1:41">
      <c r="AM2" s="130" t="s">
        <v>166</v>
      </c>
      <c r="AO2" s="131"/>
    </row>
    <row r="3" spans="1:41" s="1" customFormat="1">
      <c r="B3" s="1" t="s">
        <v>0</v>
      </c>
      <c r="C3" s="1" t="s">
        <v>3</v>
      </c>
      <c r="D3" s="1" t="s">
        <v>15</v>
      </c>
      <c r="E3" s="4">
        <v>202001</v>
      </c>
      <c r="F3" s="4">
        <v>202002</v>
      </c>
      <c r="G3" s="4">
        <v>202003</v>
      </c>
      <c r="H3" s="4">
        <v>202004</v>
      </c>
      <c r="I3" s="4">
        <v>202005</v>
      </c>
      <c r="J3" s="4">
        <v>202006</v>
      </c>
      <c r="K3" s="4">
        <v>202007</v>
      </c>
      <c r="L3" s="4">
        <v>202008</v>
      </c>
      <c r="M3" s="4">
        <v>202009</v>
      </c>
      <c r="N3" s="4">
        <v>202010</v>
      </c>
      <c r="O3" s="4">
        <v>202011</v>
      </c>
      <c r="P3" s="4">
        <v>202012</v>
      </c>
      <c r="Q3" s="9" t="s">
        <v>16</v>
      </c>
      <c r="R3" s="4">
        <v>202101</v>
      </c>
      <c r="S3" s="4">
        <v>202102</v>
      </c>
      <c r="T3" s="4">
        <v>202103</v>
      </c>
      <c r="U3" s="4">
        <v>202104</v>
      </c>
      <c r="V3" s="4">
        <v>202105</v>
      </c>
      <c r="W3" s="4">
        <v>202106</v>
      </c>
      <c r="X3" s="4">
        <v>202107</v>
      </c>
      <c r="Y3" s="4">
        <v>202108</v>
      </c>
      <c r="Z3" s="126">
        <v>202109</v>
      </c>
      <c r="AA3" s="4">
        <v>202110</v>
      </c>
      <c r="AB3" s="4">
        <v>202111</v>
      </c>
      <c r="AC3" s="4">
        <v>202112</v>
      </c>
      <c r="AD3" s="4">
        <v>202201</v>
      </c>
      <c r="AE3" s="4">
        <v>202202</v>
      </c>
      <c r="AF3" s="4">
        <v>202203</v>
      </c>
      <c r="AG3" s="4">
        <v>202204</v>
      </c>
      <c r="AH3" s="4">
        <v>202205</v>
      </c>
      <c r="AI3" s="4">
        <v>202206</v>
      </c>
      <c r="AJ3" s="4">
        <v>202207</v>
      </c>
      <c r="AK3" s="4">
        <v>202208</v>
      </c>
      <c r="AL3" s="4">
        <v>202209</v>
      </c>
      <c r="AM3" s="130" t="s">
        <v>167</v>
      </c>
    </row>
    <row r="4" spans="1:41">
      <c r="A4" s="1" t="s">
        <v>4</v>
      </c>
      <c r="B4" t="s">
        <v>1</v>
      </c>
      <c r="C4" t="s">
        <v>17</v>
      </c>
      <c r="D4">
        <v>2.4500000000000001E-2</v>
      </c>
      <c r="E4" s="3">
        <f>E10</f>
        <v>0</v>
      </c>
      <c r="F4" s="3">
        <f t="shared" ref="F4:O4" si="0">F10+E4</f>
        <v>0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7603.97</v>
      </c>
      <c r="L4" s="3">
        <f t="shared" si="0"/>
        <v>43460.03</v>
      </c>
      <c r="M4" s="3">
        <f t="shared" si="0"/>
        <v>70787.66</v>
      </c>
      <c r="N4" s="3">
        <f t="shared" si="0"/>
        <v>175533.71000000002</v>
      </c>
      <c r="O4" s="3">
        <f t="shared" si="0"/>
        <v>367655.61</v>
      </c>
      <c r="P4" s="3">
        <f>P10+O4</f>
        <v>1525297.33</v>
      </c>
      <c r="Q4" s="124">
        <f>P4</f>
        <v>1525297.33</v>
      </c>
      <c r="R4" s="3">
        <f>Q4+R10</f>
        <v>2234028.9979379019</v>
      </c>
      <c r="S4" s="3">
        <f t="shared" ref="S4:S6" si="1">R4+S10</f>
        <v>2777402.9689773712</v>
      </c>
      <c r="T4" s="3">
        <f t="shared" ref="T4:AL4" si="2">S4+T10</f>
        <v>3486639.6368883522</v>
      </c>
      <c r="U4" s="3">
        <f t="shared" si="2"/>
        <v>4030013.6079278216</v>
      </c>
      <c r="V4" s="3">
        <f t="shared" si="2"/>
        <v>4739248.8937627673</v>
      </c>
      <c r="W4" s="3">
        <f t="shared" si="2"/>
        <v>5282622.8648022367</v>
      </c>
      <c r="X4" s="3">
        <f t="shared" si="2"/>
        <v>5991859.5327132177</v>
      </c>
      <c r="Y4" s="3">
        <f t="shared" si="2"/>
        <v>6535233.503752687</v>
      </c>
      <c r="Z4" s="127">
        <f t="shared" si="2"/>
        <v>7244470.171663668</v>
      </c>
      <c r="AA4" s="3">
        <f t="shared" si="2"/>
        <v>7787844.1427031374</v>
      </c>
      <c r="AB4" s="3">
        <f t="shared" si="2"/>
        <v>8497079.4285380822</v>
      </c>
      <c r="AC4" s="3">
        <f t="shared" si="2"/>
        <v>9040464.3995769992</v>
      </c>
      <c r="AD4" s="3">
        <f>AC4+AD10</f>
        <v>9040464.3995769992</v>
      </c>
      <c r="AE4" s="3">
        <f t="shared" si="2"/>
        <v>9040464.3995769992</v>
      </c>
      <c r="AF4" s="3">
        <f t="shared" si="2"/>
        <v>9040464.3995769992</v>
      </c>
      <c r="AG4" s="3">
        <f t="shared" si="2"/>
        <v>9040464.3995769992</v>
      </c>
      <c r="AH4" s="3">
        <f t="shared" si="2"/>
        <v>9040464.3995769992</v>
      </c>
      <c r="AI4" s="3">
        <f t="shared" si="2"/>
        <v>9040464.3995769992</v>
      </c>
      <c r="AJ4" s="3">
        <f t="shared" si="2"/>
        <v>9040464.3995769992</v>
      </c>
      <c r="AK4" s="3">
        <f t="shared" si="2"/>
        <v>9040464.3995769992</v>
      </c>
      <c r="AL4" s="124">
        <f t="shared" si="2"/>
        <v>9040464.3995769992</v>
      </c>
      <c r="AM4" s="120">
        <f t="shared" ref="AM4:AM6" si="3">(((Z4+AL4)/2)+AA4+AB4+AC4+AD4+AE4+AF4+AG4+AH4+AI4+AJ4+AK4)/12</f>
        <v>8815964.2044212092</v>
      </c>
      <c r="AN4" t="s">
        <v>161</v>
      </c>
    </row>
    <row r="5" spans="1:41">
      <c r="C5" t="s">
        <v>13</v>
      </c>
      <c r="D5">
        <v>2.06E-2</v>
      </c>
      <c r="E5" s="3">
        <f>E11</f>
        <v>0</v>
      </c>
      <c r="F5" s="3">
        <f t="shared" ref="F5:O5" si="4">F11+E5</f>
        <v>0</v>
      </c>
      <c r="G5" s="3">
        <f t="shared" si="4"/>
        <v>0</v>
      </c>
      <c r="H5" s="3">
        <f t="shared" si="4"/>
        <v>0</v>
      </c>
      <c r="I5" s="3">
        <f t="shared" si="4"/>
        <v>0</v>
      </c>
      <c r="J5" s="3">
        <f t="shared" si="4"/>
        <v>2871.9666119999997</v>
      </c>
      <c r="K5" s="3">
        <f t="shared" si="4"/>
        <v>3923.1583919999998</v>
      </c>
      <c r="L5" s="3">
        <f t="shared" si="4"/>
        <v>10462.385855999999</v>
      </c>
      <c r="M5" s="3">
        <f t="shared" si="4"/>
        <v>20503.566395999998</v>
      </c>
      <c r="N5" s="3">
        <f t="shared" si="4"/>
        <v>40617.644723999998</v>
      </c>
      <c r="O5" s="3">
        <f t="shared" si="4"/>
        <v>51160.925315999993</v>
      </c>
      <c r="P5" s="3">
        <f>P11+O5</f>
        <v>49124.877539999994</v>
      </c>
      <c r="Q5" s="124">
        <f>P5</f>
        <v>49124.877539999994</v>
      </c>
      <c r="R5" s="3">
        <f>Q5+R11</f>
        <v>49124.877539999994</v>
      </c>
      <c r="S5" s="3">
        <f t="shared" si="1"/>
        <v>49124.877539999994</v>
      </c>
      <c r="T5" s="3">
        <f t="shared" ref="T5:AL5" si="5">S5+T11</f>
        <v>49124.877539999994</v>
      </c>
      <c r="U5" s="3">
        <f t="shared" si="5"/>
        <v>90149.91138562499</v>
      </c>
      <c r="V5" s="3">
        <f t="shared" si="5"/>
        <v>131174.94523124999</v>
      </c>
      <c r="W5" s="3">
        <f t="shared" si="5"/>
        <v>172199.979076875</v>
      </c>
      <c r="X5" s="3">
        <f t="shared" si="5"/>
        <v>2182425.6282974998</v>
      </c>
      <c r="Y5" s="3">
        <f t="shared" si="5"/>
        <v>2223450.6621431247</v>
      </c>
      <c r="Z5" s="127">
        <f t="shared" si="5"/>
        <v>2264475.6959887496</v>
      </c>
      <c r="AA5" s="3">
        <f t="shared" si="5"/>
        <v>2305500.7298343745</v>
      </c>
      <c r="AB5" s="3">
        <f t="shared" si="5"/>
        <v>2543445.9277799996</v>
      </c>
      <c r="AC5" s="3">
        <f t="shared" si="5"/>
        <v>2543445.9277799996</v>
      </c>
      <c r="AD5" s="3">
        <f t="shared" si="5"/>
        <v>2543445.9277799996</v>
      </c>
      <c r="AE5" s="3">
        <f t="shared" si="5"/>
        <v>2543445.9277799996</v>
      </c>
      <c r="AF5" s="3">
        <f t="shared" si="5"/>
        <v>2543445.9277799996</v>
      </c>
      <c r="AG5" s="3">
        <f t="shared" si="5"/>
        <v>2543445.9277799996</v>
      </c>
      <c r="AH5" s="3">
        <f t="shared" si="5"/>
        <v>2543445.9277799996</v>
      </c>
      <c r="AI5" s="3">
        <f t="shared" si="5"/>
        <v>2543445.9277799996</v>
      </c>
      <c r="AJ5" s="3">
        <f t="shared" si="5"/>
        <v>2543445.9277799996</v>
      </c>
      <c r="AK5" s="3">
        <f t="shared" si="5"/>
        <v>2543445.9277799996</v>
      </c>
      <c r="AL5" s="124">
        <f t="shared" si="5"/>
        <v>2543445.9277799996</v>
      </c>
      <c r="AM5" s="120">
        <f t="shared" si="3"/>
        <v>2511993.4016265613</v>
      </c>
      <c r="AN5" t="s">
        <v>160</v>
      </c>
    </row>
    <row r="6" spans="1:41">
      <c r="C6" t="s">
        <v>20</v>
      </c>
      <c r="D6" s="100">
        <v>0.2</v>
      </c>
      <c r="E6" s="3">
        <f>E12</f>
        <v>0</v>
      </c>
      <c r="F6" s="3">
        <f t="shared" ref="F6:P6" si="6">F12+E6</f>
        <v>0</v>
      </c>
      <c r="G6" s="3">
        <f t="shared" si="6"/>
        <v>0</v>
      </c>
      <c r="H6" s="3">
        <f t="shared" si="6"/>
        <v>0</v>
      </c>
      <c r="I6" s="3">
        <f t="shared" si="6"/>
        <v>0</v>
      </c>
      <c r="J6" s="3">
        <f t="shared" si="6"/>
        <v>0</v>
      </c>
      <c r="K6" s="3">
        <f t="shared" si="6"/>
        <v>0</v>
      </c>
      <c r="L6" s="3">
        <f t="shared" si="6"/>
        <v>0</v>
      </c>
      <c r="M6" s="3">
        <f t="shared" si="6"/>
        <v>0</v>
      </c>
      <c r="N6" s="3">
        <f t="shared" si="6"/>
        <v>0</v>
      </c>
      <c r="O6" s="3">
        <f t="shared" si="6"/>
        <v>0</v>
      </c>
      <c r="P6" s="3">
        <f t="shared" si="6"/>
        <v>0</v>
      </c>
      <c r="Q6" s="124">
        <f>P6</f>
        <v>0</v>
      </c>
      <c r="R6" s="3">
        <f>Q6+R12</f>
        <v>144.42835916666667</v>
      </c>
      <c r="S6" s="3">
        <f t="shared" si="1"/>
        <v>288.85671833333333</v>
      </c>
      <c r="T6" s="3">
        <f t="shared" ref="T6:AL6" si="7">S6+T12</f>
        <v>433.2850775</v>
      </c>
      <c r="U6" s="3">
        <f t="shared" si="7"/>
        <v>577.71343666666667</v>
      </c>
      <c r="V6" s="3">
        <f t="shared" si="7"/>
        <v>241329.89803358333</v>
      </c>
      <c r="W6" s="3">
        <f t="shared" si="7"/>
        <v>241474.32639274999</v>
      </c>
      <c r="X6" s="3">
        <f t="shared" si="7"/>
        <v>241618.75475191665</v>
      </c>
      <c r="Y6" s="3">
        <f t="shared" si="7"/>
        <v>241763.18311108332</v>
      </c>
      <c r="Z6" s="127">
        <f t="shared" si="7"/>
        <v>241907.61147024998</v>
      </c>
      <c r="AA6" s="3">
        <f t="shared" si="7"/>
        <v>242052.03982941664</v>
      </c>
      <c r="AB6" s="3">
        <f t="shared" si="7"/>
        <v>242196.4681885833</v>
      </c>
      <c r="AC6" s="3">
        <f t="shared" si="7"/>
        <v>242340.89654774996</v>
      </c>
      <c r="AD6" s="3">
        <f t="shared" si="7"/>
        <v>242340.89654774996</v>
      </c>
      <c r="AE6" s="3">
        <f t="shared" si="7"/>
        <v>242340.89654774996</v>
      </c>
      <c r="AF6" s="3">
        <f t="shared" si="7"/>
        <v>242340.89654774996</v>
      </c>
      <c r="AG6" s="3">
        <f t="shared" si="7"/>
        <v>242340.89654774996</v>
      </c>
      <c r="AH6" s="3">
        <f t="shared" si="7"/>
        <v>242340.89654774996</v>
      </c>
      <c r="AI6" s="3">
        <f t="shared" si="7"/>
        <v>242340.89654774996</v>
      </c>
      <c r="AJ6" s="3">
        <f t="shared" si="7"/>
        <v>242340.89654774996</v>
      </c>
      <c r="AK6" s="3">
        <f t="shared" si="7"/>
        <v>242340.89654774996</v>
      </c>
      <c r="AL6" s="124">
        <f t="shared" si="7"/>
        <v>242340.89654774996</v>
      </c>
      <c r="AM6" s="120">
        <f t="shared" si="3"/>
        <v>242286.73591306247</v>
      </c>
      <c r="AN6" t="s">
        <v>159</v>
      </c>
    </row>
    <row r="7" spans="1:41">
      <c r="E7" s="3">
        <f>E13</f>
        <v>0</v>
      </c>
      <c r="F7" s="3">
        <f t="shared" ref="F7:P7" si="8">F13+E7</f>
        <v>0</v>
      </c>
      <c r="G7" s="3">
        <f t="shared" si="8"/>
        <v>0</v>
      </c>
      <c r="H7" s="3">
        <f t="shared" si="8"/>
        <v>0</v>
      </c>
      <c r="I7" s="3">
        <f t="shared" si="8"/>
        <v>0</v>
      </c>
      <c r="J7" s="3">
        <f t="shared" si="8"/>
        <v>0</v>
      </c>
      <c r="K7" s="3">
        <f t="shared" si="8"/>
        <v>0</v>
      </c>
      <c r="L7" s="3">
        <f t="shared" si="8"/>
        <v>0</v>
      </c>
      <c r="M7" s="3">
        <f t="shared" si="8"/>
        <v>0</v>
      </c>
      <c r="N7" s="3">
        <f t="shared" si="8"/>
        <v>0</v>
      </c>
      <c r="O7" s="3">
        <f t="shared" si="8"/>
        <v>0</v>
      </c>
      <c r="P7" s="3">
        <f t="shared" si="8"/>
        <v>0</v>
      </c>
      <c r="Q7" s="10"/>
      <c r="R7" s="3">
        <f t="shared" ref="R7:AL7" si="9">Q7+R13</f>
        <v>0</v>
      </c>
      <c r="S7" s="3">
        <f t="shared" si="9"/>
        <v>0</v>
      </c>
      <c r="T7" s="3">
        <f t="shared" si="9"/>
        <v>0</v>
      </c>
      <c r="U7" s="3">
        <f t="shared" si="9"/>
        <v>0</v>
      </c>
      <c r="V7" s="3">
        <f t="shared" si="9"/>
        <v>0</v>
      </c>
      <c r="W7" s="3">
        <f t="shared" si="9"/>
        <v>0</v>
      </c>
      <c r="X7" s="3">
        <f t="shared" si="9"/>
        <v>0</v>
      </c>
      <c r="Y7" s="3">
        <f t="shared" si="9"/>
        <v>0</v>
      </c>
      <c r="Z7" s="127">
        <f t="shared" si="9"/>
        <v>0</v>
      </c>
      <c r="AA7" s="3">
        <f t="shared" si="9"/>
        <v>0</v>
      </c>
      <c r="AB7" s="3">
        <f t="shared" si="9"/>
        <v>0</v>
      </c>
      <c r="AC7" s="3">
        <f t="shared" si="9"/>
        <v>0</v>
      </c>
      <c r="AD7" s="3">
        <f t="shared" si="9"/>
        <v>0</v>
      </c>
      <c r="AE7" s="3">
        <f t="shared" si="9"/>
        <v>0</v>
      </c>
      <c r="AF7" s="3">
        <f t="shared" si="9"/>
        <v>0</v>
      </c>
      <c r="AG7" s="3">
        <f t="shared" si="9"/>
        <v>0</v>
      </c>
      <c r="AH7" s="3">
        <f t="shared" si="9"/>
        <v>0</v>
      </c>
      <c r="AI7" s="3">
        <f t="shared" si="9"/>
        <v>0</v>
      </c>
      <c r="AJ7" s="3">
        <f t="shared" si="9"/>
        <v>0</v>
      </c>
      <c r="AK7" s="3">
        <f t="shared" si="9"/>
        <v>0</v>
      </c>
      <c r="AL7" s="3">
        <f t="shared" si="9"/>
        <v>0</v>
      </c>
    </row>
    <row r="8" spans="1:41" ht="13.45" thickBot="1">
      <c r="B8" t="s">
        <v>2</v>
      </c>
      <c r="E8" s="5">
        <f t="shared" ref="E8:AL8" si="10">SUM(E4:E7)</f>
        <v>0</v>
      </c>
      <c r="F8" s="5">
        <f t="shared" si="10"/>
        <v>0</v>
      </c>
      <c r="G8" s="5">
        <f t="shared" si="10"/>
        <v>0</v>
      </c>
      <c r="H8" s="5">
        <f t="shared" si="10"/>
        <v>0</v>
      </c>
      <c r="I8" s="5">
        <f t="shared" si="10"/>
        <v>0</v>
      </c>
      <c r="J8" s="5">
        <f t="shared" si="10"/>
        <v>2871.9666119999997</v>
      </c>
      <c r="K8" s="5">
        <f t="shared" si="10"/>
        <v>11527.128392000001</v>
      </c>
      <c r="L8" s="5">
        <f t="shared" si="10"/>
        <v>53922.415856</v>
      </c>
      <c r="M8" s="5">
        <f t="shared" si="10"/>
        <v>91291.226395999998</v>
      </c>
      <c r="N8" s="5">
        <f t="shared" si="10"/>
        <v>216151.35472400003</v>
      </c>
      <c r="O8" s="5">
        <f t="shared" si="10"/>
        <v>418816.53531599999</v>
      </c>
      <c r="P8" s="5">
        <f t="shared" si="10"/>
        <v>1574422.2075400001</v>
      </c>
      <c r="Q8" s="11">
        <f>SUM(Q4:Q7)</f>
        <v>1574422.2075400001</v>
      </c>
      <c r="R8" s="5">
        <f>SUM(R4:R7)</f>
        <v>2283298.3038370684</v>
      </c>
      <c r="S8" s="5">
        <f t="shared" si="10"/>
        <v>2826816.7032357045</v>
      </c>
      <c r="T8" s="5">
        <f t="shared" si="10"/>
        <v>3536197.7995058522</v>
      </c>
      <c r="U8" s="5">
        <f t="shared" si="10"/>
        <v>4120741.2327501136</v>
      </c>
      <c r="V8" s="5">
        <f t="shared" si="10"/>
        <v>5111753.7370276004</v>
      </c>
      <c r="W8" s="5">
        <f t="shared" si="10"/>
        <v>5696297.1702718623</v>
      </c>
      <c r="X8" s="5">
        <f t="shared" si="10"/>
        <v>8415903.9157626349</v>
      </c>
      <c r="Y8" s="5">
        <f t="shared" si="10"/>
        <v>9000447.349006895</v>
      </c>
      <c r="Z8" s="128">
        <f t="shared" si="10"/>
        <v>9750853.4791226685</v>
      </c>
      <c r="AA8" s="5">
        <f t="shared" si="10"/>
        <v>10335396.912366929</v>
      </c>
      <c r="AB8" s="5">
        <f t="shared" si="10"/>
        <v>11282721.824506667</v>
      </c>
      <c r="AC8" s="5">
        <f t="shared" si="10"/>
        <v>11826251.223904748</v>
      </c>
      <c r="AD8" s="5">
        <f t="shared" si="10"/>
        <v>11826251.223904748</v>
      </c>
      <c r="AE8" s="5">
        <f t="shared" si="10"/>
        <v>11826251.223904748</v>
      </c>
      <c r="AF8" s="5">
        <f t="shared" si="10"/>
        <v>11826251.223904748</v>
      </c>
      <c r="AG8" s="5">
        <f t="shared" si="10"/>
        <v>11826251.223904748</v>
      </c>
      <c r="AH8" s="5">
        <f t="shared" si="10"/>
        <v>11826251.223904748</v>
      </c>
      <c r="AI8" s="5">
        <f t="shared" si="10"/>
        <v>11826251.223904748</v>
      </c>
      <c r="AJ8" s="5">
        <f t="shared" si="10"/>
        <v>11826251.223904748</v>
      </c>
      <c r="AK8" s="5">
        <f t="shared" si="10"/>
        <v>11826251.223904748</v>
      </c>
      <c r="AL8" s="5">
        <f t="shared" si="10"/>
        <v>11826251.223904748</v>
      </c>
      <c r="AM8" s="3"/>
    </row>
    <row r="9" spans="1:41">
      <c r="Q9" s="12"/>
      <c r="S9"/>
    </row>
    <row r="10" spans="1:41" ht="14">
      <c r="A10" s="1" t="s">
        <v>5</v>
      </c>
      <c r="B10" t="s">
        <v>1</v>
      </c>
      <c r="C10" t="s">
        <v>17</v>
      </c>
      <c r="E10" s="15">
        <f>+'WF - 2020 WA E Detail '!U4+'WF - 2020 WA E Detail '!U5+'WF - 2020 WA E Detail '!U6+'WF - 2020 WA E Detail '!U7</f>
        <v>0</v>
      </c>
      <c r="F10" s="15">
        <f>+'WF - 2020 WA E Detail '!V4+'WF - 2020 WA E Detail '!V5+'WF - 2020 WA E Detail '!V6+'WF - 2020 WA E Detail '!V7</f>
        <v>0</v>
      </c>
      <c r="G10" s="15">
        <f>+'WF - 2020 WA E Detail '!W4+'WF - 2020 WA E Detail '!W5+'WF - 2020 WA E Detail '!W6+'WF - 2020 WA E Detail '!W7</f>
        <v>0</v>
      </c>
      <c r="H10" s="15">
        <f>+'WF - 2020 WA E Detail '!X4+'WF - 2020 WA E Detail '!X5+'WF - 2020 WA E Detail '!X6+'WF - 2020 WA E Detail '!X7</f>
        <v>0</v>
      </c>
      <c r="I10" s="15">
        <f>+'WF - 2020 WA E Detail '!Y4+'WF - 2020 WA E Detail '!Y5+'WF - 2020 WA E Detail '!Y6+'WF - 2020 WA E Detail '!Y7</f>
        <v>0</v>
      </c>
      <c r="J10" s="15">
        <f>+'WF - 2020 WA E Detail '!Z4+'WF - 2020 WA E Detail '!Z5+'WF - 2020 WA E Detail '!Z6+'WF - 2020 WA E Detail '!Z7</f>
        <v>0</v>
      </c>
      <c r="K10" s="15">
        <f>+'WF - 2020 WA E Detail '!AA4+'WF - 2020 WA E Detail '!AA5+'WF - 2020 WA E Detail '!AA6+'WF - 2020 WA E Detail '!AA7</f>
        <v>7603.97</v>
      </c>
      <c r="L10" s="15">
        <f>+'WF - 2020 WA E Detail '!AB4+'WF - 2020 WA E Detail '!AB5+'WF - 2020 WA E Detail '!AB6+'WF - 2020 WA E Detail '!AB7</f>
        <v>35856.06</v>
      </c>
      <c r="M10" s="15">
        <f>+'WF - 2020 WA E Detail '!AC4+'WF - 2020 WA E Detail '!AC5+'WF - 2020 WA E Detail '!AC6+'WF - 2020 WA E Detail '!AC7</f>
        <v>27327.629999999997</v>
      </c>
      <c r="N10" s="15">
        <f>+'WF - 2020 WA E Detail '!AD4+'WF - 2020 WA E Detail '!AD5+'WF - 2020 WA E Detail '!AD6+'WF - 2020 WA E Detail '!AD7</f>
        <v>104746.05</v>
      </c>
      <c r="O10" s="15">
        <f>+'WF - 2020 WA E Detail '!AE4+'WF - 2020 WA E Detail '!AE5+'WF - 2020 WA E Detail '!AE6+'WF - 2020 WA E Detail '!AE7</f>
        <v>192121.9</v>
      </c>
      <c r="P10" s="15">
        <f>+'WF - 2020 WA E Detail '!AF4+'WF - 2020 WA E Detail '!AF5+'WF - 2020 WA E Detail '!AF6+'WF - 2020 WA E Detail '!AF7</f>
        <v>1157641.72</v>
      </c>
      <c r="Q10" s="10">
        <f>SUM(E10:P10)</f>
        <v>1525297.33</v>
      </c>
      <c r="R10" s="2">
        <f>SUM('WF - 2021 WA E Detail '!U5:U8)</f>
        <v>708731.66793790192</v>
      </c>
      <c r="S10" s="2">
        <f>SUM('WF - 2021 WA E Detail '!V5:V8)</f>
        <v>543373.97103946924</v>
      </c>
      <c r="T10" s="2">
        <f>SUM('WF - 2021 WA E Detail '!W5:W8)</f>
        <v>709236.66791098099</v>
      </c>
      <c r="U10" s="2">
        <f>SUM('WF - 2021 WA E Detail '!X5:X8)</f>
        <v>543373.97103946924</v>
      </c>
      <c r="V10" s="2">
        <f>SUM('WF - 2021 WA E Detail '!Y5:Y8)</f>
        <v>709235.28583494562</v>
      </c>
      <c r="W10" s="2">
        <f>SUM('WF - 2021 WA E Detail '!Z5:Z8)</f>
        <v>543373.97103946924</v>
      </c>
      <c r="X10" s="2">
        <f>SUM('WF - 2021 WA E Detail '!AA5:AA8)</f>
        <v>709236.66791098099</v>
      </c>
      <c r="Y10" s="2">
        <f>SUM('WF - 2021 WA E Detail '!AB5:AB8)</f>
        <v>543373.97103946924</v>
      </c>
      <c r="Z10" s="129">
        <f>SUM('WF - 2021 WA E Detail '!AC5:AC8)</f>
        <v>709236.66791098099</v>
      </c>
      <c r="AA10" s="2">
        <f>SUM('WF - 2021 WA E Detail '!AD5:AD8)</f>
        <v>543373.97103946924</v>
      </c>
      <c r="AB10" s="2">
        <f>SUM('WF - 2021 WA E Detail '!AE5:AE8)</f>
        <v>709235.28583494562</v>
      </c>
      <c r="AC10" s="2">
        <f>SUM('WF - 2021 WA E Detail '!AF5:AF8)</f>
        <v>543384.97103891731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</row>
    <row r="11" spans="1:41" ht="14">
      <c r="C11" t="s">
        <v>14</v>
      </c>
      <c r="E11" s="15">
        <f>+'WF - 2020 WA E Detail '!U8+'WF - 2020 WA E Detail '!U9</f>
        <v>0</v>
      </c>
      <c r="F11" s="15">
        <f>+'WF - 2020 WA E Detail '!V8+'WF - 2020 WA E Detail '!V9</f>
        <v>0</v>
      </c>
      <c r="G11" s="15">
        <f>+'WF - 2020 WA E Detail '!W8+'WF - 2020 WA E Detail '!W9</f>
        <v>0</v>
      </c>
      <c r="H11" s="15">
        <f>+'WF - 2020 WA E Detail '!X8+'WF - 2020 WA E Detail '!X9</f>
        <v>0</v>
      </c>
      <c r="I11" s="15">
        <f>+'WF - 2020 WA E Detail '!Y8+'WF - 2020 WA E Detail '!Y9</f>
        <v>0</v>
      </c>
      <c r="J11" s="15">
        <f>+'WF - 2020 WA E Detail '!Z8+'WF - 2020 WA E Detail '!Z9</f>
        <v>2871.9666119999997</v>
      </c>
      <c r="K11" s="15">
        <f>+'WF - 2020 WA E Detail '!AA8+'WF - 2020 WA E Detail '!AA9</f>
        <v>1051.1917800000001</v>
      </c>
      <c r="L11" s="15">
        <f>+'WF - 2020 WA E Detail '!AB8+'WF - 2020 WA E Detail '!AB9</f>
        <v>6539.2274639999996</v>
      </c>
      <c r="M11" s="15">
        <f>+'WF - 2020 WA E Detail '!AC8+'WF - 2020 WA E Detail '!AC9</f>
        <v>10041.180539999999</v>
      </c>
      <c r="N11" s="15">
        <f>+'WF - 2020 WA E Detail '!AD8+'WF - 2020 WA E Detail '!AD9</f>
        <v>20114.078328</v>
      </c>
      <c r="O11" s="15">
        <f>+'WF - 2020 WA E Detail '!AE8+'WF - 2020 WA E Detail '!AE9</f>
        <v>10543.280591999999</v>
      </c>
      <c r="P11" s="15">
        <f>+'WF - 2020 WA E Detail '!AF8+'WF - 2020 WA E Detail '!AF9</f>
        <v>-2036.0477759999985</v>
      </c>
      <c r="Q11" s="10">
        <f t="shared" ref="Q11:Q12" si="11">SUM(E11:P11)</f>
        <v>49124.877539999994</v>
      </c>
      <c r="R11" s="2">
        <f>SUM('WF - 2021 WA E Detail '!U10:U12)</f>
        <v>0</v>
      </c>
      <c r="S11" s="2">
        <f>SUM('WF - 2021 WA E Detail '!V10:V12)</f>
        <v>0</v>
      </c>
      <c r="T11" s="2">
        <f>SUM('WF - 2021 WA E Detail '!W10:W12)</f>
        <v>0</v>
      </c>
      <c r="U11" s="2">
        <f>SUM('WF - 2021 WA E Detail '!X10:X12)</f>
        <v>41025.033845625003</v>
      </c>
      <c r="V11" s="2">
        <f>SUM('WF - 2021 WA E Detail '!Y10:Y12)</f>
        <v>41025.033845625003</v>
      </c>
      <c r="W11" s="2">
        <f>SUM('WF - 2021 WA E Detail '!Z10:Z12)</f>
        <v>41025.033845625003</v>
      </c>
      <c r="X11" s="2">
        <f>SUM('WF - 2021 WA E Detail '!AA10:AA12)</f>
        <v>2010225.6492206249</v>
      </c>
      <c r="Y11" s="2">
        <f>SUM('WF - 2021 WA E Detail '!AB10:AB12)</f>
        <v>41025.033845625003</v>
      </c>
      <c r="Z11" s="129">
        <f>SUM('WF - 2021 WA E Detail '!AC10:AC12)</f>
        <v>41025.033845625003</v>
      </c>
      <c r="AA11" s="2">
        <f>SUM('WF - 2021 WA E Detail '!AD10:AD12)</f>
        <v>41025.033845625003</v>
      </c>
      <c r="AB11" s="2">
        <f>SUM('WF - 2021 WA E Detail '!AE10:AE12)</f>
        <v>237945.197945625</v>
      </c>
      <c r="AC11" s="2">
        <f>SUM('WF - 2021 WA E Detail '!AF10:AF12)</f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</row>
    <row r="12" spans="1:41" ht="14">
      <c r="C12" t="s">
        <v>20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0">
        <f t="shared" si="11"/>
        <v>0</v>
      </c>
      <c r="R12" s="2">
        <f>+'WF - 2021 WA E Detail '!U4+'WF - 2021 WA E Detail '!U9</f>
        <v>144.42835916666667</v>
      </c>
      <c r="S12" s="2">
        <f>+'WF - 2021 WA E Detail '!V4+'WF - 2021 WA E Detail '!V9</f>
        <v>144.42835916666667</v>
      </c>
      <c r="T12" s="2">
        <f>+'WF - 2021 WA E Detail '!W4+'WF - 2021 WA E Detail '!W9</f>
        <v>144.42835916666667</v>
      </c>
      <c r="U12" s="2">
        <f>+'WF - 2021 WA E Detail '!X4+'WF - 2021 WA E Detail '!X9</f>
        <v>144.42835916666667</v>
      </c>
      <c r="V12" s="2">
        <f>+'WF - 2021 WA E Detail '!Y4+'WF - 2021 WA E Detail '!Y9</f>
        <v>240752.18459691666</v>
      </c>
      <c r="W12" s="2">
        <f>+'WF - 2021 WA E Detail '!Z4+'WF - 2021 WA E Detail '!Z9</f>
        <v>144.42835916666667</v>
      </c>
      <c r="X12" s="2">
        <f>+'WF - 2021 WA E Detail '!AA4+'WF - 2021 WA E Detail '!AA9</f>
        <v>144.42835916666667</v>
      </c>
      <c r="Y12" s="2">
        <f>+'WF - 2021 WA E Detail '!AB4+'WF - 2021 WA E Detail '!AB9</f>
        <v>144.42835916666667</v>
      </c>
      <c r="Z12" s="129">
        <f>+'WF - 2021 WA E Detail '!AC4+'WF - 2021 WA E Detail '!AC9</f>
        <v>144.42835916666667</v>
      </c>
      <c r="AA12" s="2">
        <f>+'WF - 2021 WA E Detail '!AD4+'WF - 2021 WA E Detail '!AD9</f>
        <v>144.42835916666667</v>
      </c>
      <c r="AB12" s="2">
        <f>+'WF - 2021 WA E Detail '!AE4+'WF - 2021 WA E Detail '!AE9</f>
        <v>144.42835916666667</v>
      </c>
      <c r="AC12" s="2">
        <f>+'WF - 2021 WA E Detail '!AF4+'WF - 2021 WA E Detail '!AF9</f>
        <v>144.42835916666667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4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0"/>
      <c r="R13" s="2"/>
      <c r="T13" s="2"/>
      <c r="U13" s="2"/>
      <c r="V13" s="2"/>
      <c r="W13" s="2"/>
      <c r="X13" s="2"/>
      <c r="Y13" s="2"/>
      <c r="Z13" s="129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41" ht="13.45" thickBot="1">
      <c r="B14" t="s">
        <v>2</v>
      </c>
      <c r="E14" s="5">
        <f t="shared" ref="E14:AL14" si="12">SUM(E10:E13)</f>
        <v>0</v>
      </c>
      <c r="F14" s="5">
        <f t="shared" si="12"/>
        <v>0</v>
      </c>
      <c r="G14" s="5">
        <f t="shared" si="12"/>
        <v>0</v>
      </c>
      <c r="H14" s="5">
        <f t="shared" si="12"/>
        <v>0</v>
      </c>
      <c r="I14" s="5">
        <f t="shared" si="12"/>
        <v>0</v>
      </c>
      <c r="J14" s="5">
        <f t="shared" si="12"/>
        <v>2871.9666119999997</v>
      </c>
      <c r="K14" s="5">
        <f t="shared" si="12"/>
        <v>8655.1617800000004</v>
      </c>
      <c r="L14" s="5">
        <f t="shared" si="12"/>
        <v>42395.287463999994</v>
      </c>
      <c r="M14" s="5">
        <f t="shared" si="12"/>
        <v>37368.810539999999</v>
      </c>
      <c r="N14" s="5">
        <f t="shared" si="12"/>
        <v>124860.12832800001</v>
      </c>
      <c r="O14" s="5">
        <f t="shared" si="12"/>
        <v>202665.18059199999</v>
      </c>
      <c r="P14" s="5">
        <f t="shared" si="12"/>
        <v>1155605.6722239999</v>
      </c>
      <c r="Q14" s="11">
        <f>SUM(Q10:Q13)</f>
        <v>1574422.2075400001</v>
      </c>
      <c r="R14" s="5">
        <f t="shared" si="12"/>
        <v>708876.09629706864</v>
      </c>
      <c r="S14" s="5">
        <f t="shared" si="12"/>
        <v>543518.39939863596</v>
      </c>
      <c r="T14" s="5">
        <f t="shared" si="12"/>
        <v>709381.09627014771</v>
      </c>
      <c r="U14" s="5">
        <f t="shared" si="12"/>
        <v>584543.43324426096</v>
      </c>
      <c r="V14" s="5">
        <f t="shared" si="12"/>
        <v>991012.50427748729</v>
      </c>
      <c r="W14" s="5">
        <f t="shared" si="12"/>
        <v>584543.43324426096</v>
      </c>
      <c r="X14" s="5">
        <f t="shared" si="12"/>
        <v>2719606.7454907726</v>
      </c>
      <c r="Y14" s="5">
        <f t="shared" si="12"/>
        <v>584543.43324426096</v>
      </c>
      <c r="Z14" s="128">
        <f t="shared" si="12"/>
        <v>750406.13011577271</v>
      </c>
      <c r="AA14" s="5">
        <f t="shared" si="12"/>
        <v>584543.43324426096</v>
      </c>
      <c r="AB14" s="5">
        <f t="shared" si="12"/>
        <v>947324.91213973728</v>
      </c>
      <c r="AC14" s="5">
        <f t="shared" si="12"/>
        <v>543529.39939808403</v>
      </c>
      <c r="AD14" s="5">
        <f t="shared" si="12"/>
        <v>0</v>
      </c>
      <c r="AE14" s="5">
        <f t="shared" si="12"/>
        <v>0</v>
      </c>
      <c r="AF14" s="5">
        <f t="shared" si="12"/>
        <v>0</v>
      </c>
      <c r="AG14" s="5">
        <f t="shared" si="12"/>
        <v>0</v>
      </c>
      <c r="AH14" s="5">
        <f t="shared" si="12"/>
        <v>0</v>
      </c>
      <c r="AI14" s="5">
        <f t="shared" si="12"/>
        <v>0</v>
      </c>
      <c r="AJ14" s="5">
        <f t="shared" si="12"/>
        <v>0</v>
      </c>
      <c r="AK14" s="5">
        <f t="shared" si="12"/>
        <v>0</v>
      </c>
      <c r="AL14" s="5">
        <f t="shared" si="12"/>
        <v>0</v>
      </c>
    </row>
    <row r="15" spans="1:4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3"/>
      <c r="R15" s="2"/>
      <c r="T15" s="2"/>
      <c r="U15" s="2"/>
      <c r="V15" s="2"/>
      <c r="W15" s="2"/>
      <c r="X15" s="2"/>
      <c r="Y15" s="2"/>
      <c r="Z15" s="129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41">
      <c r="Q16" s="12"/>
    </row>
    <row r="17" spans="1:39">
      <c r="A17" s="1" t="s">
        <v>6</v>
      </c>
      <c r="B17" t="s">
        <v>1</v>
      </c>
      <c r="C17" t="s">
        <v>18</v>
      </c>
      <c r="E17" s="2"/>
      <c r="F17" s="2">
        <f t="shared" ref="F17:P17" si="13">(E4+((F10)/2))*$D$4/12</f>
        <v>0</v>
      </c>
      <c r="G17" s="2">
        <f t="shared" si="13"/>
        <v>0</v>
      </c>
      <c r="H17" s="2">
        <f t="shared" si="13"/>
        <v>0</v>
      </c>
      <c r="I17" s="2">
        <f t="shared" si="13"/>
        <v>0</v>
      </c>
      <c r="J17" s="2">
        <f t="shared" si="13"/>
        <v>0</v>
      </c>
      <c r="K17" s="2">
        <f t="shared" si="13"/>
        <v>7.7623860416666668</v>
      </c>
      <c r="L17" s="2">
        <f t="shared" si="13"/>
        <v>52.127833333333335</v>
      </c>
      <c r="M17" s="2">
        <f t="shared" si="13"/>
        <v>116.62785020833333</v>
      </c>
      <c r="N17" s="2">
        <f t="shared" si="13"/>
        <v>251.45306520833333</v>
      </c>
      <c r="O17" s="2">
        <f t="shared" si="13"/>
        <v>554.50576416666672</v>
      </c>
      <c r="P17" s="2">
        <f t="shared" si="13"/>
        <v>1932.3894595833333</v>
      </c>
      <c r="Q17" s="112">
        <f t="shared" ref="Q17:Q20" si="14">SUM(E17:P17)</f>
        <v>2914.8663585416666</v>
      </c>
      <c r="R17" s="2">
        <f>(P4+((R10)/2))*$D$4/12</f>
        <v>3837.6456264366084</v>
      </c>
      <c r="S17" s="2">
        <f>(R4+((S10)/2))*$D$4/12</f>
        <v>5115.8367995593417</v>
      </c>
      <c r="T17" s="2">
        <f t="shared" ref="T17:AL17" si="15">(S4+((T10)/2))*$D$4/12</f>
        <v>6394.5434934879268</v>
      </c>
      <c r="U17" s="2">
        <f t="shared" si="15"/>
        <v>7673.2501874165109</v>
      </c>
      <c r="V17" s="2">
        <f t="shared" si="15"/>
        <v>8951.9554704758102</v>
      </c>
      <c r="W17" s="2">
        <f t="shared" si="15"/>
        <v>10230.660753535109</v>
      </c>
      <c r="X17" s="2">
        <f t="shared" si="15"/>
        <v>11509.367447463692</v>
      </c>
      <c r="Y17" s="2">
        <f t="shared" si="15"/>
        <v>12788.074141392279</v>
      </c>
      <c r="Z17" s="129">
        <f t="shared" si="15"/>
        <v>14066.780835320862</v>
      </c>
      <c r="AA17" s="2">
        <f t="shared" si="15"/>
        <v>15345.487529249447</v>
      </c>
      <c r="AB17" s="2">
        <f t="shared" si="15"/>
        <v>16624.192812308745</v>
      </c>
      <c r="AC17" s="2">
        <f t="shared" si="15"/>
        <v>17902.909324534146</v>
      </c>
      <c r="AD17" s="2">
        <f>(AC4+((AD10)/2))*$D$4/12</f>
        <v>18457.614815803041</v>
      </c>
      <c r="AE17" s="2">
        <f t="shared" si="15"/>
        <v>18457.614815803041</v>
      </c>
      <c r="AF17" s="2">
        <f t="shared" si="15"/>
        <v>18457.614815803041</v>
      </c>
      <c r="AG17" s="2">
        <f t="shared" si="15"/>
        <v>18457.614815803041</v>
      </c>
      <c r="AH17" s="2">
        <f t="shared" si="15"/>
        <v>18457.614815803041</v>
      </c>
      <c r="AI17" s="2">
        <f t="shared" si="15"/>
        <v>18457.614815803041</v>
      </c>
      <c r="AJ17" s="2">
        <f t="shared" si="15"/>
        <v>18457.614815803041</v>
      </c>
      <c r="AK17" s="2">
        <f t="shared" si="15"/>
        <v>18457.614815803041</v>
      </c>
      <c r="AL17" s="2">
        <f t="shared" si="15"/>
        <v>18457.614815803041</v>
      </c>
      <c r="AM17" s="112">
        <f>SUM(AA17:AL17)</f>
        <v>215991.1230083197</v>
      </c>
    </row>
    <row r="18" spans="1:39">
      <c r="C18" t="s">
        <v>14</v>
      </c>
      <c r="E18" s="2"/>
      <c r="F18" s="2">
        <f t="shared" ref="F18:P18" si="16">(E5+((F11)/2))*$D$5/12</f>
        <v>0</v>
      </c>
      <c r="G18" s="2">
        <f t="shared" si="16"/>
        <v>0</v>
      </c>
      <c r="H18" s="2">
        <f t="shared" si="16"/>
        <v>0</v>
      </c>
      <c r="I18" s="2">
        <f t="shared" si="16"/>
        <v>0</v>
      </c>
      <c r="J18" s="2">
        <f t="shared" si="16"/>
        <v>2.4651046752999997</v>
      </c>
      <c r="K18" s="2">
        <f t="shared" si="16"/>
        <v>5.8324822951000002</v>
      </c>
      <c r="L18" s="2">
        <f t="shared" si="16"/>
        <v>12.347592146199998</v>
      </c>
      <c r="M18" s="2">
        <f t="shared" si="16"/>
        <v>26.579109016299995</v>
      </c>
      <c r="N18" s="2">
        <f t="shared" si="16"/>
        <v>52.462372877999996</v>
      </c>
      <c r="O18" s="2">
        <f t="shared" si="16"/>
        <v>78.776605950999993</v>
      </c>
      <c r="P18" s="2">
        <f t="shared" si="16"/>
        <v>86.078647451400002</v>
      </c>
      <c r="Q18" s="112">
        <f t="shared" si="14"/>
        <v>264.54191441329999</v>
      </c>
      <c r="R18" s="2">
        <f>(P5+((R11)/2))*$D$5/12</f>
        <v>84.331039776999987</v>
      </c>
      <c r="S18" s="2">
        <f>(R5+((S11)/2))*$D$5/12</f>
        <v>84.331039776999987</v>
      </c>
      <c r="T18" s="2">
        <f t="shared" ref="T18:AL18" si="17">(S5+((T11)/2))*$D$5/12</f>
        <v>84.331039776999987</v>
      </c>
      <c r="U18" s="2">
        <f t="shared" si="17"/>
        <v>119.54419382782811</v>
      </c>
      <c r="V18" s="2">
        <f t="shared" si="17"/>
        <v>189.97050192948436</v>
      </c>
      <c r="W18" s="2">
        <f t="shared" si="17"/>
        <v>260.3968100311406</v>
      </c>
      <c r="X18" s="2">
        <f t="shared" si="17"/>
        <v>2021.0536463296719</v>
      </c>
      <c r="Y18" s="2">
        <f t="shared" si="17"/>
        <v>3781.710482628203</v>
      </c>
      <c r="Z18" s="129">
        <f t="shared" si="17"/>
        <v>3852.1367907298591</v>
      </c>
      <c r="AA18" s="2">
        <f t="shared" si="17"/>
        <v>3922.5630988315152</v>
      </c>
      <c r="AB18" s="2">
        <f t="shared" si="17"/>
        <v>4162.0125477856709</v>
      </c>
      <c r="AC18" s="2">
        <f t="shared" si="17"/>
        <v>4366.2488426889995</v>
      </c>
      <c r="AD18" s="2">
        <f>(AC5+((AD11)/2))*$D$5/12</f>
        <v>4366.2488426889995</v>
      </c>
      <c r="AE18" s="2">
        <f t="shared" si="17"/>
        <v>4366.2488426889995</v>
      </c>
      <c r="AF18" s="2">
        <f t="shared" si="17"/>
        <v>4366.2488426889995</v>
      </c>
      <c r="AG18" s="2">
        <f t="shared" si="17"/>
        <v>4366.2488426889995</v>
      </c>
      <c r="AH18" s="2">
        <f t="shared" si="17"/>
        <v>4366.2488426889995</v>
      </c>
      <c r="AI18" s="2">
        <f t="shared" si="17"/>
        <v>4366.2488426889995</v>
      </c>
      <c r="AJ18" s="2">
        <f t="shared" si="17"/>
        <v>4366.2488426889995</v>
      </c>
      <c r="AK18" s="2">
        <f t="shared" si="17"/>
        <v>4366.2488426889995</v>
      </c>
      <c r="AL18" s="2">
        <f t="shared" si="17"/>
        <v>4366.2488426889995</v>
      </c>
      <c r="AM18" s="112">
        <f t="shared" ref="AM18:AM19" si="18">SUM(AA18:AL18)</f>
        <v>51747.064073507165</v>
      </c>
    </row>
    <row r="19" spans="1:39">
      <c r="C19" t="s">
        <v>20</v>
      </c>
      <c r="E19" s="2"/>
      <c r="F19" s="2">
        <f>(E6+((F12)/2))*$D$6/12</f>
        <v>0</v>
      </c>
      <c r="G19" s="2">
        <f>(F6+((G12)/2))*$D$6/12</f>
        <v>0</v>
      </c>
      <c r="H19" s="2">
        <f>(G6+((H12)/2))*$D$6/12</f>
        <v>0</v>
      </c>
      <c r="I19" s="2">
        <f t="shared" ref="I19:P19" si="19">(H6+((I12)/2))*$D$6/12</f>
        <v>0</v>
      </c>
      <c r="J19" s="2">
        <f t="shared" si="19"/>
        <v>0</v>
      </c>
      <c r="K19" s="2">
        <f t="shared" si="19"/>
        <v>0</v>
      </c>
      <c r="L19" s="2">
        <f t="shared" si="19"/>
        <v>0</v>
      </c>
      <c r="M19" s="2">
        <f t="shared" si="19"/>
        <v>0</v>
      </c>
      <c r="N19" s="2">
        <f t="shared" si="19"/>
        <v>0</v>
      </c>
      <c r="O19" s="2">
        <f t="shared" si="19"/>
        <v>0</v>
      </c>
      <c r="P19" s="2">
        <f t="shared" si="19"/>
        <v>0</v>
      </c>
      <c r="Q19" s="112">
        <f t="shared" si="14"/>
        <v>0</v>
      </c>
      <c r="R19" s="2">
        <f>(P6+((R12)/2))*$D$6/12</f>
        <v>1.2035696597222223</v>
      </c>
      <c r="S19" s="2">
        <f>(R6+((S12)/2))*$D$6/12</f>
        <v>3.6107089791666667</v>
      </c>
      <c r="T19" s="2">
        <f t="shared" ref="T19:AC19" si="20">(S6+((T12)/2))*$D$6/12</f>
        <v>6.0178482986111126</v>
      </c>
      <c r="U19" s="2">
        <f t="shared" si="20"/>
        <v>8.424987618055555</v>
      </c>
      <c r="V19" s="2">
        <f t="shared" si="20"/>
        <v>2015.8967622520834</v>
      </c>
      <c r="W19" s="2">
        <f t="shared" si="20"/>
        <v>4023.3685368861115</v>
      </c>
      <c r="X19" s="2">
        <f t="shared" si="20"/>
        <v>4025.7756762055556</v>
      </c>
      <c r="Y19" s="2">
        <f t="shared" si="20"/>
        <v>4028.182815525</v>
      </c>
      <c r="Z19" s="129">
        <f t="shared" si="20"/>
        <v>4030.5899548444445</v>
      </c>
      <c r="AA19" s="2">
        <f t="shared" si="20"/>
        <v>4032.997094163889</v>
      </c>
      <c r="AB19" s="2">
        <f t="shared" si="20"/>
        <v>4035.4042334833334</v>
      </c>
      <c r="AC19" s="2">
        <f t="shared" si="20"/>
        <v>4037.811372802777</v>
      </c>
      <c r="AD19" s="2">
        <f>(AC6+((AD12)/2))*$D$6/12</f>
        <v>4039.0149424624997</v>
      </c>
      <c r="AE19" s="2">
        <f t="shared" ref="AE19:AL19" si="21">(AD6+((AE12)/2))*$D$6/12</f>
        <v>4039.0149424624997</v>
      </c>
      <c r="AF19" s="2">
        <f t="shared" si="21"/>
        <v>4039.0149424624997</v>
      </c>
      <c r="AG19" s="2">
        <f t="shared" si="21"/>
        <v>4039.0149424624997</v>
      </c>
      <c r="AH19" s="2">
        <f t="shared" si="21"/>
        <v>4039.0149424624997</v>
      </c>
      <c r="AI19" s="2">
        <f t="shared" si="21"/>
        <v>4039.0149424624997</v>
      </c>
      <c r="AJ19" s="2">
        <f t="shared" si="21"/>
        <v>4039.0149424624997</v>
      </c>
      <c r="AK19" s="2">
        <f t="shared" si="21"/>
        <v>4039.0149424624997</v>
      </c>
      <c r="AL19" s="2">
        <f t="shared" si="21"/>
        <v>4039.0149424624997</v>
      </c>
      <c r="AM19" s="112">
        <f t="shared" si="18"/>
        <v>48457.347182612488</v>
      </c>
    </row>
    <row r="20" spans="1:39">
      <c r="E20" s="2"/>
      <c r="F20" s="2">
        <f t="shared" ref="F20:P20" si="22">(E7+((F13)/2))*$D$7/12</f>
        <v>0</v>
      </c>
      <c r="G20" s="2">
        <f t="shared" si="22"/>
        <v>0</v>
      </c>
      <c r="H20" s="2">
        <f t="shared" si="22"/>
        <v>0</v>
      </c>
      <c r="I20" s="2">
        <f t="shared" si="22"/>
        <v>0</v>
      </c>
      <c r="J20" s="2">
        <f t="shared" si="22"/>
        <v>0</v>
      </c>
      <c r="K20" s="2">
        <f t="shared" si="22"/>
        <v>0</v>
      </c>
      <c r="L20" s="2">
        <f t="shared" si="22"/>
        <v>0</v>
      </c>
      <c r="M20" s="2">
        <f t="shared" si="22"/>
        <v>0</v>
      </c>
      <c r="N20" s="2">
        <f t="shared" si="22"/>
        <v>0</v>
      </c>
      <c r="O20" s="2">
        <f t="shared" si="22"/>
        <v>0</v>
      </c>
      <c r="P20" s="2">
        <f t="shared" si="22"/>
        <v>0</v>
      </c>
      <c r="Q20" s="10">
        <f t="shared" si="14"/>
        <v>0</v>
      </c>
      <c r="R20" s="2">
        <f>(P7+((R13)/2))*$D$7/12</f>
        <v>0</v>
      </c>
      <c r="S20" s="2">
        <f t="shared" ref="S20:AL20" si="23">(R7+((S13)/2))*$D$7/12</f>
        <v>0</v>
      </c>
      <c r="T20" s="2">
        <f t="shared" si="23"/>
        <v>0</v>
      </c>
      <c r="U20" s="2">
        <f t="shared" si="23"/>
        <v>0</v>
      </c>
      <c r="V20" s="2">
        <f t="shared" si="23"/>
        <v>0</v>
      </c>
      <c r="W20" s="2">
        <f t="shared" si="23"/>
        <v>0</v>
      </c>
      <c r="X20" s="2">
        <f t="shared" si="23"/>
        <v>0</v>
      </c>
      <c r="Y20" s="2">
        <f t="shared" si="23"/>
        <v>0</v>
      </c>
      <c r="Z20" s="129">
        <f t="shared" si="23"/>
        <v>0</v>
      </c>
      <c r="AA20" s="2">
        <f t="shared" si="23"/>
        <v>0</v>
      </c>
      <c r="AB20" s="2">
        <f t="shared" si="23"/>
        <v>0</v>
      </c>
      <c r="AC20" s="2">
        <f t="shared" si="23"/>
        <v>0</v>
      </c>
      <c r="AD20" s="2">
        <f t="shared" si="23"/>
        <v>0</v>
      </c>
      <c r="AE20" s="2">
        <f t="shared" si="23"/>
        <v>0</v>
      </c>
      <c r="AF20" s="2">
        <f t="shared" si="23"/>
        <v>0</v>
      </c>
      <c r="AG20" s="2">
        <f t="shared" si="23"/>
        <v>0</v>
      </c>
      <c r="AH20" s="2">
        <f t="shared" si="23"/>
        <v>0</v>
      </c>
      <c r="AI20" s="2">
        <f t="shared" si="23"/>
        <v>0</v>
      </c>
      <c r="AJ20" s="2">
        <f t="shared" si="23"/>
        <v>0</v>
      </c>
      <c r="AK20" s="2">
        <f t="shared" si="23"/>
        <v>0</v>
      </c>
      <c r="AL20" s="2">
        <f t="shared" si="23"/>
        <v>0</v>
      </c>
    </row>
    <row r="21" spans="1:39" ht="13.45" thickBot="1">
      <c r="B21" t="s">
        <v>2</v>
      </c>
      <c r="E21" s="5">
        <f t="shared" ref="E21:AL21" si="24">SUM(E17:E20)</f>
        <v>0</v>
      </c>
      <c r="F21" s="5">
        <f t="shared" si="24"/>
        <v>0</v>
      </c>
      <c r="G21" s="5">
        <f t="shared" si="24"/>
        <v>0</v>
      </c>
      <c r="H21" s="5">
        <f t="shared" si="24"/>
        <v>0</v>
      </c>
      <c r="I21" s="5">
        <f t="shared" si="24"/>
        <v>0</v>
      </c>
      <c r="J21" s="5">
        <f t="shared" si="24"/>
        <v>2.4651046752999997</v>
      </c>
      <c r="K21" s="5">
        <f t="shared" si="24"/>
        <v>13.594868336766666</v>
      </c>
      <c r="L21" s="5">
        <f t="shared" si="24"/>
        <v>64.475425479533328</v>
      </c>
      <c r="M21" s="5">
        <f t="shared" si="24"/>
        <v>143.20695922463332</v>
      </c>
      <c r="N21" s="5">
        <f t="shared" si="24"/>
        <v>303.91543808633332</v>
      </c>
      <c r="O21" s="5">
        <f t="shared" si="24"/>
        <v>633.28237011766669</v>
      </c>
      <c r="P21" s="5">
        <f t="shared" si="24"/>
        <v>2018.4681070347333</v>
      </c>
      <c r="Q21" s="11">
        <f>SUM(Q17:Q20)</f>
        <v>3179.4082729549664</v>
      </c>
      <c r="R21" s="5">
        <f t="shared" si="24"/>
        <v>3923.1802358733307</v>
      </c>
      <c r="S21" s="5">
        <f t="shared" si="24"/>
        <v>5203.7785483155085</v>
      </c>
      <c r="T21" s="5">
        <f t="shared" si="24"/>
        <v>6484.892381563538</v>
      </c>
      <c r="U21" s="5">
        <f t="shared" si="24"/>
        <v>7801.2193688623947</v>
      </c>
      <c r="V21" s="5">
        <f t="shared" si="24"/>
        <v>11157.822734657379</v>
      </c>
      <c r="W21" s="5">
        <f t="shared" si="24"/>
        <v>14514.426100452361</v>
      </c>
      <c r="X21" s="5">
        <f t="shared" si="24"/>
        <v>17556.196769998918</v>
      </c>
      <c r="Y21" s="5">
        <f t="shared" si="24"/>
        <v>20597.967439545482</v>
      </c>
      <c r="Z21" s="128">
        <f t="shared" si="24"/>
        <v>21949.507580895166</v>
      </c>
      <c r="AA21" s="5">
        <f t="shared" si="24"/>
        <v>23301.047722244854</v>
      </c>
      <c r="AB21" s="5">
        <f t="shared" si="24"/>
        <v>24821.609593577748</v>
      </c>
      <c r="AC21" s="5">
        <f t="shared" si="24"/>
        <v>26306.969540025926</v>
      </c>
      <c r="AD21" s="5">
        <f t="shared" si="24"/>
        <v>26862.878600954537</v>
      </c>
      <c r="AE21" s="5">
        <f t="shared" si="24"/>
        <v>26862.878600954537</v>
      </c>
      <c r="AF21" s="5">
        <f t="shared" si="24"/>
        <v>26862.878600954537</v>
      </c>
      <c r="AG21" s="5">
        <f t="shared" si="24"/>
        <v>26862.878600954537</v>
      </c>
      <c r="AH21" s="5">
        <f t="shared" si="24"/>
        <v>26862.878600954537</v>
      </c>
      <c r="AI21" s="5">
        <f t="shared" si="24"/>
        <v>26862.878600954537</v>
      </c>
      <c r="AJ21" s="5">
        <f t="shared" si="24"/>
        <v>26862.878600954537</v>
      </c>
      <c r="AK21" s="5">
        <f t="shared" si="24"/>
        <v>26862.878600954537</v>
      </c>
      <c r="AL21" s="5">
        <f t="shared" si="24"/>
        <v>26862.878600954537</v>
      </c>
    </row>
    <row r="22" spans="1:39">
      <c r="Q22" s="12"/>
    </row>
    <row r="23" spans="1:39" ht="9" customHeight="1">
      <c r="Q23" s="12"/>
    </row>
    <row r="24" spans="1:39">
      <c r="A24" s="1" t="s">
        <v>8</v>
      </c>
      <c r="B24" t="s">
        <v>1</v>
      </c>
      <c r="C24" t="s">
        <v>18</v>
      </c>
      <c r="E24" s="2">
        <f>-E10/2</f>
        <v>0</v>
      </c>
      <c r="F24" s="2">
        <f t="shared" ref="F24:P24" si="25">E24-F17</f>
        <v>0</v>
      </c>
      <c r="G24" s="2">
        <f t="shared" si="25"/>
        <v>0</v>
      </c>
      <c r="H24" s="2">
        <f t="shared" si="25"/>
        <v>0</v>
      </c>
      <c r="I24" s="2">
        <f t="shared" si="25"/>
        <v>0</v>
      </c>
      <c r="J24" s="2">
        <f t="shared" si="25"/>
        <v>0</v>
      </c>
      <c r="K24" s="2">
        <f t="shared" si="25"/>
        <v>-7.7623860416666668</v>
      </c>
      <c r="L24" s="2">
        <f t="shared" si="25"/>
        <v>-59.890219375000001</v>
      </c>
      <c r="M24" s="2">
        <f t="shared" si="25"/>
        <v>-176.51806958333333</v>
      </c>
      <c r="N24" s="2">
        <f t="shared" si="25"/>
        <v>-427.97113479166666</v>
      </c>
      <c r="O24" s="2">
        <f t="shared" si="25"/>
        <v>-982.47689895833332</v>
      </c>
      <c r="P24" s="2">
        <f t="shared" si="25"/>
        <v>-2914.8663585416666</v>
      </c>
      <c r="Q24" s="122">
        <f>P24</f>
        <v>-2914.8663585416666</v>
      </c>
      <c r="R24" s="2">
        <f t="shared" ref="R24:S27" si="26">Q24-R17</f>
        <v>-6752.511984978275</v>
      </c>
      <c r="S24" s="2">
        <f t="shared" si="26"/>
        <v>-11868.348784537617</v>
      </c>
      <c r="T24" s="2">
        <f t="shared" ref="T24:AL24" si="27">S24-T17</f>
        <v>-18262.892278025545</v>
      </c>
      <c r="U24" s="2">
        <f t="shared" si="27"/>
        <v>-25936.142465442055</v>
      </c>
      <c r="V24" s="2">
        <f t="shared" si="27"/>
        <v>-34888.097935917867</v>
      </c>
      <c r="W24" s="2">
        <f t="shared" si="27"/>
        <v>-45118.758689452974</v>
      </c>
      <c r="X24" s="2">
        <f t="shared" si="27"/>
        <v>-56628.126136916668</v>
      </c>
      <c r="Y24" s="2">
        <f t="shared" si="27"/>
        <v>-69416.200278308941</v>
      </c>
      <c r="Z24" s="129">
        <f t="shared" si="27"/>
        <v>-83482.981113629809</v>
      </c>
      <c r="AA24" s="2">
        <f t="shared" si="27"/>
        <v>-98828.468642879248</v>
      </c>
      <c r="AB24" s="2">
        <f t="shared" si="27"/>
        <v>-115452.66145518799</v>
      </c>
      <c r="AC24" s="2">
        <f t="shared" si="27"/>
        <v>-133355.57077972213</v>
      </c>
      <c r="AD24" s="2">
        <f t="shared" si="27"/>
        <v>-151813.18559552517</v>
      </c>
      <c r="AE24" s="2">
        <f t="shared" si="27"/>
        <v>-170270.80041132821</v>
      </c>
      <c r="AF24" s="2">
        <f t="shared" si="27"/>
        <v>-188728.41522713125</v>
      </c>
      <c r="AG24" s="2">
        <f t="shared" si="27"/>
        <v>-207186.03004293429</v>
      </c>
      <c r="AH24" s="2">
        <f t="shared" si="27"/>
        <v>-225643.64485873733</v>
      </c>
      <c r="AI24" s="2">
        <f t="shared" si="27"/>
        <v>-244101.25967454037</v>
      </c>
      <c r="AJ24" s="2">
        <f t="shared" si="27"/>
        <v>-262558.87449034338</v>
      </c>
      <c r="AK24" s="2">
        <f t="shared" si="27"/>
        <v>-281016.4893061464</v>
      </c>
      <c r="AL24" s="2">
        <f t="shared" si="27"/>
        <v>-299474.10412194941</v>
      </c>
      <c r="AM24" s="122">
        <f t="shared" ref="AM24:AM26" si="28">(((Z24+AL24)/2)+AA24+AB24+AC24+AD24+AE24+AF24+AG24+AH24+AI24+AJ24+AK24)/12</f>
        <v>-189202.82859185545</v>
      </c>
    </row>
    <row r="25" spans="1:39">
      <c r="C25" t="s">
        <v>14</v>
      </c>
      <c r="E25" s="2">
        <f>-E11/2</f>
        <v>0</v>
      </c>
      <c r="F25" s="2">
        <f t="shared" ref="F25:P25" si="29">E25-F18</f>
        <v>0</v>
      </c>
      <c r="G25" s="2">
        <f t="shared" si="29"/>
        <v>0</v>
      </c>
      <c r="H25" s="2">
        <f t="shared" si="29"/>
        <v>0</v>
      </c>
      <c r="I25" s="2">
        <f t="shared" si="29"/>
        <v>0</v>
      </c>
      <c r="J25" s="2">
        <f t="shared" si="29"/>
        <v>-2.4651046752999997</v>
      </c>
      <c r="K25" s="2">
        <f t="shared" si="29"/>
        <v>-8.2975869703999994</v>
      </c>
      <c r="L25" s="2">
        <f t="shared" si="29"/>
        <v>-20.645179116599998</v>
      </c>
      <c r="M25" s="2">
        <f t="shared" si="29"/>
        <v>-47.224288132899993</v>
      </c>
      <c r="N25" s="2">
        <f t="shared" si="29"/>
        <v>-99.686661010899996</v>
      </c>
      <c r="O25" s="2">
        <f t="shared" si="29"/>
        <v>-178.46326696189999</v>
      </c>
      <c r="P25" s="2">
        <f t="shared" si="29"/>
        <v>-264.54191441329999</v>
      </c>
      <c r="Q25" s="122">
        <f t="shared" ref="Q25:Q27" si="30">P25</f>
        <v>-264.54191441329999</v>
      </c>
      <c r="R25" s="2">
        <f t="shared" si="26"/>
        <v>-348.87295419029999</v>
      </c>
      <c r="S25" s="2">
        <f t="shared" si="26"/>
        <v>-433.20399396729999</v>
      </c>
      <c r="T25" s="2">
        <f t="shared" ref="T25:AL25" si="31">S25-T18</f>
        <v>-517.53503374429999</v>
      </c>
      <c r="U25" s="2">
        <f t="shared" si="31"/>
        <v>-637.07922757212805</v>
      </c>
      <c r="V25" s="2">
        <f t="shared" si="31"/>
        <v>-827.04972950161243</v>
      </c>
      <c r="W25" s="2">
        <f t="shared" si="31"/>
        <v>-1087.4465395327529</v>
      </c>
      <c r="X25" s="2">
        <f t="shared" si="31"/>
        <v>-3108.5001858624246</v>
      </c>
      <c r="Y25" s="2">
        <f t="shared" si="31"/>
        <v>-6890.2106684906275</v>
      </c>
      <c r="Z25" s="129">
        <f t="shared" si="31"/>
        <v>-10742.347459220488</v>
      </c>
      <c r="AA25" s="2">
        <f t="shared" si="31"/>
        <v>-14664.910558052003</v>
      </c>
      <c r="AB25" s="2">
        <f t="shared" si="31"/>
        <v>-18826.923105837675</v>
      </c>
      <c r="AC25" s="2">
        <f t="shared" si="31"/>
        <v>-23193.171948526673</v>
      </c>
      <c r="AD25" s="2">
        <f t="shared" si="31"/>
        <v>-27559.420791215671</v>
      </c>
      <c r="AE25" s="2">
        <f t="shared" si="31"/>
        <v>-31925.669633904668</v>
      </c>
      <c r="AF25" s="2">
        <f t="shared" si="31"/>
        <v>-36291.918476593666</v>
      </c>
      <c r="AG25" s="2">
        <f t="shared" si="31"/>
        <v>-40658.167319282664</v>
      </c>
      <c r="AH25" s="2">
        <f t="shared" si="31"/>
        <v>-45024.416161971661</v>
      </c>
      <c r="AI25" s="2">
        <f t="shared" si="31"/>
        <v>-49390.665004660659</v>
      </c>
      <c r="AJ25" s="2">
        <f t="shared" si="31"/>
        <v>-53756.913847349657</v>
      </c>
      <c r="AK25" s="2">
        <f t="shared" si="31"/>
        <v>-58123.162690038655</v>
      </c>
      <c r="AL25" s="2">
        <f t="shared" si="31"/>
        <v>-62489.411532727652</v>
      </c>
      <c r="AM25" s="122">
        <f t="shared" si="28"/>
        <v>-36335.934919450643</v>
      </c>
    </row>
    <row r="26" spans="1:39">
      <c r="C26" t="s">
        <v>20</v>
      </c>
      <c r="E26" s="2">
        <f>-E12/2</f>
        <v>0</v>
      </c>
      <c r="F26" s="2">
        <f>E26-F19</f>
        <v>0</v>
      </c>
      <c r="G26" s="2">
        <f t="shared" ref="G26:P26" si="32">F26-G19</f>
        <v>0</v>
      </c>
      <c r="H26" s="2">
        <f t="shared" si="32"/>
        <v>0</v>
      </c>
      <c r="I26" s="2">
        <f t="shared" si="32"/>
        <v>0</v>
      </c>
      <c r="J26" s="2">
        <f t="shared" si="32"/>
        <v>0</v>
      </c>
      <c r="K26" s="2">
        <f t="shared" si="32"/>
        <v>0</v>
      </c>
      <c r="L26" s="2">
        <f t="shared" si="32"/>
        <v>0</v>
      </c>
      <c r="M26" s="2">
        <f t="shared" si="32"/>
        <v>0</v>
      </c>
      <c r="N26" s="2">
        <f t="shared" si="32"/>
        <v>0</v>
      </c>
      <c r="O26" s="2">
        <f t="shared" si="32"/>
        <v>0</v>
      </c>
      <c r="P26" s="2">
        <f t="shared" si="32"/>
        <v>0</v>
      </c>
      <c r="Q26" s="122">
        <f t="shared" si="30"/>
        <v>0</v>
      </c>
      <c r="R26" s="2">
        <f t="shared" si="26"/>
        <v>-1.2035696597222223</v>
      </c>
      <c r="S26" s="2">
        <f t="shared" si="26"/>
        <v>-4.8142786388888892</v>
      </c>
      <c r="T26" s="2">
        <f t="shared" ref="T26:AL26" si="33">S26-T19</f>
        <v>-10.832126937500002</v>
      </c>
      <c r="U26" s="2">
        <f t="shared" si="33"/>
        <v>-19.257114555555557</v>
      </c>
      <c r="V26" s="2">
        <f t="shared" si="33"/>
        <v>-2035.1538768076389</v>
      </c>
      <c r="W26" s="2">
        <f t="shared" si="33"/>
        <v>-6058.5224136937504</v>
      </c>
      <c r="X26" s="2">
        <f t="shared" si="33"/>
        <v>-10084.298089899306</v>
      </c>
      <c r="Y26" s="2">
        <f t="shared" si="33"/>
        <v>-14112.480905424307</v>
      </c>
      <c r="Z26" s="129">
        <f t="shared" si="33"/>
        <v>-18143.070860268752</v>
      </c>
      <c r="AA26" s="2">
        <f t="shared" si="33"/>
        <v>-22176.067954432641</v>
      </c>
      <c r="AB26" s="2">
        <f t="shared" si="33"/>
        <v>-26211.472187915973</v>
      </c>
      <c r="AC26" s="2">
        <f t="shared" si="33"/>
        <v>-30249.283560718752</v>
      </c>
      <c r="AD26" s="2">
        <f t="shared" si="33"/>
        <v>-34288.29850318125</v>
      </c>
      <c r="AE26" s="2">
        <f t="shared" si="33"/>
        <v>-38327.313445643747</v>
      </c>
      <c r="AF26" s="2">
        <f t="shared" si="33"/>
        <v>-42366.328388106245</v>
      </c>
      <c r="AG26" s="2">
        <f t="shared" si="33"/>
        <v>-46405.343330568743</v>
      </c>
      <c r="AH26" s="2">
        <f t="shared" si="33"/>
        <v>-50444.358273031241</v>
      </c>
      <c r="AI26" s="2">
        <f t="shared" si="33"/>
        <v>-54483.373215493739</v>
      </c>
      <c r="AJ26" s="2">
        <f t="shared" si="33"/>
        <v>-58522.388157956237</v>
      </c>
      <c r="AK26" s="2">
        <f t="shared" si="33"/>
        <v>-62561.403100418735</v>
      </c>
      <c r="AL26" s="2">
        <f t="shared" si="33"/>
        <v>-66600.41804288124</v>
      </c>
      <c r="AM26" s="122">
        <f t="shared" si="28"/>
        <v>-42367.281214086863</v>
      </c>
    </row>
    <row r="27" spans="1:39">
      <c r="E27" s="2">
        <f>-E13/2</f>
        <v>0</v>
      </c>
      <c r="F27" s="2">
        <f>E27-F20</f>
        <v>0</v>
      </c>
      <c r="G27" s="2">
        <f t="shared" ref="G27:P27" si="34">F27-G20</f>
        <v>0</v>
      </c>
      <c r="H27" s="2">
        <f t="shared" si="34"/>
        <v>0</v>
      </c>
      <c r="I27" s="2">
        <f t="shared" si="34"/>
        <v>0</v>
      </c>
      <c r="J27" s="2">
        <f t="shared" si="34"/>
        <v>0</v>
      </c>
      <c r="K27" s="2">
        <f t="shared" si="34"/>
        <v>0</v>
      </c>
      <c r="L27" s="2">
        <f t="shared" si="34"/>
        <v>0</v>
      </c>
      <c r="M27" s="2">
        <f t="shared" si="34"/>
        <v>0</v>
      </c>
      <c r="N27" s="2">
        <f t="shared" si="34"/>
        <v>0</v>
      </c>
      <c r="O27" s="2">
        <f t="shared" si="34"/>
        <v>0</v>
      </c>
      <c r="P27" s="2">
        <f t="shared" si="34"/>
        <v>0</v>
      </c>
      <c r="Q27" s="13">
        <f t="shared" si="30"/>
        <v>0</v>
      </c>
      <c r="R27" s="2">
        <f t="shared" si="26"/>
        <v>0</v>
      </c>
      <c r="S27" s="2">
        <f t="shared" si="26"/>
        <v>0</v>
      </c>
      <c r="T27" s="2">
        <f t="shared" ref="T27:AL27" si="35">S27-T20</f>
        <v>0</v>
      </c>
      <c r="U27" s="2">
        <f t="shared" si="35"/>
        <v>0</v>
      </c>
      <c r="V27" s="2">
        <f t="shared" si="35"/>
        <v>0</v>
      </c>
      <c r="W27" s="2">
        <f t="shared" si="35"/>
        <v>0</v>
      </c>
      <c r="X27" s="2">
        <f t="shared" si="35"/>
        <v>0</v>
      </c>
      <c r="Y27" s="2">
        <f t="shared" si="35"/>
        <v>0</v>
      </c>
      <c r="Z27" s="129">
        <f t="shared" si="35"/>
        <v>0</v>
      </c>
      <c r="AA27" s="2">
        <f t="shared" si="35"/>
        <v>0</v>
      </c>
      <c r="AB27" s="2">
        <f t="shared" si="35"/>
        <v>0</v>
      </c>
      <c r="AC27" s="2">
        <f t="shared" si="35"/>
        <v>0</v>
      </c>
      <c r="AD27" s="2">
        <f t="shared" si="35"/>
        <v>0</v>
      </c>
      <c r="AE27" s="2">
        <f t="shared" si="35"/>
        <v>0</v>
      </c>
      <c r="AF27" s="2">
        <f t="shared" si="35"/>
        <v>0</v>
      </c>
      <c r="AG27" s="2">
        <f t="shared" si="35"/>
        <v>0</v>
      </c>
      <c r="AH27" s="2">
        <f t="shared" si="35"/>
        <v>0</v>
      </c>
      <c r="AI27" s="2">
        <f t="shared" si="35"/>
        <v>0</v>
      </c>
      <c r="AJ27" s="2">
        <f t="shared" si="35"/>
        <v>0</v>
      </c>
      <c r="AK27" s="2">
        <f t="shared" si="35"/>
        <v>0</v>
      </c>
      <c r="AL27" s="2">
        <f t="shared" si="35"/>
        <v>0</v>
      </c>
    </row>
    <row r="28" spans="1:39" ht="13.45" thickBot="1">
      <c r="B28" t="s">
        <v>2</v>
      </c>
      <c r="E28" s="5">
        <f t="shared" ref="E28:AL28" si="36">SUM(E24:E27)</f>
        <v>0</v>
      </c>
      <c r="F28" s="5">
        <f t="shared" si="36"/>
        <v>0</v>
      </c>
      <c r="G28" s="5">
        <f t="shared" si="36"/>
        <v>0</v>
      </c>
      <c r="H28" s="5">
        <f t="shared" si="36"/>
        <v>0</v>
      </c>
      <c r="I28" s="5">
        <f t="shared" si="36"/>
        <v>0</v>
      </c>
      <c r="J28" s="5">
        <f t="shared" si="36"/>
        <v>-2.4651046752999997</v>
      </c>
      <c r="K28" s="5">
        <f t="shared" si="36"/>
        <v>-16.059973012066667</v>
      </c>
      <c r="L28" s="5">
        <f t="shared" si="36"/>
        <v>-80.535398491600006</v>
      </c>
      <c r="M28" s="5">
        <f t="shared" si="36"/>
        <v>-223.74235771623333</v>
      </c>
      <c r="N28" s="5">
        <f t="shared" si="36"/>
        <v>-527.65779580256662</v>
      </c>
      <c r="O28" s="5">
        <f t="shared" si="36"/>
        <v>-1160.9401659202333</v>
      </c>
      <c r="P28" s="5">
        <f t="shared" si="36"/>
        <v>-3179.4082729549664</v>
      </c>
      <c r="Q28" s="11">
        <f>SUM(Q24:Q27)</f>
        <v>-3179.4082729549664</v>
      </c>
      <c r="R28" s="5">
        <f t="shared" si="36"/>
        <v>-7102.5885088282976</v>
      </c>
      <c r="S28" s="5">
        <f>SUM(S24:S27)</f>
        <v>-12306.367057143805</v>
      </c>
      <c r="T28" s="5">
        <f t="shared" si="36"/>
        <v>-18791.259438707348</v>
      </c>
      <c r="U28" s="5">
        <f t="shared" si="36"/>
        <v>-26592.47880756974</v>
      </c>
      <c r="V28" s="5">
        <f t="shared" si="36"/>
        <v>-37750.301542227113</v>
      </c>
      <c r="W28" s="5">
        <f t="shared" si="36"/>
        <v>-52264.727642679471</v>
      </c>
      <c r="X28" s="5">
        <f t="shared" si="36"/>
        <v>-69820.924412678403</v>
      </c>
      <c r="Y28" s="5">
        <f t="shared" si="36"/>
        <v>-90418.891852223882</v>
      </c>
      <c r="Z28" s="128">
        <f t="shared" si="36"/>
        <v>-112368.39943311905</v>
      </c>
      <c r="AA28" s="5">
        <f t="shared" si="36"/>
        <v>-135669.44715536389</v>
      </c>
      <c r="AB28" s="5">
        <f t="shared" si="36"/>
        <v>-160491.05674894163</v>
      </c>
      <c r="AC28" s="5">
        <f t="shared" si="36"/>
        <v>-186798.02628896755</v>
      </c>
      <c r="AD28" s="5">
        <f t="shared" si="36"/>
        <v>-213660.90488992209</v>
      </c>
      <c r="AE28" s="5">
        <f t="shared" si="36"/>
        <v>-240523.78349087664</v>
      </c>
      <c r="AF28" s="5">
        <f t="shared" si="36"/>
        <v>-267386.66209183115</v>
      </c>
      <c r="AG28" s="5">
        <f t="shared" si="36"/>
        <v>-294249.5406927857</v>
      </c>
      <c r="AH28" s="5">
        <f t="shared" si="36"/>
        <v>-321112.41929374024</v>
      </c>
      <c r="AI28" s="5">
        <f t="shared" si="36"/>
        <v>-347975.29789469478</v>
      </c>
      <c r="AJ28" s="5">
        <f t="shared" si="36"/>
        <v>-374838.17649564927</v>
      </c>
      <c r="AK28" s="5">
        <f t="shared" si="36"/>
        <v>-401701.05509660381</v>
      </c>
      <c r="AL28" s="5">
        <f t="shared" si="36"/>
        <v>-428563.9336975583</v>
      </c>
    </row>
    <row r="31" spans="1:39">
      <c r="A31" s="1" t="s">
        <v>19</v>
      </c>
      <c r="B31" t="s">
        <v>1</v>
      </c>
      <c r="C31" t="s">
        <v>18</v>
      </c>
      <c r="D31" s="16">
        <v>3.7499999999999999E-2</v>
      </c>
      <c r="E31" s="2">
        <f t="shared" ref="E31:P31" si="37">$P$4*$D$31/12</f>
        <v>4766.5541562500002</v>
      </c>
      <c r="F31" s="2">
        <f t="shared" si="37"/>
        <v>4766.5541562500002</v>
      </c>
      <c r="G31" s="2">
        <f t="shared" si="37"/>
        <v>4766.5541562500002</v>
      </c>
      <c r="H31" s="2">
        <f t="shared" si="37"/>
        <v>4766.5541562500002</v>
      </c>
      <c r="I31" s="2">
        <f t="shared" si="37"/>
        <v>4766.5541562500002</v>
      </c>
      <c r="J31" s="2">
        <f t="shared" si="37"/>
        <v>4766.5541562500002</v>
      </c>
      <c r="K31" s="2">
        <f t="shared" si="37"/>
        <v>4766.5541562500002</v>
      </c>
      <c r="L31" s="2">
        <f t="shared" si="37"/>
        <v>4766.5541562500002</v>
      </c>
      <c r="M31" s="2">
        <f t="shared" si="37"/>
        <v>4766.5541562500002</v>
      </c>
      <c r="N31" s="2">
        <f t="shared" si="37"/>
        <v>4766.5541562500002</v>
      </c>
      <c r="O31" s="2">
        <f t="shared" si="37"/>
        <v>4766.5541562500002</v>
      </c>
      <c r="P31" s="2">
        <f t="shared" si="37"/>
        <v>4766.5541562500002</v>
      </c>
      <c r="Q31" s="10">
        <f>SUM(E31:P31)</f>
        <v>57198.649875000003</v>
      </c>
      <c r="R31" s="2">
        <f t="shared" ref="R31:AC31" si="38">($AC$4-$P$4)*$D$31/12</f>
        <v>23484.89709242812</v>
      </c>
      <c r="S31" s="2">
        <f t="shared" si="38"/>
        <v>23484.89709242812</v>
      </c>
      <c r="T31" s="2">
        <f t="shared" si="38"/>
        <v>23484.89709242812</v>
      </c>
      <c r="U31" s="2">
        <f t="shared" si="38"/>
        <v>23484.89709242812</v>
      </c>
      <c r="V31" s="2">
        <f t="shared" si="38"/>
        <v>23484.89709242812</v>
      </c>
      <c r="W31" s="2">
        <f t="shared" si="38"/>
        <v>23484.89709242812</v>
      </c>
      <c r="X31" s="2">
        <f t="shared" si="38"/>
        <v>23484.89709242812</v>
      </c>
      <c r="Y31" s="2">
        <f t="shared" si="38"/>
        <v>23484.89709242812</v>
      </c>
      <c r="Z31" s="129">
        <f t="shared" si="38"/>
        <v>23484.89709242812</v>
      </c>
      <c r="AA31" s="2">
        <f t="shared" si="38"/>
        <v>23484.89709242812</v>
      </c>
      <c r="AB31" s="2">
        <f t="shared" si="38"/>
        <v>23484.89709242812</v>
      </c>
      <c r="AC31" s="2">
        <f t="shared" si="38"/>
        <v>23484.89709242812</v>
      </c>
      <c r="AD31" s="2">
        <f t="shared" ref="AD31:AL31" si="39">($AL$4-$AC$4)*$D$31/12</f>
        <v>0</v>
      </c>
      <c r="AE31" s="2">
        <f t="shared" si="39"/>
        <v>0</v>
      </c>
      <c r="AF31" s="2">
        <f t="shared" si="39"/>
        <v>0</v>
      </c>
      <c r="AG31" s="2">
        <f t="shared" si="39"/>
        <v>0</v>
      </c>
      <c r="AH31" s="2">
        <f t="shared" si="39"/>
        <v>0</v>
      </c>
      <c r="AI31" s="2">
        <f t="shared" si="39"/>
        <v>0</v>
      </c>
      <c r="AJ31" s="2">
        <f t="shared" si="39"/>
        <v>0</v>
      </c>
      <c r="AK31" s="2">
        <f t="shared" si="39"/>
        <v>0</v>
      </c>
      <c r="AL31" s="2">
        <f t="shared" si="39"/>
        <v>0</v>
      </c>
    </row>
    <row r="32" spans="1:39">
      <c r="C32" t="s">
        <v>14</v>
      </c>
      <c r="D32" s="16">
        <v>3.7499999999999999E-2</v>
      </c>
      <c r="E32" s="2">
        <f t="shared" ref="E32:P32" si="40">$P$5*$D$32/12</f>
        <v>153.51524231249996</v>
      </c>
      <c r="F32" s="2">
        <f t="shared" si="40"/>
        <v>153.51524231249996</v>
      </c>
      <c r="G32" s="2">
        <f t="shared" si="40"/>
        <v>153.51524231249996</v>
      </c>
      <c r="H32" s="2">
        <f t="shared" si="40"/>
        <v>153.51524231249996</v>
      </c>
      <c r="I32" s="2">
        <f t="shared" si="40"/>
        <v>153.51524231249996</v>
      </c>
      <c r="J32" s="2">
        <f t="shared" si="40"/>
        <v>153.51524231249996</v>
      </c>
      <c r="K32" s="2">
        <f t="shared" si="40"/>
        <v>153.51524231249996</v>
      </c>
      <c r="L32" s="2">
        <f t="shared" si="40"/>
        <v>153.51524231249996</v>
      </c>
      <c r="M32" s="2">
        <f t="shared" si="40"/>
        <v>153.51524231249996</v>
      </c>
      <c r="N32" s="2">
        <f t="shared" si="40"/>
        <v>153.51524231249996</v>
      </c>
      <c r="O32" s="2">
        <f t="shared" si="40"/>
        <v>153.51524231249996</v>
      </c>
      <c r="P32" s="2">
        <f t="shared" si="40"/>
        <v>153.51524231249996</v>
      </c>
      <c r="Q32" s="10">
        <f t="shared" ref="Q32:Q34" si="41">SUM(E32:P32)</f>
        <v>1842.1829077499999</v>
      </c>
      <c r="R32" s="2">
        <f t="shared" ref="R32:AC32" si="42">($AC$5-$P$5)*$D$32/12</f>
        <v>7794.7532819999988</v>
      </c>
      <c r="S32" s="2">
        <f t="shared" si="42"/>
        <v>7794.7532819999988</v>
      </c>
      <c r="T32" s="2">
        <f t="shared" si="42"/>
        <v>7794.7532819999988</v>
      </c>
      <c r="U32" s="2">
        <f t="shared" si="42"/>
        <v>7794.7532819999988</v>
      </c>
      <c r="V32" s="2">
        <f t="shared" si="42"/>
        <v>7794.7532819999988</v>
      </c>
      <c r="W32" s="2">
        <f t="shared" si="42"/>
        <v>7794.7532819999988</v>
      </c>
      <c r="X32" s="2">
        <f t="shared" si="42"/>
        <v>7794.7532819999988</v>
      </c>
      <c r="Y32" s="2">
        <f t="shared" si="42"/>
        <v>7794.7532819999988</v>
      </c>
      <c r="Z32" s="129">
        <f t="shared" si="42"/>
        <v>7794.7532819999988</v>
      </c>
      <c r="AA32" s="2">
        <f t="shared" si="42"/>
        <v>7794.7532819999988</v>
      </c>
      <c r="AB32" s="2">
        <f t="shared" si="42"/>
        <v>7794.7532819999988</v>
      </c>
      <c r="AC32" s="2">
        <f t="shared" si="42"/>
        <v>7794.7532819999988</v>
      </c>
      <c r="AD32" s="2">
        <f t="shared" ref="AD32:AL32" si="43">($AL$5-$AC$5)*$D$32/12</f>
        <v>0</v>
      </c>
      <c r="AE32" s="2">
        <f t="shared" si="43"/>
        <v>0</v>
      </c>
      <c r="AF32" s="2">
        <f t="shared" si="43"/>
        <v>0</v>
      </c>
      <c r="AG32" s="2">
        <f t="shared" si="43"/>
        <v>0</v>
      </c>
      <c r="AH32" s="2">
        <f t="shared" si="43"/>
        <v>0</v>
      </c>
      <c r="AI32" s="2">
        <f t="shared" si="43"/>
        <v>0</v>
      </c>
      <c r="AJ32" s="2">
        <f t="shared" si="43"/>
        <v>0</v>
      </c>
      <c r="AK32" s="2">
        <f t="shared" si="43"/>
        <v>0</v>
      </c>
      <c r="AL32" s="2">
        <f t="shared" si="43"/>
        <v>0</v>
      </c>
    </row>
    <row r="33" spans="1:38">
      <c r="C33" t="s">
        <v>20</v>
      </c>
      <c r="D33" s="16">
        <v>0.16669999999999999</v>
      </c>
      <c r="E33" s="2">
        <f>$P$6*$D$33/12</f>
        <v>0</v>
      </c>
      <c r="F33" s="2">
        <f t="shared" ref="F33:O33" si="44">$P$6*$D$33/12</f>
        <v>0</v>
      </c>
      <c r="G33" s="2">
        <f t="shared" si="44"/>
        <v>0</v>
      </c>
      <c r="H33" s="2">
        <f t="shared" si="44"/>
        <v>0</v>
      </c>
      <c r="I33" s="2">
        <f t="shared" si="44"/>
        <v>0</v>
      </c>
      <c r="J33" s="2">
        <f t="shared" si="44"/>
        <v>0</v>
      </c>
      <c r="K33" s="2">
        <f t="shared" si="44"/>
        <v>0</v>
      </c>
      <c r="L33" s="2">
        <f t="shared" si="44"/>
        <v>0</v>
      </c>
      <c r="M33" s="2">
        <f t="shared" si="44"/>
        <v>0</v>
      </c>
      <c r="N33" s="2">
        <f t="shared" si="44"/>
        <v>0</v>
      </c>
      <c r="O33" s="2">
        <f t="shared" si="44"/>
        <v>0</v>
      </c>
      <c r="P33" s="2">
        <f>$P$6*$D$33/12</f>
        <v>0</v>
      </c>
      <c r="Q33" s="10">
        <f t="shared" si="41"/>
        <v>0</v>
      </c>
      <c r="R33" s="2">
        <f>($AC$6-$P$6)*$D$33/12</f>
        <v>3366.5189545424928</v>
      </c>
      <c r="S33" s="2">
        <f t="shared" ref="S33:AC33" si="45">($AC$6-$P$6)*$D$33/12</f>
        <v>3366.5189545424928</v>
      </c>
      <c r="T33" s="2">
        <f t="shared" si="45"/>
        <v>3366.5189545424928</v>
      </c>
      <c r="U33" s="2">
        <f t="shared" si="45"/>
        <v>3366.5189545424928</v>
      </c>
      <c r="V33" s="2">
        <f t="shared" si="45"/>
        <v>3366.5189545424928</v>
      </c>
      <c r="W33" s="2">
        <f t="shared" si="45"/>
        <v>3366.5189545424928</v>
      </c>
      <c r="X33" s="2">
        <f t="shared" si="45"/>
        <v>3366.5189545424928</v>
      </c>
      <c r="Y33" s="2">
        <f t="shared" si="45"/>
        <v>3366.5189545424928</v>
      </c>
      <c r="Z33" s="129">
        <f t="shared" si="45"/>
        <v>3366.5189545424928</v>
      </c>
      <c r="AA33" s="2">
        <f t="shared" si="45"/>
        <v>3366.5189545424928</v>
      </c>
      <c r="AB33" s="2">
        <f t="shared" si="45"/>
        <v>3366.5189545424928</v>
      </c>
      <c r="AC33" s="2">
        <f t="shared" si="45"/>
        <v>3366.5189545424928</v>
      </c>
      <c r="AD33" s="2">
        <f>($AL$6-$AC$6)*$D$33/12</f>
        <v>0</v>
      </c>
      <c r="AE33" s="2">
        <f t="shared" ref="AE33:AL33" si="46">($AL$6-$AC$6)*$D$33/12</f>
        <v>0</v>
      </c>
      <c r="AF33" s="2">
        <f t="shared" si="46"/>
        <v>0</v>
      </c>
      <c r="AG33" s="2">
        <f t="shared" si="46"/>
        <v>0</v>
      </c>
      <c r="AH33" s="2">
        <f t="shared" si="46"/>
        <v>0</v>
      </c>
      <c r="AI33" s="2">
        <f t="shared" si="46"/>
        <v>0</v>
      </c>
      <c r="AJ33" s="2">
        <f t="shared" si="46"/>
        <v>0</v>
      </c>
      <c r="AK33" s="2">
        <f t="shared" si="46"/>
        <v>0</v>
      </c>
      <c r="AL33" s="2">
        <f t="shared" si="46"/>
        <v>0</v>
      </c>
    </row>
    <row r="34" spans="1:38">
      <c r="E34" s="2"/>
      <c r="F34" s="2">
        <f t="shared" ref="F34:P34" si="47">(E21+((F27)/2))*$D$7/12</f>
        <v>0</v>
      </c>
      <c r="G34" s="2">
        <f t="shared" si="47"/>
        <v>0</v>
      </c>
      <c r="H34" s="2">
        <f t="shared" si="47"/>
        <v>0</v>
      </c>
      <c r="I34" s="2">
        <f t="shared" si="47"/>
        <v>0</v>
      </c>
      <c r="J34" s="2">
        <f t="shared" si="47"/>
        <v>0</v>
      </c>
      <c r="K34" s="2">
        <f t="shared" si="47"/>
        <v>0</v>
      </c>
      <c r="L34" s="2">
        <f t="shared" si="47"/>
        <v>0</v>
      </c>
      <c r="M34" s="2">
        <f t="shared" si="47"/>
        <v>0</v>
      </c>
      <c r="N34" s="2">
        <f t="shared" si="47"/>
        <v>0</v>
      </c>
      <c r="O34" s="2">
        <f t="shared" si="47"/>
        <v>0</v>
      </c>
      <c r="P34" s="2">
        <f t="shared" si="47"/>
        <v>0</v>
      </c>
      <c r="Q34" s="10">
        <f t="shared" si="41"/>
        <v>0</v>
      </c>
      <c r="R34" s="2">
        <f>(P21+((R27)/2))*$D$7/12</f>
        <v>0</v>
      </c>
      <c r="S34" s="2">
        <f t="shared" ref="S34:AL34" si="48">(R21+((S27)/2))*$D$7/12</f>
        <v>0</v>
      </c>
      <c r="T34" s="2">
        <f t="shared" si="48"/>
        <v>0</v>
      </c>
      <c r="U34" s="2">
        <f t="shared" si="48"/>
        <v>0</v>
      </c>
      <c r="V34" s="2">
        <f t="shared" si="48"/>
        <v>0</v>
      </c>
      <c r="W34" s="2">
        <f t="shared" si="48"/>
        <v>0</v>
      </c>
      <c r="X34" s="2">
        <f t="shared" si="48"/>
        <v>0</v>
      </c>
      <c r="Y34" s="2">
        <f t="shared" si="48"/>
        <v>0</v>
      </c>
      <c r="Z34" s="129">
        <f t="shared" si="48"/>
        <v>0</v>
      </c>
      <c r="AA34" s="2">
        <f t="shared" si="48"/>
        <v>0</v>
      </c>
      <c r="AB34" s="2">
        <f t="shared" si="48"/>
        <v>0</v>
      </c>
      <c r="AC34" s="2">
        <f t="shared" si="48"/>
        <v>0</v>
      </c>
      <c r="AD34" s="2">
        <f t="shared" si="48"/>
        <v>0</v>
      </c>
      <c r="AE34" s="2">
        <f t="shared" si="48"/>
        <v>0</v>
      </c>
      <c r="AF34" s="2">
        <f t="shared" si="48"/>
        <v>0</v>
      </c>
      <c r="AG34" s="2">
        <f t="shared" si="48"/>
        <v>0</v>
      </c>
      <c r="AH34" s="2">
        <f t="shared" si="48"/>
        <v>0</v>
      </c>
      <c r="AI34" s="2">
        <f t="shared" si="48"/>
        <v>0</v>
      </c>
      <c r="AJ34" s="2">
        <f t="shared" si="48"/>
        <v>0</v>
      </c>
      <c r="AK34" s="2">
        <f t="shared" si="48"/>
        <v>0</v>
      </c>
      <c r="AL34" s="2">
        <f t="shared" si="48"/>
        <v>0</v>
      </c>
    </row>
    <row r="35" spans="1:38" ht="13.45" thickBot="1">
      <c r="B35" t="s">
        <v>2</v>
      </c>
      <c r="E35" s="5">
        <f>SUM(E31:E34)</f>
        <v>4920.0693985625003</v>
      </c>
      <c r="F35" s="5">
        <f t="shared" ref="F35:AL35" si="49">SUM(F31:F34)</f>
        <v>4920.0693985625003</v>
      </c>
      <c r="G35" s="5">
        <f t="shared" si="49"/>
        <v>4920.0693985625003</v>
      </c>
      <c r="H35" s="5">
        <f t="shared" si="49"/>
        <v>4920.0693985625003</v>
      </c>
      <c r="I35" s="5">
        <f t="shared" si="49"/>
        <v>4920.0693985625003</v>
      </c>
      <c r="J35" s="5">
        <f t="shared" si="49"/>
        <v>4920.0693985625003</v>
      </c>
      <c r="K35" s="5">
        <f t="shared" si="49"/>
        <v>4920.0693985625003</v>
      </c>
      <c r="L35" s="5">
        <f t="shared" si="49"/>
        <v>4920.0693985625003</v>
      </c>
      <c r="M35" s="5">
        <f t="shared" si="49"/>
        <v>4920.0693985625003</v>
      </c>
      <c r="N35" s="5">
        <f t="shared" si="49"/>
        <v>4920.0693985625003</v>
      </c>
      <c r="O35" s="5">
        <f t="shared" si="49"/>
        <v>4920.0693985625003</v>
      </c>
      <c r="P35" s="5">
        <f t="shared" si="49"/>
        <v>4920.0693985625003</v>
      </c>
      <c r="Q35" s="11">
        <f>SUM(Q31:Q34)</f>
        <v>59040.832782750003</v>
      </c>
      <c r="R35" s="5">
        <f t="shared" si="49"/>
        <v>34646.169328970609</v>
      </c>
      <c r="S35" s="5">
        <f t="shared" si="49"/>
        <v>34646.169328970609</v>
      </c>
      <c r="T35" s="5">
        <f t="shared" si="49"/>
        <v>34646.169328970609</v>
      </c>
      <c r="U35" s="5">
        <f t="shared" si="49"/>
        <v>34646.169328970609</v>
      </c>
      <c r="V35" s="5">
        <f t="shared" si="49"/>
        <v>34646.169328970609</v>
      </c>
      <c r="W35" s="5">
        <f t="shared" si="49"/>
        <v>34646.169328970609</v>
      </c>
      <c r="X35" s="5">
        <f t="shared" si="49"/>
        <v>34646.169328970609</v>
      </c>
      <c r="Y35" s="5">
        <f t="shared" si="49"/>
        <v>34646.169328970609</v>
      </c>
      <c r="Z35" s="128">
        <f t="shared" si="49"/>
        <v>34646.169328970609</v>
      </c>
      <c r="AA35" s="5">
        <f t="shared" si="49"/>
        <v>34646.169328970609</v>
      </c>
      <c r="AB35" s="5">
        <f t="shared" si="49"/>
        <v>34646.169328970609</v>
      </c>
      <c r="AC35" s="5">
        <f t="shared" si="49"/>
        <v>34646.169328970609</v>
      </c>
      <c r="AD35" s="5">
        <f t="shared" si="49"/>
        <v>0</v>
      </c>
      <c r="AE35" s="5">
        <f t="shared" si="49"/>
        <v>0</v>
      </c>
      <c r="AF35" s="5">
        <f t="shared" si="49"/>
        <v>0</v>
      </c>
      <c r="AG35" s="5">
        <f t="shared" si="49"/>
        <v>0</v>
      </c>
      <c r="AH35" s="5">
        <f t="shared" si="49"/>
        <v>0</v>
      </c>
      <c r="AI35" s="5">
        <f t="shared" si="49"/>
        <v>0</v>
      </c>
      <c r="AJ35" s="5">
        <f t="shared" si="49"/>
        <v>0</v>
      </c>
      <c r="AK35" s="5">
        <f t="shared" si="49"/>
        <v>0</v>
      </c>
      <c r="AL35" s="5">
        <f t="shared" si="49"/>
        <v>0</v>
      </c>
    </row>
    <row r="37" spans="1:38">
      <c r="A37" s="1" t="s">
        <v>21</v>
      </c>
      <c r="B37" t="s">
        <v>1</v>
      </c>
      <c r="C37" t="s">
        <v>18</v>
      </c>
      <c r="D37" s="16">
        <v>7.2190000000000004E-2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0">
        <f t="shared" ref="Q37:Q40" si="50">SUM(E37:P37)</f>
        <v>0</v>
      </c>
      <c r="R37" s="2">
        <f t="shared" ref="R37:AC37" si="51">$P$4*$D$37/12</f>
        <v>9175.9345210583342</v>
      </c>
      <c r="S37" s="2">
        <f t="shared" si="51"/>
        <v>9175.9345210583342</v>
      </c>
      <c r="T37" s="2">
        <f t="shared" si="51"/>
        <v>9175.9345210583342</v>
      </c>
      <c r="U37" s="2">
        <f t="shared" si="51"/>
        <v>9175.9345210583342</v>
      </c>
      <c r="V37" s="2">
        <f t="shared" si="51"/>
        <v>9175.9345210583342</v>
      </c>
      <c r="W37" s="2">
        <f t="shared" si="51"/>
        <v>9175.9345210583342</v>
      </c>
      <c r="X37" s="2">
        <f t="shared" si="51"/>
        <v>9175.9345210583342</v>
      </c>
      <c r="Y37" s="2">
        <f t="shared" si="51"/>
        <v>9175.9345210583342</v>
      </c>
      <c r="Z37" s="129">
        <f t="shared" si="51"/>
        <v>9175.9345210583342</v>
      </c>
      <c r="AA37" s="2">
        <f t="shared" si="51"/>
        <v>9175.9345210583342</v>
      </c>
      <c r="AB37" s="2">
        <f t="shared" si="51"/>
        <v>9175.9345210583342</v>
      </c>
      <c r="AC37" s="2">
        <f t="shared" si="51"/>
        <v>9175.9345210583342</v>
      </c>
      <c r="AD37" s="2">
        <f t="shared" ref="AD37:AL37" si="52">($AC$4-$P$4)*$D$37/12</f>
        <v>45209.992562730302</v>
      </c>
      <c r="AE37" s="2">
        <f t="shared" si="52"/>
        <v>45209.992562730302</v>
      </c>
      <c r="AF37" s="2">
        <f t="shared" si="52"/>
        <v>45209.992562730302</v>
      </c>
      <c r="AG37" s="2">
        <f t="shared" si="52"/>
        <v>45209.992562730302</v>
      </c>
      <c r="AH37" s="2">
        <f t="shared" si="52"/>
        <v>45209.992562730302</v>
      </c>
      <c r="AI37" s="2">
        <f t="shared" si="52"/>
        <v>45209.992562730302</v>
      </c>
      <c r="AJ37" s="2">
        <f t="shared" si="52"/>
        <v>45209.992562730302</v>
      </c>
      <c r="AK37" s="2">
        <f t="shared" si="52"/>
        <v>45209.992562730302</v>
      </c>
      <c r="AL37" s="2">
        <f t="shared" si="52"/>
        <v>45209.992562730302</v>
      </c>
    </row>
    <row r="38" spans="1:38">
      <c r="C38" t="s">
        <v>14</v>
      </c>
      <c r="D38" s="16">
        <v>7.2190000000000004E-2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0">
        <f t="shared" si="50"/>
        <v>0</v>
      </c>
      <c r="R38" s="2">
        <f t="shared" ref="R38:AC38" si="53">$P$5*$D$38/12</f>
        <v>295.52707580104999</v>
      </c>
      <c r="S38" s="2">
        <f t="shared" si="53"/>
        <v>295.52707580104999</v>
      </c>
      <c r="T38" s="2">
        <f t="shared" si="53"/>
        <v>295.52707580104999</v>
      </c>
      <c r="U38" s="2">
        <f t="shared" si="53"/>
        <v>295.52707580104999</v>
      </c>
      <c r="V38" s="2">
        <f t="shared" si="53"/>
        <v>295.52707580104999</v>
      </c>
      <c r="W38" s="2">
        <f t="shared" si="53"/>
        <v>295.52707580104999</v>
      </c>
      <c r="X38" s="2">
        <f t="shared" si="53"/>
        <v>295.52707580104999</v>
      </c>
      <c r="Y38" s="2">
        <f t="shared" si="53"/>
        <v>295.52707580104999</v>
      </c>
      <c r="Z38" s="129">
        <f t="shared" si="53"/>
        <v>295.52707580104999</v>
      </c>
      <c r="AA38" s="2">
        <f t="shared" si="53"/>
        <v>295.52707580104999</v>
      </c>
      <c r="AB38" s="2">
        <f t="shared" si="53"/>
        <v>295.52707580104999</v>
      </c>
      <c r="AC38" s="2">
        <f t="shared" si="53"/>
        <v>295.52707580104999</v>
      </c>
      <c r="AD38" s="2">
        <f>($AC$5-$P$5)*$D$38/12</f>
        <v>15005.419718068799</v>
      </c>
      <c r="AE38" s="2">
        <f t="shared" ref="AE38:AL38" si="54">($AC$5-$P$5)*$D$38/12</f>
        <v>15005.419718068799</v>
      </c>
      <c r="AF38" s="2">
        <f t="shared" si="54"/>
        <v>15005.419718068799</v>
      </c>
      <c r="AG38" s="2">
        <f t="shared" si="54"/>
        <v>15005.419718068799</v>
      </c>
      <c r="AH38" s="2">
        <f t="shared" si="54"/>
        <v>15005.419718068799</v>
      </c>
      <c r="AI38" s="2">
        <f t="shared" si="54"/>
        <v>15005.419718068799</v>
      </c>
      <c r="AJ38" s="2">
        <f t="shared" si="54"/>
        <v>15005.419718068799</v>
      </c>
      <c r="AK38" s="2">
        <f t="shared" si="54"/>
        <v>15005.419718068799</v>
      </c>
      <c r="AL38" s="2">
        <f t="shared" si="54"/>
        <v>15005.419718068799</v>
      </c>
    </row>
    <row r="39" spans="1:38">
      <c r="C39" t="s">
        <v>20</v>
      </c>
      <c r="D39" s="16">
        <v>0.33329999999999999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0">
        <f t="shared" si="50"/>
        <v>0</v>
      </c>
      <c r="R39" s="2">
        <f>$P$6*$D$39/12</f>
        <v>0</v>
      </c>
      <c r="S39" s="2">
        <f t="shared" ref="S39:AC39" si="55">$P$6*$D$39/12</f>
        <v>0</v>
      </c>
      <c r="T39" s="2">
        <f t="shared" si="55"/>
        <v>0</v>
      </c>
      <c r="U39" s="2">
        <f t="shared" si="55"/>
        <v>0</v>
      </c>
      <c r="V39" s="2">
        <f t="shared" si="55"/>
        <v>0</v>
      </c>
      <c r="W39" s="2">
        <f t="shared" si="55"/>
        <v>0</v>
      </c>
      <c r="X39" s="2">
        <f t="shared" si="55"/>
        <v>0</v>
      </c>
      <c r="Y39" s="2">
        <f t="shared" si="55"/>
        <v>0</v>
      </c>
      <c r="Z39" s="129">
        <f t="shared" si="55"/>
        <v>0</v>
      </c>
      <c r="AA39" s="2">
        <f t="shared" si="55"/>
        <v>0</v>
      </c>
      <c r="AB39" s="2">
        <f t="shared" si="55"/>
        <v>0</v>
      </c>
      <c r="AC39" s="2">
        <f t="shared" si="55"/>
        <v>0</v>
      </c>
      <c r="AD39" s="2">
        <f>($AC$6-$P$6)*$D$39/12</f>
        <v>6731.0184016137546</v>
      </c>
      <c r="AE39" s="2">
        <f t="shared" ref="AE39:AL39" si="56">($AC$6-$P$6)*$D$39/12</f>
        <v>6731.0184016137546</v>
      </c>
      <c r="AF39" s="2">
        <f t="shared" si="56"/>
        <v>6731.0184016137546</v>
      </c>
      <c r="AG39" s="2">
        <f t="shared" si="56"/>
        <v>6731.0184016137546</v>
      </c>
      <c r="AH39" s="2">
        <f t="shared" si="56"/>
        <v>6731.0184016137546</v>
      </c>
      <c r="AI39" s="2">
        <f t="shared" si="56"/>
        <v>6731.0184016137546</v>
      </c>
      <c r="AJ39" s="2">
        <f t="shared" si="56"/>
        <v>6731.0184016137546</v>
      </c>
      <c r="AK39" s="2">
        <f t="shared" si="56"/>
        <v>6731.0184016137546</v>
      </c>
      <c r="AL39" s="2">
        <f t="shared" si="56"/>
        <v>6731.0184016137546</v>
      </c>
    </row>
    <row r="40" spans="1:38">
      <c r="E40" s="2"/>
      <c r="F40" s="2">
        <f>(E27+((F33)/2))*$D$7/12</f>
        <v>0</v>
      </c>
      <c r="G40" s="2">
        <f t="shared" ref="G40:L40" si="57">(F27+((G33)/2))*$D$7/12</f>
        <v>0</v>
      </c>
      <c r="H40" s="2">
        <f t="shared" si="57"/>
        <v>0</v>
      </c>
      <c r="I40" s="2">
        <f t="shared" si="57"/>
        <v>0</v>
      </c>
      <c r="J40" s="2">
        <f t="shared" si="57"/>
        <v>0</v>
      </c>
      <c r="K40" s="2">
        <f t="shared" si="57"/>
        <v>0</v>
      </c>
      <c r="L40" s="2">
        <f t="shared" si="57"/>
        <v>0</v>
      </c>
      <c r="M40" s="2">
        <f>(L27+((M33)/2))*$D$7/12</f>
        <v>0</v>
      </c>
      <c r="N40" s="2">
        <f>(M27+((N33)/2))*$D$7/12</f>
        <v>0</v>
      </c>
      <c r="O40" s="2">
        <f>(N27+((O33)/2))*$D$7/12</f>
        <v>0</v>
      </c>
      <c r="P40" s="2">
        <f>(O27+((P33)/2))*$D$7/12</f>
        <v>0</v>
      </c>
      <c r="Q40" s="10">
        <f t="shared" si="50"/>
        <v>0</v>
      </c>
      <c r="R40" s="2">
        <f>(P27+((R33)/2))*$D$7/12</f>
        <v>0</v>
      </c>
      <c r="S40" s="2">
        <f t="shared" ref="S40:AC40" si="58">(R27+((S33)/2))*$D$7/12</f>
        <v>0</v>
      </c>
      <c r="T40" s="2">
        <f t="shared" si="58"/>
        <v>0</v>
      </c>
      <c r="U40" s="2">
        <f t="shared" si="58"/>
        <v>0</v>
      </c>
      <c r="V40" s="2">
        <f t="shared" si="58"/>
        <v>0</v>
      </c>
      <c r="W40" s="2">
        <f t="shared" si="58"/>
        <v>0</v>
      </c>
      <c r="X40" s="2">
        <f t="shared" si="58"/>
        <v>0</v>
      </c>
      <c r="Y40" s="2">
        <f t="shared" si="58"/>
        <v>0</v>
      </c>
      <c r="Z40" s="129">
        <f t="shared" si="58"/>
        <v>0</v>
      </c>
      <c r="AA40" s="2">
        <f t="shared" si="58"/>
        <v>0</v>
      </c>
      <c r="AB40" s="2">
        <f t="shared" si="58"/>
        <v>0</v>
      </c>
      <c r="AC40" s="2">
        <f t="shared" si="58"/>
        <v>0</v>
      </c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3.45" thickBot="1">
      <c r="B41" t="s">
        <v>2</v>
      </c>
      <c r="E41" s="5">
        <f t="shared" ref="E41" si="59">SUM(E37:E40)</f>
        <v>0</v>
      </c>
      <c r="F41" s="5">
        <f t="shared" ref="F41:AL41" si="60">SUM(F37:F40)</f>
        <v>0</v>
      </c>
      <c r="G41" s="5">
        <f t="shared" si="60"/>
        <v>0</v>
      </c>
      <c r="H41" s="5">
        <f t="shared" si="60"/>
        <v>0</v>
      </c>
      <c r="I41" s="5">
        <f t="shared" si="60"/>
        <v>0</v>
      </c>
      <c r="J41" s="5">
        <f t="shared" si="60"/>
        <v>0</v>
      </c>
      <c r="K41" s="5">
        <f t="shared" si="60"/>
        <v>0</v>
      </c>
      <c r="L41" s="5">
        <f t="shared" si="60"/>
        <v>0</v>
      </c>
      <c r="M41" s="5">
        <f t="shared" si="60"/>
        <v>0</v>
      </c>
      <c r="N41" s="5">
        <f t="shared" si="60"/>
        <v>0</v>
      </c>
      <c r="O41" s="5">
        <f t="shared" si="60"/>
        <v>0</v>
      </c>
      <c r="P41" s="5">
        <f t="shared" si="60"/>
        <v>0</v>
      </c>
      <c r="Q41" s="11">
        <f>SUM(Q37:Q40)</f>
        <v>0</v>
      </c>
      <c r="R41" s="5">
        <f t="shared" si="60"/>
        <v>9471.4615968593844</v>
      </c>
      <c r="S41" s="5">
        <f t="shared" si="60"/>
        <v>9471.4615968593844</v>
      </c>
      <c r="T41" s="5">
        <f t="shared" si="60"/>
        <v>9471.4615968593844</v>
      </c>
      <c r="U41" s="5">
        <f t="shared" si="60"/>
        <v>9471.4615968593844</v>
      </c>
      <c r="V41" s="5">
        <f t="shared" si="60"/>
        <v>9471.4615968593844</v>
      </c>
      <c r="W41" s="5">
        <f t="shared" si="60"/>
        <v>9471.4615968593844</v>
      </c>
      <c r="X41" s="5">
        <f t="shared" si="60"/>
        <v>9471.4615968593844</v>
      </c>
      <c r="Y41" s="5">
        <f t="shared" si="60"/>
        <v>9471.4615968593844</v>
      </c>
      <c r="Z41" s="128">
        <f t="shared" si="60"/>
        <v>9471.4615968593844</v>
      </c>
      <c r="AA41" s="5">
        <f t="shared" si="60"/>
        <v>9471.4615968593844</v>
      </c>
      <c r="AB41" s="5">
        <f t="shared" si="60"/>
        <v>9471.4615968593844</v>
      </c>
      <c r="AC41" s="5">
        <f t="shared" si="60"/>
        <v>9471.4615968593844</v>
      </c>
      <c r="AD41" s="5">
        <f t="shared" si="60"/>
        <v>66946.430682412858</v>
      </c>
      <c r="AE41" s="5">
        <f t="shared" si="60"/>
        <v>66946.430682412858</v>
      </c>
      <c r="AF41" s="5">
        <f t="shared" si="60"/>
        <v>66946.430682412858</v>
      </c>
      <c r="AG41" s="5">
        <f t="shared" si="60"/>
        <v>66946.430682412858</v>
      </c>
      <c r="AH41" s="5">
        <f t="shared" si="60"/>
        <v>66946.430682412858</v>
      </c>
      <c r="AI41" s="5">
        <f t="shared" si="60"/>
        <v>66946.430682412858</v>
      </c>
      <c r="AJ41" s="5">
        <f t="shared" si="60"/>
        <v>66946.430682412858</v>
      </c>
      <c r="AK41" s="5">
        <f t="shared" si="60"/>
        <v>66946.430682412858</v>
      </c>
      <c r="AL41" s="5">
        <f t="shared" si="60"/>
        <v>66946.430682412858</v>
      </c>
    </row>
    <row r="43" spans="1:38">
      <c r="A43" s="1" t="s">
        <v>22</v>
      </c>
      <c r="B43" t="s">
        <v>1</v>
      </c>
      <c r="C43" t="s">
        <v>18</v>
      </c>
      <c r="D43" s="16">
        <v>6.6769999999999996E-2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0">
        <f t="shared" ref="Q43:Q46" si="61">SUM(E43:P43)</f>
        <v>0</v>
      </c>
      <c r="R43" s="2"/>
      <c r="T43" s="2"/>
      <c r="U43" s="2"/>
      <c r="V43" s="2"/>
      <c r="W43" s="2"/>
      <c r="X43" s="2"/>
      <c r="Y43" s="2"/>
      <c r="Z43" s="129"/>
      <c r="AA43" s="2"/>
      <c r="AB43" s="2"/>
      <c r="AC43" s="2"/>
      <c r="AD43" s="2">
        <f t="shared" ref="AD43:AL43" si="62">$P$4*$D$43/12</f>
        <v>8487.0085603416665</v>
      </c>
      <c r="AE43" s="2">
        <f t="shared" si="62"/>
        <v>8487.0085603416665</v>
      </c>
      <c r="AF43" s="2">
        <f t="shared" si="62"/>
        <v>8487.0085603416665</v>
      </c>
      <c r="AG43" s="2">
        <f t="shared" si="62"/>
        <v>8487.0085603416665</v>
      </c>
      <c r="AH43" s="2">
        <f t="shared" si="62"/>
        <v>8487.0085603416665</v>
      </c>
      <c r="AI43" s="2">
        <f t="shared" si="62"/>
        <v>8487.0085603416665</v>
      </c>
      <c r="AJ43" s="2">
        <f t="shared" si="62"/>
        <v>8487.0085603416665</v>
      </c>
      <c r="AK43" s="2">
        <f t="shared" si="62"/>
        <v>8487.0085603416665</v>
      </c>
      <c r="AL43" s="2">
        <f t="shared" si="62"/>
        <v>8487.0085603416665</v>
      </c>
    </row>
    <row r="44" spans="1:38">
      <c r="C44" t="s">
        <v>14</v>
      </c>
      <c r="D44" s="16">
        <v>6.6769999999999996E-2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0">
        <f t="shared" si="61"/>
        <v>0</v>
      </c>
      <c r="R44" s="2"/>
      <c r="T44" s="2"/>
      <c r="U44" s="2"/>
      <c r="V44" s="2"/>
      <c r="W44" s="2"/>
      <c r="X44" s="2"/>
      <c r="Y44" s="2"/>
      <c r="Z44" s="129"/>
      <c r="AA44" s="2"/>
      <c r="AB44" s="2"/>
      <c r="AC44" s="2"/>
      <c r="AD44" s="2">
        <f t="shared" ref="AD44:AL44" si="63">$P$5*$D$44/12</f>
        <v>273.33900611214995</v>
      </c>
      <c r="AE44" s="2">
        <f t="shared" si="63"/>
        <v>273.33900611214995</v>
      </c>
      <c r="AF44" s="2">
        <f t="shared" si="63"/>
        <v>273.33900611214995</v>
      </c>
      <c r="AG44" s="2">
        <f t="shared" si="63"/>
        <v>273.33900611214995</v>
      </c>
      <c r="AH44" s="2">
        <f t="shared" si="63"/>
        <v>273.33900611214995</v>
      </c>
      <c r="AI44" s="2">
        <f t="shared" si="63"/>
        <v>273.33900611214995</v>
      </c>
      <c r="AJ44" s="2">
        <f t="shared" si="63"/>
        <v>273.33900611214995</v>
      </c>
      <c r="AK44" s="2">
        <f t="shared" si="63"/>
        <v>273.33900611214995</v>
      </c>
      <c r="AL44" s="2">
        <f t="shared" si="63"/>
        <v>273.33900611214995</v>
      </c>
    </row>
    <row r="45" spans="1:38">
      <c r="C45" t="s">
        <v>20</v>
      </c>
      <c r="D45" s="16">
        <v>0.33329999999999999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0">
        <f t="shared" si="61"/>
        <v>0</v>
      </c>
      <c r="R45" s="2"/>
      <c r="T45" s="2"/>
      <c r="U45" s="2"/>
      <c r="V45" s="2"/>
      <c r="W45" s="2"/>
      <c r="X45" s="2"/>
      <c r="Y45" s="2"/>
      <c r="Z45" s="129"/>
      <c r="AA45" s="2"/>
      <c r="AB45" s="2"/>
      <c r="AC45" s="2"/>
      <c r="AD45" s="2">
        <f>$P$6*$D$45/12</f>
        <v>0</v>
      </c>
      <c r="AE45" s="2">
        <f t="shared" ref="AE45:AL45" si="64">$P$6*$D$45/12</f>
        <v>0</v>
      </c>
      <c r="AF45" s="2">
        <f t="shared" si="64"/>
        <v>0</v>
      </c>
      <c r="AG45" s="2">
        <f t="shared" si="64"/>
        <v>0</v>
      </c>
      <c r="AH45" s="2">
        <f t="shared" si="64"/>
        <v>0</v>
      </c>
      <c r="AI45" s="2">
        <f t="shared" si="64"/>
        <v>0</v>
      </c>
      <c r="AJ45" s="2">
        <f t="shared" si="64"/>
        <v>0</v>
      </c>
      <c r="AK45" s="2">
        <f t="shared" si="64"/>
        <v>0</v>
      </c>
      <c r="AL45" s="2">
        <f t="shared" si="64"/>
        <v>0</v>
      </c>
    </row>
    <row r="46" spans="1:38">
      <c r="E46" s="2"/>
      <c r="F46" s="2">
        <f>(E33+((F39)/2))*$D$7/12</f>
        <v>0</v>
      </c>
      <c r="G46" s="2">
        <f t="shared" ref="G46:L46" si="65">(F33+((G39)/2))*$D$7/12</f>
        <v>0</v>
      </c>
      <c r="H46" s="2">
        <f t="shared" si="65"/>
        <v>0</v>
      </c>
      <c r="I46" s="2">
        <f t="shared" si="65"/>
        <v>0</v>
      </c>
      <c r="J46" s="2">
        <f t="shared" si="65"/>
        <v>0</v>
      </c>
      <c r="K46" s="2">
        <f t="shared" si="65"/>
        <v>0</v>
      </c>
      <c r="L46" s="2">
        <f t="shared" si="65"/>
        <v>0</v>
      </c>
      <c r="M46" s="2">
        <f>(L33+((M39)/2))*$D$7/12</f>
        <v>0</v>
      </c>
      <c r="N46" s="2">
        <f>(M33+((N39)/2))*$D$7/12</f>
        <v>0</v>
      </c>
      <c r="O46" s="2">
        <f>(N33+((O39)/2))*$D$7/12</f>
        <v>0</v>
      </c>
      <c r="P46" s="2">
        <f>(O33+((P39)/2))*$D$7/12</f>
        <v>0</v>
      </c>
      <c r="Q46" s="10">
        <f t="shared" si="61"/>
        <v>0</v>
      </c>
      <c r="R46" s="2"/>
      <c r="T46" s="2"/>
      <c r="U46" s="2"/>
      <c r="V46" s="2"/>
      <c r="W46" s="2"/>
      <c r="X46" s="2"/>
      <c r="Y46" s="2"/>
      <c r="Z46" s="129"/>
      <c r="AA46" s="2"/>
      <c r="AB46" s="2"/>
      <c r="AC46" s="2"/>
      <c r="AD46" s="2">
        <f>P7*D46</f>
        <v>0</v>
      </c>
      <c r="AE46" s="2">
        <f t="shared" ref="AE46:AL46" si="66">(AD33+((AE39)/2))*$D$7/12</f>
        <v>0</v>
      </c>
      <c r="AF46" s="2">
        <f t="shared" si="66"/>
        <v>0</v>
      </c>
      <c r="AG46" s="2">
        <f t="shared" si="66"/>
        <v>0</v>
      </c>
      <c r="AH46" s="2">
        <f t="shared" si="66"/>
        <v>0</v>
      </c>
      <c r="AI46" s="2">
        <f t="shared" si="66"/>
        <v>0</v>
      </c>
      <c r="AJ46" s="2">
        <f t="shared" si="66"/>
        <v>0</v>
      </c>
      <c r="AK46" s="2">
        <f t="shared" si="66"/>
        <v>0</v>
      </c>
      <c r="AL46" s="2">
        <f t="shared" si="66"/>
        <v>0</v>
      </c>
    </row>
    <row r="47" spans="1:38" ht="13.45" thickBot="1">
      <c r="B47" t="s">
        <v>2</v>
      </c>
      <c r="E47" s="5">
        <f t="shared" ref="E47" si="67">SUM(E43:E46)</f>
        <v>0</v>
      </c>
      <c r="F47" s="5">
        <f t="shared" ref="F47:AL47" si="68">SUM(F43:F46)</f>
        <v>0</v>
      </c>
      <c r="G47" s="5">
        <f t="shared" si="68"/>
        <v>0</v>
      </c>
      <c r="H47" s="5">
        <f t="shared" si="68"/>
        <v>0</v>
      </c>
      <c r="I47" s="5">
        <f t="shared" si="68"/>
        <v>0</v>
      </c>
      <c r="J47" s="5">
        <f t="shared" si="68"/>
        <v>0</v>
      </c>
      <c r="K47" s="5">
        <f t="shared" si="68"/>
        <v>0</v>
      </c>
      <c r="L47" s="5">
        <f t="shared" si="68"/>
        <v>0</v>
      </c>
      <c r="M47" s="5">
        <f t="shared" si="68"/>
        <v>0</v>
      </c>
      <c r="N47" s="5">
        <f t="shared" si="68"/>
        <v>0</v>
      </c>
      <c r="O47" s="5">
        <f t="shared" si="68"/>
        <v>0</v>
      </c>
      <c r="P47" s="5">
        <f t="shared" si="68"/>
        <v>0</v>
      </c>
      <c r="Q47" s="11">
        <f>SUM(Q43:Q46)</f>
        <v>0</v>
      </c>
      <c r="R47" s="5">
        <f t="shared" si="68"/>
        <v>0</v>
      </c>
      <c r="S47" s="5">
        <f t="shared" si="68"/>
        <v>0</v>
      </c>
      <c r="T47" s="5">
        <f t="shared" si="68"/>
        <v>0</v>
      </c>
      <c r="U47" s="5">
        <f t="shared" si="68"/>
        <v>0</v>
      </c>
      <c r="V47" s="5">
        <f t="shared" si="68"/>
        <v>0</v>
      </c>
      <c r="W47" s="5">
        <f t="shared" si="68"/>
        <v>0</v>
      </c>
      <c r="X47" s="5">
        <f t="shared" si="68"/>
        <v>0</v>
      </c>
      <c r="Y47" s="5">
        <f t="shared" si="68"/>
        <v>0</v>
      </c>
      <c r="Z47" s="128">
        <f t="shared" si="68"/>
        <v>0</v>
      </c>
      <c r="AA47" s="5">
        <f t="shared" si="68"/>
        <v>0</v>
      </c>
      <c r="AB47" s="5">
        <f t="shared" si="68"/>
        <v>0</v>
      </c>
      <c r="AC47" s="5">
        <f t="shared" si="68"/>
        <v>0</v>
      </c>
      <c r="AD47" s="5">
        <f t="shared" si="68"/>
        <v>8760.3475664538164</v>
      </c>
      <c r="AE47" s="5">
        <f t="shared" si="68"/>
        <v>8760.3475664538164</v>
      </c>
      <c r="AF47" s="5">
        <f t="shared" si="68"/>
        <v>8760.3475664538164</v>
      </c>
      <c r="AG47" s="5">
        <f t="shared" si="68"/>
        <v>8760.3475664538164</v>
      </c>
      <c r="AH47" s="5">
        <f t="shared" si="68"/>
        <v>8760.3475664538164</v>
      </c>
      <c r="AI47" s="5">
        <f t="shared" si="68"/>
        <v>8760.3475664538164</v>
      </c>
      <c r="AJ47" s="5">
        <f t="shared" si="68"/>
        <v>8760.3475664538164</v>
      </c>
      <c r="AK47" s="5">
        <f t="shared" si="68"/>
        <v>8760.3475664538164</v>
      </c>
      <c r="AL47" s="5">
        <f t="shared" si="68"/>
        <v>8760.3475664538164</v>
      </c>
    </row>
    <row r="49" spans="1:38">
      <c r="A49" s="1" t="s">
        <v>23</v>
      </c>
      <c r="B49" t="s">
        <v>1</v>
      </c>
      <c r="C49" t="s">
        <v>18</v>
      </c>
      <c r="D49" s="16"/>
      <c r="E49" s="2">
        <f>SUM(E31,E37,E43)</f>
        <v>4766.5541562500002</v>
      </c>
      <c r="F49" s="2">
        <f t="shared" ref="F49:P49" si="69">SUM(F31,F37,F43)</f>
        <v>4766.5541562500002</v>
      </c>
      <c r="G49" s="2">
        <f t="shared" si="69"/>
        <v>4766.5541562500002</v>
      </c>
      <c r="H49" s="2">
        <f t="shared" si="69"/>
        <v>4766.5541562500002</v>
      </c>
      <c r="I49" s="2">
        <f t="shared" si="69"/>
        <v>4766.5541562500002</v>
      </c>
      <c r="J49" s="2">
        <f t="shared" si="69"/>
        <v>4766.5541562500002</v>
      </c>
      <c r="K49" s="2">
        <f t="shared" si="69"/>
        <v>4766.5541562500002</v>
      </c>
      <c r="L49" s="2">
        <f t="shared" si="69"/>
        <v>4766.5541562500002</v>
      </c>
      <c r="M49" s="2">
        <f t="shared" si="69"/>
        <v>4766.5541562500002</v>
      </c>
      <c r="N49" s="2">
        <f t="shared" si="69"/>
        <v>4766.5541562500002</v>
      </c>
      <c r="O49" s="2">
        <f t="shared" si="69"/>
        <v>4766.5541562500002</v>
      </c>
      <c r="P49" s="2">
        <f t="shared" si="69"/>
        <v>4766.5541562500002</v>
      </c>
      <c r="Q49" s="10">
        <f t="shared" ref="Q49:Q52" si="70">SUM(E49:P49)</f>
        <v>57198.649875000003</v>
      </c>
      <c r="R49" s="2">
        <f>SUM(R31,R37,R43)</f>
        <v>32660.831613486454</v>
      </c>
      <c r="S49" s="2">
        <f t="shared" ref="S49:AL52" si="71">SUM(S31,S37,S43)</f>
        <v>32660.831613486454</v>
      </c>
      <c r="T49" s="2">
        <f t="shared" si="71"/>
        <v>32660.831613486454</v>
      </c>
      <c r="U49" s="2">
        <f t="shared" si="71"/>
        <v>32660.831613486454</v>
      </c>
      <c r="V49" s="2">
        <f t="shared" si="71"/>
        <v>32660.831613486454</v>
      </c>
      <c r="W49" s="2">
        <f t="shared" si="71"/>
        <v>32660.831613486454</v>
      </c>
      <c r="X49" s="2">
        <f t="shared" si="71"/>
        <v>32660.831613486454</v>
      </c>
      <c r="Y49" s="2">
        <f t="shared" si="71"/>
        <v>32660.831613486454</v>
      </c>
      <c r="Z49" s="129">
        <f t="shared" si="71"/>
        <v>32660.831613486454</v>
      </c>
      <c r="AA49" s="2">
        <f t="shared" si="71"/>
        <v>32660.831613486454</v>
      </c>
      <c r="AB49" s="2">
        <f t="shared" si="71"/>
        <v>32660.831613486454</v>
      </c>
      <c r="AC49" s="2">
        <f t="shared" si="71"/>
        <v>32660.831613486454</v>
      </c>
      <c r="AD49" s="2">
        <f t="shared" si="71"/>
        <v>53697.001123071968</v>
      </c>
      <c r="AE49" s="2">
        <f t="shared" si="71"/>
        <v>53697.001123071968</v>
      </c>
      <c r="AF49" s="2">
        <f t="shared" si="71"/>
        <v>53697.001123071968</v>
      </c>
      <c r="AG49" s="2">
        <f t="shared" si="71"/>
        <v>53697.001123071968</v>
      </c>
      <c r="AH49" s="2">
        <f t="shared" si="71"/>
        <v>53697.001123071968</v>
      </c>
      <c r="AI49" s="2">
        <f t="shared" si="71"/>
        <v>53697.001123071968</v>
      </c>
      <c r="AJ49" s="2">
        <f t="shared" si="71"/>
        <v>53697.001123071968</v>
      </c>
      <c r="AK49" s="2">
        <f t="shared" si="71"/>
        <v>53697.001123071968</v>
      </c>
      <c r="AL49" s="2">
        <f t="shared" si="71"/>
        <v>53697.001123071968</v>
      </c>
    </row>
    <row r="50" spans="1:38">
      <c r="C50" t="s">
        <v>14</v>
      </c>
      <c r="D50" s="16"/>
      <c r="E50" s="2">
        <f t="shared" ref="E50:P51" si="72">SUM(E32,E38,E44)</f>
        <v>153.51524231249996</v>
      </c>
      <c r="F50" s="2">
        <f t="shared" si="72"/>
        <v>153.51524231249996</v>
      </c>
      <c r="G50" s="2">
        <f t="shared" si="72"/>
        <v>153.51524231249996</v>
      </c>
      <c r="H50" s="2">
        <f t="shared" si="72"/>
        <v>153.51524231249996</v>
      </c>
      <c r="I50" s="2">
        <f t="shared" si="72"/>
        <v>153.51524231249996</v>
      </c>
      <c r="J50" s="2">
        <f t="shared" si="72"/>
        <v>153.51524231249996</v>
      </c>
      <c r="K50" s="2">
        <f t="shared" si="72"/>
        <v>153.51524231249996</v>
      </c>
      <c r="L50" s="2">
        <f t="shared" si="72"/>
        <v>153.51524231249996</v>
      </c>
      <c r="M50" s="2">
        <f t="shared" si="72"/>
        <v>153.51524231249996</v>
      </c>
      <c r="N50" s="2">
        <f t="shared" si="72"/>
        <v>153.51524231249996</v>
      </c>
      <c r="O50" s="2">
        <f t="shared" si="72"/>
        <v>153.51524231249996</v>
      </c>
      <c r="P50" s="2">
        <f t="shared" si="72"/>
        <v>153.51524231249996</v>
      </c>
      <c r="Q50" s="10">
        <f t="shared" si="70"/>
        <v>1842.1829077499999</v>
      </c>
      <c r="R50" s="2">
        <f t="shared" ref="R50:AG50" si="73">SUM(R32,R38,R44)</f>
        <v>8090.2803578010489</v>
      </c>
      <c r="S50" s="2">
        <f t="shared" si="73"/>
        <v>8090.2803578010489</v>
      </c>
      <c r="T50" s="2">
        <f t="shared" si="73"/>
        <v>8090.2803578010489</v>
      </c>
      <c r="U50" s="2">
        <f t="shared" si="73"/>
        <v>8090.2803578010489</v>
      </c>
      <c r="V50" s="2">
        <f t="shared" si="73"/>
        <v>8090.2803578010489</v>
      </c>
      <c r="W50" s="2">
        <f t="shared" si="73"/>
        <v>8090.2803578010489</v>
      </c>
      <c r="X50" s="2">
        <f t="shared" si="73"/>
        <v>8090.2803578010489</v>
      </c>
      <c r="Y50" s="2">
        <f t="shared" si="73"/>
        <v>8090.2803578010489</v>
      </c>
      <c r="Z50" s="129">
        <f t="shared" si="73"/>
        <v>8090.2803578010489</v>
      </c>
      <c r="AA50" s="2">
        <f t="shared" si="73"/>
        <v>8090.2803578010489</v>
      </c>
      <c r="AB50" s="2">
        <f t="shared" si="73"/>
        <v>8090.2803578010489</v>
      </c>
      <c r="AC50" s="2">
        <f t="shared" si="73"/>
        <v>8090.2803578010489</v>
      </c>
      <c r="AD50" s="2">
        <f t="shared" si="73"/>
        <v>15278.758724180949</v>
      </c>
      <c r="AE50" s="2">
        <f t="shared" si="73"/>
        <v>15278.758724180949</v>
      </c>
      <c r="AF50" s="2">
        <f t="shared" si="73"/>
        <v>15278.758724180949</v>
      </c>
      <c r="AG50" s="2">
        <f t="shared" si="73"/>
        <v>15278.758724180949</v>
      </c>
      <c r="AH50" s="2">
        <f t="shared" si="71"/>
        <v>15278.758724180949</v>
      </c>
      <c r="AI50" s="2">
        <f t="shared" si="71"/>
        <v>15278.758724180949</v>
      </c>
      <c r="AJ50" s="2">
        <f t="shared" si="71"/>
        <v>15278.758724180949</v>
      </c>
      <c r="AK50" s="2">
        <f t="shared" si="71"/>
        <v>15278.758724180949</v>
      </c>
      <c r="AL50" s="2">
        <f t="shared" si="71"/>
        <v>15278.758724180949</v>
      </c>
    </row>
    <row r="51" spans="1:38">
      <c r="C51" t="s">
        <v>20</v>
      </c>
      <c r="D51" s="16"/>
      <c r="E51" s="2">
        <f>SUM(E33,E39,E45)</f>
        <v>0</v>
      </c>
      <c r="F51" s="2">
        <f t="shared" si="72"/>
        <v>0</v>
      </c>
      <c r="G51" s="2">
        <f t="shared" si="72"/>
        <v>0</v>
      </c>
      <c r="H51" s="2">
        <f t="shared" si="72"/>
        <v>0</v>
      </c>
      <c r="I51" s="2">
        <f t="shared" si="72"/>
        <v>0</v>
      </c>
      <c r="J51" s="2">
        <f t="shared" si="72"/>
        <v>0</v>
      </c>
      <c r="K51" s="2">
        <f t="shared" si="72"/>
        <v>0</v>
      </c>
      <c r="L51" s="2">
        <f t="shared" si="72"/>
        <v>0</v>
      </c>
      <c r="M51" s="2">
        <f t="shared" si="72"/>
        <v>0</v>
      </c>
      <c r="N51" s="2">
        <f t="shared" si="72"/>
        <v>0</v>
      </c>
      <c r="O51" s="2">
        <f t="shared" si="72"/>
        <v>0</v>
      </c>
      <c r="P51" s="2">
        <f t="shared" si="72"/>
        <v>0</v>
      </c>
      <c r="Q51" s="10">
        <f t="shared" si="70"/>
        <v>0</v>
      </c>
      <c r="R51" s="2">
        <f>SUM(R33,R39,R45)</f>
        <v>3366.5189545424928</v>
      </c>
      <c r="S51" s="2">
        <f t="shared" si="71"/>
        <v>3366.5189545424928</v>
      </c>
      <c r="T51" s="2">
        <f t="shared" si="71"/>
        <v>3366.5189545424928</v>
      </c>
      <c r="U51" s="2">
        <f t="shared" si="71"/>
        <v>3366.5189545424928</v>
      </c>
      <c r="V51" s="2">
        <f t="shared" si="71"/>
        <v>3366.5189545424928</v>
      </c>
      <c r="W51" s="2">
        <f t="shared" si="71"/>
        <v>3366.5189545424928</v>
      </c>
      <c r="X51" s="2">
        <f t="shared" si="71"/>
        <v>3366.5189545424928</v>
      </c>
      <c r="Y51" s="2">
        <f t="shared" si="71"/>
        <v>3366.5189545424928</v>
      </c>
      <c r="Z51" s="129">
        <f t="shared" si="71"/>
        <v>3366.5189545424928</v>
      </c>
      <c r="AA51" s="2">
        <f t="shared" si="71"/>
        <v>3366.5189545424928</v>
      </c>
      <c r="AB51" s="2">
        <f t="shared" si="71"/>
        <v>3366.5189545424928</v>
      </c>
      <c r="AC51" s="2">
        <f t="shared" si="71"/>
        <v>3366.5189545424928</v>
      </c>
      <c r="AD51" s="2">
        <f t="shared" si="71"/>
        <v>6731.0184016137546</v>
      </c>
      <c r="AE51" s="2">
        <f t="shared" si="71"/>
        <v>6731.0184016137546</v>
      </c>
      <c r="AF51" s="2">
        <f t="shared" si="71"/>
        <v>6731.0184016137546</v>
      </c>
      <c r="AG51" s="2">
        <f t="shared" si="71"/>
        <v>6731.0184016137546</v>
      </c>
      <c r="AH51" s="2">
        <f t="shared" si="71"/>
        <v>6731.0184016137546</v>
      </c>
      <c r="AI51" s="2">
        <f t="shared" si="71"/>
        <v>6731.0184016137546</v>
      </c>
      <c r="AJ51" s="2">
        <f t="shared" si="71"/>
        <v>6731.0184016137546</v>
      </c>
      <c r="AK51" s="2">
        <f t="shared" si="71"/>
        <v>6731.0184016137546</v>
      </c>
      <c r="AL51" s="2">
        <f t="shared" si="71"/>
        <v>6731.0184016137546</v>
      </c>
    </row>
    <row r="52" spans="1:38">
      <c r="E52" s="2"/>
      <c r="F52" s="2">
        <f>(E39+((F45)/2))*$D$7/12</f>
        <v>0</v>
      </c>
      <c r="G52" s="2">
        <f t="shared" ref="G52:L52" si="74">(F39+((G45)/2))*$D$7/12</f>
        <v>0</v>
      </c>
      <c r="H52" s="2">
        <f t="shared" si="74"/>
        <v>0</v>
      </c>
      <c r="I52" s="2">
        <f t="shared" si="74"/>
        <v>0</v>
      </c>
      <c r="J52" s="2">
        <f t="shared" si="74"/>
        <v>0</v>
      </c>
      <c r="K52" s="2">
        <f t="shared" si="74"/>
        <v>0</v>
      </c>
      <c r="L52" s="2">
        <f t="shared" si="74"/>
        <v>0</v>
      </c>
      <c r="M52" s="2">
        <f>(L39+((M45)/2))*$D$7/12</f>
        <v>0</v>
      </c>
      <c r="N52" s="2">
        <f>(M39+((N45)/2))*$D$7/12</f>
        <v>0</v>
      </c>
      <c r="O52" s="2">
        <f>(N39+((O45)/2))*$D$7/12</f>
        <v>0</v>
      </c>
      <c r="P52" s="2">
        <f>(O39+((P45)/2))*$D$7/12</f>
        <v>0</v>
      </c>
      <c r="Q52" s="10">
        <f t="shared" si="70"/>
        <v>0</v>
      </c>
      <c r="R52" s="2">
        <f>SUM(R34,R40,R46)</f>
        <v>0</v>
      </c>
      <c r="S52" s="2">
        <f t="shared" si="71"/>
        <v>0</v>
      </c>
      <c r="T52" s="2">
        <f t="shared" si="71"/>
        <v>0</v>
      </c>
      <c r="U52" s="2">
        <f t="shared" si="71"/>
        <v>0</v>
      </c>
      <c r="V52" s="2">
        <f t="shared" si="71"/>
        <v>0</v>
      </c>
      <c r="W52" s="2">
        <f t="shared" si="71"/>
        <v>0</v>
      </c>
      <c r="X52" s="2">
        <f t="shared" si="71"/>
        <v>0</v>
      </c>
      <c r="Y52" s="2">
        <f t="shared" si="71"/>
        <v>0</v>
      </c>
      <c r="Z52" s="129">
        <f t="shared" si="71"/>
        <v>0</v>
      </c>
      <c r="AA52" s="2">
        <f t="shared" si="71"/>
        <v>0</v>
      </c>
      <c r="AB52" s="2">
        <f t="shared" si="71"/>
        <v>0</v>
      </c>
      <c r="AC52" s="2">
        <f t="shared" si="71"/>
        <v>0</v>
      </c>
      <c r="AD52" s="2">
        <f t="shared" si="71"/>
        <v>0</v>
      </c>
      <c r="AE52" s="2">
        <f t="shared" si="71"/>
        <v>0</v>
      </c>
      <c r="AF52" s="2">
        <f t="shared" si="71"/>
        <v>0</v>
      </c>
      <c r="AG52" s="2">
        <f t="shared" si="71"/>
        <v>0</v>
      </c>
      <c r="AH52" s="2">
        <f t="shared" si="71"/>
        <v>0</v>
      </c>
      <c r="AI52" s="2">
        <f t="shared" si="71"/>
        <v>0</v>
      </c>
      <c r="AJ52" s="2">
        <f t="shared" si="71"/>
        <v>0</v>
      </c>
      <c r="AK52" s="2">
        <f t="shared" si="71"/>
        <v>0</v>
      </c>
      <c r="AL52" s="2">
        <f t="shared" si="71"/>
        <v>0</v>
      </c>
    </row>
    <row r="53" spans="1:38" ht="13.45" thickBot="1">
      <c r="B53" t="s">
        <v>2</v>
      </c>
      <c r="E53" s="5">
        <f t="shared" ref="E53" si="75">SUM(E49:E52)</f>
        <v>4920.0693985625003</v>
      </c>
      <c r="F53" s="5">
        <f t="shared" ref="F53:AL53" si="76">SUM(F49:F52)</f>
        <v>4920.0693985625003</v>
      </c>
      <c r="G53" s="5">
        <f t="shared" si="76"/>
        <v>4920.0693985625003</v>
      </c>
      <c r="H53" s="5">
        <f t="shared" si="76"/>
        <v>4920.0693985625003</v>
      </c>
      <c r="I53" s="5">
        <f t="shared" si="76"/>
        <v>4920.0693985625003</v>
      </c>
      <c r="J53" s="5">
        <f t="shared" si="76"/>
        <v>4920.0693985625003</v>
      </c>
      <c r="K53" s="5">
        <f t="shared" si="76"/>
        <v>4920.0693985625003</v>
      </c>
      <c r="L53" s="5">
        <f t="shared" si="76"/>
        <v>4920.0693985625003</v>
      </c>
      <c r="M53" s="5">
        <f t="shared" si="76"/>
        <v>4920.0693985625003</v>
      </c>
      <c r="N53" s="5">
        <f t="shared" si="76"/>
        <v>4920.0693985625003</v>
      </c>
      <c r="O53" s="5">
        <f t="shared" si="76"/>
        <v>4920.0693985625003</v>
      </c>
      <c r="P53" s="5">
        <f t="shared" si="76"/>
        <v>4920.0693985625003</v>
      </c>
      <c r="Q53" s="11">
        <f>SUM(Q49:Q52)</f>
        <v>59040.832782750003</v>
      </c>
      <c r="R53" s="5">
        <f t="shared" si="76"/>
        <v>44117.630925829995</v>
      </c>
      <c r="S53" s="5">
        <f t="shared" si="76"/>
        <v>44117.630925829995</v>
      </c>
      <c r="T53" s="5">
        <f t="shared" si="76"/>
        <v>44117.630925829995</v>
      </c>
      <c r="U53" s="5">
        <f t="shared" si="76"/>
        <v>44117.630925829995</v>
      </c>
      <c r="V53" s="5">
        <f t="shared" si="76"/>
        <v>44117.630925829995</v>
      </c>
      <c r="W53" s="5">
        <f t="shared" si="76"/>
        <v>44117.630925829995</v>
      </c>
      <c r="X53" s="5">
        <f t="shared" si="76"/>
        <v>44117.630925829995</v>
      </c>
      <c r="Y53" s="5">
        <f t="shared" si="76"/>
        <v>44117.630925829995</v>
      </c>
      <c r="Z53" s="128">
        <f t="shared" si="76"/>
        <v>44117.630925829995</v>
      </c>
      <c r="AA53" s="5">
        <f t="shared" si="76"/>
        <v>44117.630925829995</v>
      </c>
      <c r="AB53" s="5">
        <f t="shared" si="76"/>
        <v>44117.630925829995</v>
      </c>
      <c r="AC53" s="5">
        <f t="shared" si="76"/>
        <v>44117.630925829995</v>
      </c>
      <c r="AD53" s="5">
        <f t="shared" si="76"/>
        <v>75706.778248866671</v>
      </c>
      <c r="AE53" s="5">
        <f t="shared" si="76"/>
        <v>75706.778248866671</v>
      </c>
      <c r="AF53" s="5">
        <f t="shared" si="76"/>
        <v>75706.778248866671</v>
      </c>
      <c r="AG53" s="5">
        <f t="shared" si="76"/>
        <v>75706.778248866671</v>
      </c>
      <c r="AH53" s="5">
        <f t="shared" si="76"/>
        <v>75706.778248866671</v>
      </c>
      <c r="AI53" s="5">
        <f t="shared" si="76"/>
        <v>75706.778248866671</v>
      </c>
      <c r="AJ53" s="5">
        <f t="shared" si="76"/>
        <v>75706.778248866671</v>
      </c>
      <c r="AK53" s="5">
        <f t="shared" si="76"/>
        <v>75706.778248866671</v>
      </c>
      <c r="AL53" s="5">
        <f t="shared" si="76"/>
        <v>75706.778248866671</v>
      </c>
    </row>
    <row r="56" spans="1:38">
      <c r="A56" s="1" t="s">
        <v>24</v>
      </c>
      <c r="B56" t="s">
        <v>1</v>
      </c>
      <c r="C56" t="s">
        <v>18</v>
      </c>
      <c r="D56" s="16"/>
      <c r="E56" s="2">
        <f>-E49</f>
        <v>-4766.5541562500002</v>
      </c>
      <c r="F56" s="2">
        <f>E56-F49</f>
        <v>-9533.1083125000005</v>
      </c>
      <c r="G56" s="2">
        <f t="shared" ref="G56:P58" si="77">F56-G49</f>
        <v>-14299.662468750001</v>
      </c>
      <c r="H56" s="2">
        <f t="shared" si="77"/>
        <v>-19066.216625000001</v>
      </c>
      <c r="I56" s="2">
        <f t="shared" si="77"/>
        <v>-23832.770781250001</v>
      </c>
      <c r="J56" s="2">
        <f t="shared" si="77"/>
        <v>-28599.324937500001</v>
      </c>
      <c r="K56" s="2">
        <f t="shared" si="77"/>
        <v>-33365.879093750002</v>
      </c>
      <c r="L56" s="2">
        <f t="shared" si="77"/>
        <v>-38132.433250000002</v>
      </c>
      <c r="M56" s="2">
        <f t="shared" si="77"/>
        <v>-42898.987406250002</v>
      </c>
      <c r="N56" s="2">
        <f t="shared" si="77"/>
        <v>-47665.541562500002</v>
      </c>
      <c r="O56" s="2">
        <f t="shared" si="77"/>
        <v>-52432.095718750003</v>
      </c>
      <c r="P56" s="2">
        <f t="shared" si="77"/>
        <v>-57198.649875000003</v>
      </c>
      <c r="Q56" s="10">
        <f t="shared" ref="Q56:Q59" si="78">SUM(E56:P56)</f>
        <v>-371791.22418750008</v>
      </c>
      <c r="R56" s="2">
        <f>P56-R49</f>
        <v>-89859.481488486461</v>
      </c>
      <c r="S56" s="2">
        <f>R56-S49</f>
        <v>-122520.31310197292</v>
      </c>
      <c r="T56" s="2">
        <f t="shared" ref="T56:AL58" si="79">S56-T49</f>
        <v>-155181.14471545938</v>
      </c>
      <c r="U56" s="2">
        <f t="shared" si="79"/>
        <v>-187841.97632894584</v>
      </c>
      <c r="V56" s="2">
        <f t="shared" si="79"/>
        <v>-220502.80794243229</v>
      </c>
      <c r="W56" s="2">
        <f t="shared" si="79"/>
        <v>-253163.63955591875</v>
      </c>
      <c r="X56" s="2">
        <f t="shared" si="79"/>
        <v>-285824.47116940521</v>
      </c>
      <c r="Y56" s="2">
        <f t="shared" si="79"/>
        <v>-318485.30278289167</v>
      </c>
      <c r="Z56" s="129">
        <f t="shared" si="79"/>
        <v>-351146.13439637813</v>
      </c>
      <c r="AA56" s="2">
        <f t="shared" si="79"/>
        <v>-383806.96600986458</v>
      </c>
      <c r="AB56" s="2">
        <f t="shared" si="79"/>
        <v>-416467.79762335104</v>
      </c>
      <c r="AC56" s="2">
        <f t="shared" si="79"/>
        <v>-449128.6292368375</v>
      </c>
      <c r="AD56" s="2">
        <f t="shared" si="79"/>
        <v>-502825.6303599095</v>
      </c>
      <c r="AE56" s="2">
        <f t="shared" si="79"/>
        <v>-556522.63148298149</v>
      </c>
      <c r="AF56" s="2">
        <f t="shared" si="79"/>
        <v>-610219.63260605349</v>
      </c>
      <c r="AG56" s="2">
        <f t="shared" si="79"/>
        <v>-663916.63372912549</v>
      </c>
      <c r="AH56" s="2">
        <f t="shared" si="79"/>
        <v>-717613.63485219749</v>
      </c>
      <c r="AI56" s="2">
        <f t="shared" si="79"/>
        <v>-771310.63597526948</v>
      </c>
      <c r="AJ56" s="2">
        <f t="shared" si="79"/>
        <v>-825007.63709834148</v>
      </c>
      <c r="AK56" s="2">
        <f t="shared" si="79"/>
        <v>-878704.63822141348</v>
      </c>
      <c r="AL56" s="2">
        <f t="shared" si="79"/>
        <v>-932401.63934448548</v>
      </c>
    </row>
    <row r="57" spans="1:38">
      <c r="C57" t="s">
        <v>14</v>
      </c>
      <c r="D57" s="16"/>
      <c r="E57" s="2">
        <f>-E50</f>
        <v>-153.51524231249996</v>
      </c>
      <c r="F57" s="2">
        <f>E57-F50</f>
        <v>-307.03048462499993</v>
      </c>
      <c r="G57" s="2">
        <f t="shared" si="77"/>
        <v>-460.54572693749992</v>
      </c>
      <c r="H57" s="2">
        <f t="shared" si="77"/>
        <v>-614.06096924999986</v>
      </c>
      <c r="I57" s="2">
        <f t="shared" si="77"/>
        <v>-767.57621156249979</v>
      </c>
      <c r="J57" s="2">
        <f t="shared" si="77"/>
        <v>-921.09145387499973</v>
      </c>
      <c r="K57" s="2">
        <f t="shared" si="77"/>
        <v>-1074.6066961874997</v>
      </c>
      <c r="L57" s="2">
        <f t="shared" si="77"/>
        <v>-1228.1219384999997</v>
      </c>
      <c r="M57" s="2">
        <f t="shared" si="77"/>
        <v>-1381.6371808124998</v>
      </c>
      <c r="N57" s="2">
        <f t="shared" si="77"/>
        <v>-1535.1524231249998</v>
      </c>
      <c r="O57" s="2">
        <f t="shared" si="77"/>
        <v>-1688.6676654374999</v>
      </c>
      <c r="P57" s="2">
        <f t="shared" si="77"/>
        <v>-1842.1829077499999</v>
      </c>
      <c r="Q57" s="10">
        <f t="shared" si="78"/>
        <v>-11974.188900374998</v>
      </c>
      <c r="R57" s="2">
        <f>P57-R50</f>
        <v>-9932.4632655510486</v>
      </c>
      <c r="S57" s="2">
        <f>R57-S50</f>
        <v>-18022.743623352097</v>
      </c>
      <c r="T57" s="2">
        <f t="shared" si="79"/>
        <v>-26113.023981153146</v>
      </c>
      <c r="U57" s="2">
        <f t="shared" si="79"/>
        <v>-34203.304338954193</v>
      </c>
      <c r="V57" s="2">
        <f t="shared" si="79"/>
        <v>-42293.584696755242</v>
      </c>
      <c r="W57" s="2">
        <f t="shared" si="79"/>
        <v>-50383.865054556292</v>
      </c>
      <c r="X57" s="2">
        <f t="shared" si="79"/>
        <v>-58474.145412357342</v>
      </c>
      <c r="Y57" s="2">
        <f t="shared" si="79"/>
        <v>-66564.425770158385</v>
      </c>
      <c r="Z57" s="129">
        <f t="shared" si="79"/>
        <v>-74654.706127959435</v>
      </c>
      <c r="AA57" s="2">
        <f t="shared" si="79"/>
        <v>-82744.986485760484</v>
      </c>
      <c r="AB57" s="2">
        <f t="shared" si="79"/>
        <v>-90835.266843561534</v>
      </c>
      <c r="AC57" s="2">
        <f t="shared" si="79"/>
        <v>-98925.547201362584</v>
      </c>
      <c r="AD57" s="2">
        <f t="shared" si="79"/>
        <v>-114204.30592554354</v>
      </c>
      <c r="AE57" s="2">
        <f t="shared" si="79"/>
        <v>-129483.06464972449</v>
      </c>
      <c r="AF57" s="2">
        <f t="shared" si="79"/>
        <v>-144761.82337390544</v>
      </c>
      <c r="AG57" s="2">
        <f t="shared" si="79"/>
        <v>-160040.58209808639</v>
      </c>
      <c r="AH57" s="2">
        <f t="shared" si="79"/>
        <v>-175319.34082226735</v>
      </c>
      <c r="AI57" s="2">
        <f t="shared" si="79"/>
        <v>-190598.0995464483</v>
      </c>
      <c r="AJ57" s="2">
        <f t="shared" si="79"/>
        <v>-205876.85827062925</v>
      </c>
      <c r="AK57" s="2">
        <f t="shared" si="79"/>
        <v>-221155.6169948102</v>
      </c>
      <c r="AL57" s="2">
        <f t="shared" si="79"/>
        <v>-236434.37571899116</v>
      </c>
    </row>
    <row r="58" spans="1:38">
      <c r="C58" t="s">
        <v>20</v>
      </c>
      <c r="D58" s="16"/>
      <c r="E58" s="2">
        <f>-E51</f>
        <v>0</v>
      </c>
      <c r="F58" s="2">
        <f>E58-F51</f>
        <v>0</v>
      </c>
      <c r="G58" s="2">
        <f t="shared" si="77"/>
        <v>0</v>
      </c>
      <c r="H58" s="2">
        <f t="shared" si="77"/>
        <v>0</v>
      </c>
      <c r="I58" s="2">
        <f t="shared" si="77"/>
        <v>0</v>
      </c>
      <c r="J58" s="2">
        <f t="shared" si="77"/>
        <v>0</v>
      </c>
      <c r="K58" s="2">
        <f t="shared" si="77"/>
        <v>0</v>
      </c>
      <c r="L58" s="2">
        <f t="shared" si="77"/>
        <v>0</v>
      </c>
      <c r="M58" s="2">
        <f t="shared" si="77"/>
        <v>0</v>
      </c>
      <c r="N58" s="2">
        <f t="shared" si="77"/>
        <v>0</v>
      </c>
      <c r="O58" s="2">
        <f t="shared" si="77"/>
        <v>0</v>
      </c>
      <c r="P58" s="2">
        <f t="shared" si="77"/>
        <v>0</v>
      </c>
      <c r="Q58" s="10">
        <f t="shared" si="78"/>
        <v>0</v>
      </c>
      <c r="R58" s="2">
        <f>P58-R51</f>
        <v>-3366.5189545424928</v>
      </c>
      <c r="S58" s="2">
        <f>R58-S51</f>
        <v>-6733.0379090849856</v>
      </c>
      <c r="T58" s="2">
        <f t="shared" si="79"/>
        <v>-10099.556863627478</v>
      </c>
      <c r="U58" s="2">
        <f t="shared" si="79"/>
        <v>-13466.075818169971</v>
      </c>
      <c r="V58" s="2">
        <f t="shared" si="79"/>
        <v>-16832.594772712466</v>
      </c>
      <c r="W58" s="2">
        <f t="shared" si="79"/>
        <v>-20199.11372725496</v>
      </c>
      <c r="X58" s="2">
        <f t="shared" si="79"/>
        <v>-23565.632681797455</v>
      </c>
      <c r="Y58" s="2">
        <f t="shared" si="79"/>
        <v>-26932.15163633995</v>
      </c>
      <c r="Z58" s="129">
        <f t="shared" si="79"/>
        <v>-30298.670590882444</v>
      </c>
      <c r="AA58" s="2">
        <f t="shared" si="79"/>
        <v>-33665.189545424939</v>
      </c>
      <c r="AB58" s="2">
        <f t="shared" si="79"/>
        <v>-37031.708499967433</v>
      </c>
      <c r="AC58" s="2">
        <f t="shared" si="79"/>
        <v>-40398.227454509928</v>
      </c>
      <c r="AD58" s="2">
        <f t="shared" si="79"/>
        <v>-47129.245856123685</v>
      </c>
      <c r="AE58" s="2">
        <f t="shared" si="79"/>
        <v>-53860.264257737443</v>
      </c>
      <c r="AF58" s="2">
        <f t="shared" si="79"/>
        <v>-60591.2826593512</v>
      </c>
      <c r="AG58" s="2">
        <f t="shared" si="79"/>
        <v>-67322.30106096495</v>
      </c>
      <c r="AH58" s="2">
        <f t="shared" si="79"/>
        <v>-74053.3194625787</v>
      </c>
      <c r="AI58" s="2">
        <f t="shared" si="79"/>
        <v>-80784.33786419245</v>
      </c>
      <c r="AJ58" s="2">
        <f t="shared" si="79"/>
        <v>-87515.3562658062</v>
      </c>
      <c r="AK58" s="2">
        <f t="shared" si="79"/>
        <v>-94246.37466741995</v>
      </c>
      <c r="AL58" s="2">
        <f t="shared" si="79"/>
        <v>-100977.3930690337</v>
      </c>
    </row>
    <row r="59" spans="1:38">
      <c r="E59" s="2"/>
      <c r="F59" s="2">
        <f>(E46+((F52)/2))*$D$7/12</f>
        <v>0</v>
      </c>
      <c r="G59" s="2">
        <f t="shared" ref="G59:L59" si="80">(F46+((G52)/2))*$D$7/12</f>
        <v>0</v>
      </c>
      <c r="H59" s="2">
        <f t="shared" si="80"/>
        <v>0</v>
      </c>
      <c r="I59" s="2">
        <f t="shared" si="80"/>
        <v>0</v>
      </c>
      <c r="J59" s="2">
        <f t="shared" si="80"/>
        <v>0</v>
      </c>
      <c r="K59" s="2">
        <f t="shared" si="80"/>
        <v>0</v>
      </c>
      <c r="L59" s="2">
        <f t="shared" si="80"/>
        <v>0</v>
      </c>
      <c r="M59" s="2">
        <f>(L46+((M52)/2))*$D$7/12</f>
        <v>0</v>
      </c>
      <c r="N59" s="2">
        <f>(M46+((N52)/2))*$D$7/12</f>
        <v>0</v>
      </c>
      <c r="O59" s="2">
        <f>(N46+((O52)/2))*$D$7/12</f>
        <v>0</v>
      </c>
      <c r="P59" s="2">
        <f>(O46+((P52)/2))*$D$7/12</f>
        <v>0</v>
      </c>
      <c r="Q59" s="10">
        <f t="shared" si="78"/>
        <v>0</v>
      </c>
      <c r="R59" s="2"/>
      <c r="T59" s="2"/>
      <c r="U59" s="2"/>
      <c r="V59" s="2"/>
      <c r="W59" s="2"/>
      <c r="X59" s="2"/>
      <c r="Y59" s="2"/>
      <c r="Z59" s="129"/>
      <c r="AA59" s="2"/>
      <c r="AB59" s="2"/>
      <c r="AC59" s="2"/>
      <c r="AD59" s="2">
        <f>P20*D59</f>
        <v>0</v>
      </c>
      <c r="AE59" s="2">
        <f t="shared" ref="AE59:AL59" si="81">(AD46+((AE52)/2))*$D$7/12</f>
        <v>0</v>
      </c>
      <c r="AF59" s="2">
        <f t="shared" si="81"/>
        <v>0</v>
      </c>
      <c r="AG59" s="2">
        <f t="shared" si="81"/>
        <v>0</v>
      </c>
      <c r="AH59" s="2">
        <f t="shared" si="81"/>
        <v>0</v>
      </c>
      <c r="AI59" s="2">
        <f t="shared" si="81"/>
        <v>0</v>
      </c>
      <c r="AJ59" s="2">
        <f t="shared" si="81"/>
        <v>0</v>
      </c>
      <c r="AK59" s="2">
        <f t="shared" si="81"/>
        <v>0</v>
      </c>
      <c r="AL59" s="2">
        <f t="shared" si="81"/>
        <v>0</v>
      </c>
    </row>
    <row r="60" spans="1:38" ht="13.45" thickBot="1">
      <c r="B60" t="s">
        <v>2</v>
      </c>
      <c r="E60" s="5">
        <f t="shared" ref="E60" si="82">SUM(E56:E59)</f>
        <v>-4920.0693985625003</v>
      </c>
      <c r="F60" s="5">
        <f t="shared" ref="F60:AL60" si="83">SUM(F56:F59)</f>
        <v>-9840.1387971250006</v>
      </c>
      <c r="G60" s="5">
        <f t="shared" si="83"/>
        <v>-14760.208195687501</v>
      </c>
      <c r="H60" s="5">
        <f t="shared" si="83"/>
        <v>-19680.277594250001</v>
      </c>
      <c r="I60" s="5">
        <f t="shared" si="83"/>
        <v>-24600.346992812501</v>
      </c>
      <c r="J60" s="5">
        <f t="shared" si="83"/>
        <v>-29520.416391375002</v>
      </c>
      <c r="K60" s="5">
        <f t="shared" si="83"/>
        <v>-34440.485789937498</v>
      </c>
      <c r="L60" s="5">
        <f t="shared" si="83"/>
        <v>-39360.555188500002</v>
      </c>
      <c r="M60" s="5">
        <f t="shared" si="83"/>
        <v>-44280.624587062499</v>
      </c>
      <c r="N60" s="5">
        <f t="shared" si="83"/>
        <v>-49200.693985625003</v>
      </c>
      <c r="O60" s="5">
        <f t="shared" si="83"/>
        <v>-54120.763384187499</v>
      </c>
      <c r="P60" s="5">
        <f t="shared" si="83"/>
        <v>-59040.832782750003</v>
      </c>
      <c r="Q60" s="11">
        <f>SUM(Q56:Q59)</f>
        <v>-383765.41308787506</v>
      </c>
      <c r="R60" s="5">
        <f t="shared" si="83"/>
        <v>-103158.46370858001</v>
      </c>
      <c r="S60" s="5">
        <f t="shared" si="83"/>
        <v>-147276.09463440999</v>
      </c>
      <c r="T60" s="5">
        <f t="shared" si="83"/>
        <v>-191393.72556024001</v>
      </c>
      <c r="U60" s="5">
        <f t="shared" si="83"/>
        <v>-235511.35648607</v>
      </c>
      <c r="V60" s="5">
        <f t="shared" si="83"/>
        <v>-279628.98741189996</v>
      </c>
      <c r="W60" s="5">
        <f t="shared" si="83"/>
        <v>-323746.61833773</v>
      </c>
      <c r="X60" s="5">
        <f t="shared" si="83"/>
        <v>-367864.24926355999</v>
      </c>
      <c r="Y60" s="5">
        <f t="shared" si="83"/>
        <v>-411981.88018939004</v>
      </c>
      <c r="Z60" s="128">
        <f t="shared" si="83"/>
        <v>-456099.51111521997</v>
      </c>
      <c r="AA60" s="5">
        <f t="shared" si="83"/>
        <v>-500217.14204105001</v>
      </c>
      <c r="AB60" s="5">
        <f t="shared" si="83"/>
        <v>-544334.77296688</v>
      </c>
      <c r="AC60" s="5">
        <f t="shared" si="83"/>
        <v>-588452.40389270999</v>
      </c>
      <c r="AD60" s="5">
        <f t="shared" si="83"/>
        <v>-664159.18214157666</v>
      </c>
      <c r="AE60" s="5">
        <f t="shared" si="83"/>
        <v>-739865.96039044345</v>
      </c>
      <c r="AF60" s="5">
        <f t="shared" si="83"/>
        <v>-815572.73863931012</v>
      </c>
      <c r="AG60" s="5">
        <f t="shared" si="83"/>
        <v>-891279.51688817679</v>
      </c>
      <c r="AH60" s="5">
        <f t="shared" si="83"/>
        <v>-966986.29513704358</v>
      </c>
      <c r="AI60" s="5">
        <f t="shared" si="83"/>
        <v>-1042693.0733859102</v>
      </c>
      <c r="AJ60" s="5">
        <f t="shared" si="83"/>
        <v>-1118399.8516347769</v>
      </c>
      <c r="AK60" s="5">
        <f t="shared" si="83"/>
        <v>-1194106.6298836437</v>
      </c>
      <c r="AL60" s="5">
        <f t="shared" si="83"/>
        <v>-1269813.4081325105</v>
      </c>
    </row>
    <row r="63" spans="1:38">
      <c r="A63" s="1" t="s">
        <v>25</v>
      </c>
      <c r="B63" t="s">
        <v>1</v>
      </c>
      <c r="C63" t="s">
        <v>18</v>
      </c>
      <c r="D63" s="16"/>
      <c r="E63" s="2">
        <f t="shared" ref="E63:P63" si="84">E56-E24</f>
        <v>-4766.5541562500002</v>
      </c>
      <c r="F63" s="2">
        <f t="shared" si="84"/>
        <v>-9533.1083125000005</v>
      </c>
      <c r="G63" s="2">
        <f t="shared" si="84"/>
        <v>-14299.662468750001</v>
      </c>
      <c r="H63" s="2">
        <f t="shared" si="84"/>
        <v>-19066.216625000001</v>
      </c>
      <c r="I63" s="2">
        <f t="shared" si="84"/>
        <v>-23832.770781250001</v>
      </c>
      <c r="J63" s="2">
        <f t="shared" si="84"/>
        <v>-28599.324937500001</v>
      </c>
      <c r="K63" s="2">
        <f t="shared" si="84"/>
        <v>-33358.116707708337</v>
      </c>
      <c r="L63" s="2">
        <f t="shared" si="84"/>
        <v>-38072.543030625005</v>
      </c>
      <c r="M63" s="2">
        <f t="shared" si="84"/>
        <v>-42722.469336666669</v>
      </c>
      <c r="N63" s="2">
        <f t="shared" si="84"/>
        <v>-47237.570427708335</v>
      </c>
      <c r="O63" s="2">
        <f t="shared" si="84"/>
        <v>-51449.618819791671</v>
      </c>
      <c r="P63" s="2">
        <f t="shared" si="84"/>
        <v>-54283.783516458338</v>
      </c>
      <c r="Q63" s="10">
        <f t="shared" ref="Q63:Q66" si="85">SUM(E63:P63)</f>
        <v>-367221.73912020837</v>
      </c>
      <c r="R63" s="2">
        <f t="shared" ref="R63:AL63" si="86">R56-R24</f>
        <v>-83106.969503508182</v>
      </c>
      <c r="S63" s="2">
        <f>S56-S24</f>
        <v>-110651.9643174353</v>
      </c>
      <c r="T63" s="2">
        <f t="shared" si="86"/>
        <v>-136918.25243743384</v>
      </c>
      <c r="U63" s="2">
        <f t="shared" si="86"/>
        <v>-161905.83386350377</v>
      </c>
      <c r="V63" s="2">
        <f t="shared" si="86"/>
        <v>-185614.71000651442</v>
      </c>
      <c r="W63" s="2">
        <f t="shared" si="86"/>
        <v>-208044.88086646577</v>
      </c>
      <c r="X63" s="2">
        <f t="shared" si="86"/>
        <v>-229196.34503248855</v>
      </c>
      <c r="Y63" s="2">
        <f t="shared" si="86"/>
        <v>-249069.10250458273</v>
      </c>
      <c r="Z63" s="129">
        <f t="shared" si="86"/>
        <v>-267663.1532827483</v>
      </c>
      <c r="AA63" s="2">
        <f t="shared" si="86"/>
        <v>-284978.49736698531</v>
      </c>
      <c r="AB63" s="2">
        <f t="shared" si="86"/>
        <v>-301015.13616816304</v>
      </c>
      <c r="AC63" s="2">
        <f t="shared" si="86"/>
        <v>-315773.05845711537</v>
      </c>
      <c r="AD63" s="2">
        <f t="shared" si="86"/>
        <v>-351012.4447643843</v>
      </c>
      <c r="AE63" s="2">
        <f t="shared" si="86"/>
        <v>-386251.83107165329</v>
      </c>
      <c r="AF63" s="2">
        <f t="shared" si="86"/>
        <v>-421491.21737892227</v>
      </c>
      <c r="AG63" s="2">
        <f t="shared" si="86"/>
        <v>-456730.6036861912</v>
      </c>
      <c r="AH63" s="2">
        <f t="shared" si="86"/>
        <v>-491969.98999346013</v>
      </c>
      <c r="AI63" s="2">
        <f t="shared" si="86"/>
        <v>-527209.37630072911</v>
      </c>
      <c r="AJ63" s="2">
        <f t="shared" si="86"/>
        <v>-562448.7626079981</v>
      </c>
      <c r="AK63" s="2">
        <f t="shared" si="86"/>
        <v>-597688.14891526708</v>
      </c>
      <c r="AL63" s="2">
        <f t="shared" si="86"/>
        <v>-632927.53522253607</v>
      </c>
    </row>
    <row r="64" spans="1:38">
      <c r="C64" t="s">
        <v>14</v>
      </c>
      <c r="D64" s="16"/>
      <c r="E64" s="2">
        <f t="shared" ref="E64:P64" si="87">E57-E25</f>
        <v>-153.51524231249996</v>
      </c>
      <c r="F64" s="2">
        <f t="shared" si="87"/>
        <v>-307.03048462499993</v>
      </c>
      <c r="G64" s="2">
        <f t="shared" si="87"/>
        <v>-460.54572693749992</v>
      </c>
      <c r="H64" s="2">
        <f t="shared" si="87"/>
        <v>-614.06096924999986</v>
      </c>
      <c r="I64" s="2">
        <f t="shared" si="87"/>
        <v>-767.57621156249979</v>
      </c>
      <c r="J64" s="2">
        <f t="shared" si="87"/>
        <v>-918.62634919969969</v>
      </c>
      <c r="K64" s="2">
        <f t="shared" si="87"/>
        <v>-1066.3091092170996</v>
      </c>
      <c r="L64" s="2">
        <f t="shared" si="87"/>
        <v>-1207.4767593833997</v>
      </c>
      <c r="M64" s="2">
        <f t="shared" si="87"/>
        <v>-1334.4128926795997</v>
      </c>
      <c r="N64" s="2">
        <f t="shared" si="87"/>
        <v>-1435.4657621140998</v>
      </c>
      <c r="O64" s="2">
        <f t="shared" si="87"/>
        <v>-1510.2043984755999</v>
      </c>
      <c r="P64" s="2">
        <f t="shared" si="87"/>
        <v>-1577.6409933366999</v>
      </c>
      <c r="Q64" s="10">
        <f t="shared" si="85"/>
        <v>-11352.864899093696</v>
      </c>
      <c r="R64" s="2">
        <f t="shared" ref="R64:AL64" si="88">R57-R25</f>
        <v>-9583.5903113607492</v>
      </c>
      <c r="S64" s="2">
        <f>S57-S25</f>
        <v>-17589.539629384795</v>
      </c>
      <c r="T64" s="2">
        <f t="shared" si="88"/>
        <v>-25595.488947408845</v>
      </c>
      <c r="U64" s="2">
        <f t="shared" si="88"/>
        <v>-33566.225111382068</v>
      </c>
      <c r="V64" s="2">
        <f t="shared" si="88"/>
        <v>-41466.534967253632</v>
      </c>
      <c r="W64" s="2">
        <f t="shared" si="88"/>
        <v>-49296.418515023543</v>
      </c>
      <c r="X64" s="2">
        <f t="shared" si="88"/>
        <v>-55365.645226494918</v>
      </c>
      <c r="Y64" s="2">
        <f t="shared" si="88"/>
        <v>-59674.21510166776</v>
      </c>
      <c r="Z64" s="129">
        <f t="shared" si="88"/>
        <v>-63912.358668738947</v>
      </c>
      <c r="AA64" s="2">
        <f t="shared" si="88"/>
        <v>-68080.075927708487</v>
      </c>
      <c r="AB64" s="2">
        <f t="shared" si="88"/>
        <v>-72008.343737723859</v>
      </c>
      <c r="AC64" s="2">
        <f t="shared" si="88"/>
        <v>-75732.375252835918</v>
      </c>
      <c r="AD64" s="2">
        <f t="shared" si="88"/>
        <v>-86644.885134327866</v>
      </c>
      <c r="AE64" s="2">
        <f t="shared" si="88"/>
        <v>-97557.395015819813</v>
      </c>
      <c r="AF64" s="2">
        <f t="shared" si="88"/>
        <v>-108469.90489731178</v>
      </c>
      <c r="AG64" s="2">
        <f t="shared" si="88"/>
        <v>-119382.41477880374</v>
      </c>
      <c r="AH64" s="2">
        <f t="shared" si="88"/>
        <v>-130294.92466029568</v>
      </c>
      <c r="AI64" s="2">
        <f t="shared" si="88"/>
        <v>-141207.43454178763</v>
      </c>
      <c r="AJ64" s="2">
        <f t="shared" si="88"/>
        <v>-152119.94442327961</v>
      </c>
      <c r="AK64" s="2">
        <f t="shared" si="88"/>
        <v>-163032.45430477156</v>
      </c>
      <c r="AL64" s="2">
        <f t="shared" si="88"/>
        <v>-173944.9641862635</v>
      </c>
    </row>
    <row r="65" spans="1:39">
      <c r="C65" t="s">
        <v>20</v>
      </c>
      <c r="D65" s="16"/>
      <c r="E65" s="2">
        <f>E58-E26</f>
        <v>0</v>
      </c>
      <c r="F65" s="2">
        <f t="shared" ref="F65:P65" si="89">F58-F26</f>
        <v>0</v>
      </c>
      <c r="G65" s="2">
        <f t="shared" si="89"/>
        <v>0</v>
      </c>
      <c r="H65" s="2">
        <f t="shared" si="89"/>
        <v>0</v>
      </c>
      <c r="I65" s="2">
        <f t="shared" si="89"/>
        <v>0</v>
      </c>
      <c r="J65" s="2">
        <f t="shared" si="89"/>
        <v>0</v>
      </c>
      <c r="K65" s="2">
        <f t="shared" si="89"/>
        <v>0</v>
      </c>
      <c r="L65" s="2">
        <f t="shared" si="89"/>
        <v>0</v>
      </c>
      <c r="M65" s="2">
        <f t="shared" si="89"/>
        <v>0</v>
      </c>
      <c r="N65" s="2">
        <f t="shared" si="89"/>
        <v>0</v>
      </c>
      <c r="O65" s="2">
        <f t="shared" si="89"/>
        <v>0</v>
      </c>
      <c r="P65" s="2">
        <f t="shared" si="89"/>
        <v>0</v>
      </c>
      <c r="Q65" s="10">
        <f>SUM(E65:P65)</f>
        <v>0</v>
      </c>
      <c r="R65" s="2">
        <f>R58-R26</f>
        <v>-3365.3153848827706</v>
      </c>
      <c r="S65" s="2">
        <f>S58-S26</f>
        <v>-6728.2236304460966</v>
      </c>
      <c r="T65" s="2">
        <f t="shared" ref="T65:AL65" si="90">T58-T26</f>
        <v>-10088.724736689979</v>
      </c>
      <c r="U65" s="2">
        <f t="shared" si="90"/>
        <v>-13446.818703614415</v>
      </c>
      <c r="V65" s="2">
        <f t="shared" si="90"/>
        <v>-14797.440895904827</v>
      </c>
      <c r="W65" s="2">
        <f t="shared" si="90"/>
        <v>-14140.59131356121</v>
      </c>
      <c r="X65" s="2">
        <f t="shared" si="90"/>
        <v>-13481.334591898149</v>
      </c>
      <c r="Y65" s="2">
        <f t="shared" si="90"/>
        <v>-12819.670730915643</v>
      </c>
      <c r="Z65" s="129">
        <f t="shared" si="90"/>
        <v>-12155.599730613692</v>
      </c>
      <c r="AA65" s="2">
        <f t="shared" si="90"/>
        <v>-11489.121590992298</v>
      </c>
      <c r="AB65" s="2">
        <f t="shared" si="90"/>
        <v>-10820.23631205146</v>
      </c>
      <c r="AC65" s="2">
        <f t="shared" si="90"/>
        <v>-10148.943893791176</v>
      </c>
      <c r="AD65" s="2">
        <f t="shared" si="90"/>
        <v>-12840.947352942436</v>
      </c>
      <c r="AE65" s="2">
        <f t="shared" si="90"/>
        <v>-15532.950812093695</v>
      </c>
      <c r="AF65" s="2">
        <f t="shared" si="90"/>
        <v>-18224.954271244955</v>
      </c>
      <c r="AG65" s="2">
        <f t="shared" si="90"/>
        <v>-20916.957730396207</v>
      </c>
      <c r="AH65" s="2">
        <f t="shared" si="90"/>
        <v>-23608.961189547459</v>
      </c>
      <c r="AI65" s="2">
        <f t="shared" si="90"/>
        <v>-26300.964648698711</v>
      </c>
      <c r="AJ65" s="2">
        <f t="shared" si="90"/>
        <v>-28992.968107849963</v>
      </c>
      <c r="AK65" s="2">
        <f t="shared" si="90"/>
        <v>-31684.971567001216</v>
      </c>
      <c r="AL65" s="2">
        <f t="shared" si="90"/>
        <v>-34376.97502615246</v>
      </c>
    </row>
    <row r="66" spans="1:39">
      <c r="E66" s="2"/>
      <c r="F66" s="2">
        <f>(E53+((F59)/2))*$D$7/12</f>
        <v>0</v>
      </c>
      <c r="G66" s="2">
        <f t="shared" ref="G66:L66" si="91">(F53+((G59)/2))*$D$7/12</f>
        <v>0</v>
      </c>
      <c r="H66" s="2">
        <f t="shared" si="91"/>
        <v>0</v>
      </c>
      <c r="I66" s="2">
        <f t="shared" si="91"/>
        <v>0</v>
      </c>
      <c r="J66" s="2">
        <f t="shared" si="91"/>
        <v>0</v>
      </c>
      <c r="K66" s="2">
        <f t="shared" si="91"/>
        <v>0</v>
      </c>
      <c r="L66" s="2">
        <f t="shared" si="91"/>
        <v>0</v>
      </c>
      <c r="M66" s="2">
        <f>(L53+((M59)/2))*$D$7/12</f>
        <v>0</v>
      </c>
      <c r="N66" s="2">
        <f>(M53+((N59)/2))*$D$7/12</f>
        <v>0</v>
      </c>
      <c r="O66" s="2">
        <f>(N53+((O59)/2))*$D$7/12</f>
        <v>0</v>
      </c>
      <c r="P66" s="2">
        <f>(O53+((P59)/2))*$D$7/12</f>
        <v>0</v>
      </c>
      <c r="Q66" s="10">
        <f t="shared" si="85"/>
        <v>0</v>
      </c>
      <c r="R66" s="2"/>
      <c r="T66" s="2"/>
      <c r="U66" s="2"/>
      <c r="V66" s="2"/>
      <c r="W66" s="2"/>
      <c r="X66" s="2"/>
      <c r="Y66" s="2"/>
      <c r="Z66" s="129"/>
      <c r="AA66" s="2"/>
      <c r="AB66" s="2"/>
      <c r="AC66" s="2"/>
      <c r="AD66" s="2">
        <f t="shared" ref="AD66" si="92">P27*D66</f>
        <v>0</v>
      </c>
      <c r="AE66" s="2">
        <f t="shared" ref="AE66:AL66" si="93">(AD53+((AE59)/2))*$D$7/12</f>
        <v>0</v>
      </c>
      <c r="AF66" s="2">
        <f t="shared" si="93"/>
        <v>0</v>
      </c>
      <c r="AG66" s="2">
        <f t="shared" si="93"/>
        <v>0</v>
      </c>
      <c r="AH66" s="2">
        <f t="shared" si="93"/>
        <v>0</v>
      </c>
      <c r="AI66" s="2">
        <f t="shared" si="93"/>
        <v>0</v>
      </c>
      <c r="AJ66" s="2">
        <f t="shared" si="93"/>
        <v>0</v>
      </c>
      <c r="AK66" s="2">
        <f t="shared" si="93"/>
        <v>0</v>
      </c>
      <c r="AL66" s="2">
        <f t="shared" si="93"/>
        <v>0</v>
      </c>
    </row>
    <row r="67" spans="1:39" ht="13.45" thickBot="1">
      <c r="B67" t="s">
        <v>2</v>
      </c>
      <c r="E67" s="5">
        <f t="shared" ref="E67" si="94">SUM(E63:E66)</f>
        <v>-4920.0693985625003</v>
      </c>
      <c r="F67" s="5">
        <f t="shared" ref="F67:AL67" si="95">SUM(F63:F66)</f>
        <v>-9840.1387971250006</v>
      </c>
      <c r="G67" s="5">
        <f t="shared" si="95"/>
        <v>-14760.208195687501</v>
      </c>
      <c r="H67" s="5">
        <f t="shared" si="95"/>
        <v>-19680.277594250001</v>
      </c>
      <c r="I67" s="5">
        <f t="shared" si="95"/>
        <v>-24600.346992812501</v>
      </c>
      <c r="J67" s="5">
        <f t="shared" si="95"/>
        <v>-29517.951286699703</v>
      </c>
      <c r="K67" s="5">
        <f t="shared" si="95"/>
        <v>-34424.425816925439</v>
      </c>
      <c r="L67" s="5">
        <f t="shared" si="95"/>
        <v>-39280.019790008402</v>
      </c>
      <c r="M67" s="5">
        <f t="shared" si="95"/>
        <v>-44056.882229346265</v>
      </c>
      <c r="N67" s="5">
        <f t="shared" si="95"/>
        <v>-48673.036189822436</v>
      </c>
      <c r="O67" s="5">
        <f t="shared" si="95"/>
        <v>-52959.823218267273</v>
      </c>
      <c r="P67" s="5">
        <f t="shared" si="95"/>
        <v>-55861.424509795041</v>
      </c>
      <c r="Q67" s="11">
        <f>SUM(Q63:Q66)</f>
        <v>-378574.60401930206</v>
      </c>
      <c r="R67" s="5">
        <f t="shared" si="95"/>
        <v>-96055.875199751696</v>
      </c>
      <c r="S67" s="5">
        <f t="shared" si="95"/>
        <v>-134969.7275772662</v>
      </c>
      <c r="T67" s="5">
        <f t="shared" si="95"/>
        <v>-172602.46612153266</v>
      </c>
      <c r="U67" s="5">
        <f t="shared" si="95"/>
        <v>-208918.87767850026</v>
      </c>
      <c r="V67" s="5">
        <f t="shared" si="95"/>
        <v>-241878.68586967286</v>
      </c>
      <c r="W67" s="5">
        <f t="shared" si="95"/>
        <v>-271481.89069505053</v>
      </c>
      <c r="X67" s="5">
        <f t="shared" si="95"/>
        <v>-298043.32485088159</v>
      </c>
      <c r="Y67" s="5">
        <f t="shared" si="95"/>
        <v>-321562.98833716608</v>
      </c>
      <c r="Z67" s="128">
        <f t="shared" si="95"/>
        <v>-343731.11168210098</v>
      </c>
      <c r="AA67" s="5">
        <f t="shared" si="95"/>
        <v>-364547.6948856861</v>
      </c>
      <c r="AB67" s="5">
        <f t="shared" si="95"/>
        <v>-383843.7162179384</v>
      </c>
      <c r="AC67" s="5">
        <f t="shared" si="95"/>
        <v>-401654.37760374247</v>
      </c>
      <c r="AD67" s="5">
        <f t="shared" si="95"/>
        <v>-450498.2772516546</v>
      </c>
      <c r="AE67" s="5">
        <f t="shared" si="95"/>
        <v>-499342.17689956678</v>
      </c>
      <c r="AF67" s="5">
        <f t="shared" si="95"/>
        <v>-548186.07654747902</v>
      </c>
      <c r="AG67" s="5">
        <f t="shared" si="95"/>
        <v>-597029.97619539115</v>
      </c>
      <c r="AH67" s="5">
        <f t="shared" si="95"/>
        <v>-645873.87584330328</v>
      </c>
      <c r="AI67" s="5">
        <f t="shared" si="95"/>
        <v>-694717.77549121541</v>
      </c>
      <c r="AJ67" s="5">
        <f t="shared" si="95"/>
        <v>-743561.67513912765</v>
      </c>
      <c r="AK67" s="5">
        <f t="shared" si="95"/>
        <v>-792405.57478703978</v>
      </c>
      <c r="AL67" s="5">
        <f t="shared" si="95"/>
        <v>-841249.47443495202</v>
      </c>
    </row>
    <row r="69" spans="1:39">
      <c r="A69" s="1" t="s">
        <v>11</v>
      </c>
      <c r="B69" t="s">
        <v>1</v>
      </c>
      <c r="C69" t="s">
        <v>18</v>
      </c>
      <c r="D69" s="16"/>
      <c r="E69" s="2">
        <f>E63*0.21</f>
        <v>-1000.9763728125</v>
      </c>
      <c r="F69" s="2">
        <f t="shared" ref="F69:P69" si="96">F63*0.21</f>
        <v>-2001.952745625</v>
      </c>
      <c r="G69" s="2">
        <f t="shared" si="96"/>
        <v>-3002.9291184375002</v>
      </c>
      <c r="H69" s="2">
        <f t="shared" si="96"/>
        <v>-4003.9054912500001</v>
      </c>
      <c r="I69" s="2">
        <f t="shared" si="96"/>
        <v>-5004.8818640625004</v>
      </c>
      <c r="J69" s="2">
        <f t="shared" si="96"/>
        <v>-6005.8582368750003</v>
      </c>
      <c r="K69" s="2">
        <f t="shared" si="96"/>
        <v>-7005.2045086187509</v>
      </c>
      <c r="L69" s="2">
        <f t="shared" si="96"/>
        <v>-7995.2340364312513</v>
      </c>
      <c r="M69" s="2">
        <f t="shared" si="96"/>
        <v>-8971.7185606999992</v>
      </c>
      <c r="N69" s="2">
        <f t="shared" si="96"/>
        <v>-9919.8897898187497</v>
      </c>
      <c r="O69" s="2">
        <f t="shared" si="96"/>
        <v>-10804.419952156251</v>
      </c>
      <c r="P69" s="2">
        <f t="shared" si="96"/>
        <v>-11399.594538456251</v>
      </c>
      <c r="Q69" s="10">
        <f t="shared" ref="Q69:Q72" si="97">SUM(E69:P69)</f>
        <v>-77116.565215243754</v>
      </c>
      <c r="R69" s="2">
        <f>R63*0.21</f>
        <v>-17452.463595736717</v>
      </c>
      <c r="S69" s="2">
        <f t="shared" ref="S69:AL71" si="98">S63*0.21</f>
        <v>-23236.912506661411</v>
      </c>
      <c r="T69" s="2">
        <f t="shared" si="98"/>
        <v>-28752.833011861105</v>
      </c>
      <c r="U69" s="2">
        <f t="shared" si="98"/>
        <v>-34000.225111335792</v>
      </c>
      <c r="V69" s="2">
        <f t="shared" si="98"/>
        <v>-38979.089101368023</v>
      </c>
      <c r="W69" s="2">
        <f t="shared" si="98"/>
        <v>-43689.424981957811</v>
      </c>
      <c r="X69" s="2">
        <f t="shared" si="98"/>
        <v>-48131.232456822596</v>
      </c>
      <c r="Y69" s="2">
        <f t="shared" si="98"/>
        <v>-52304.511525962371</v>
      </c>
      <c r="Z69" s="129">
        <f t="shared" si="98"/>
        <v>-56209.262189377143</v>
      </c>
      <c r="AA69" s="2">
        <f t="shared" si="98"/>
        <v>-59845.484447066912</v>
      </c>
      <c r="AB69" s="2">
        <f t="shared" si="98"/>
        <v>-63213.178595314239</v>
      </c>
      <c r="AC69" s="2">
        <f t="shared" si="98"/>
        <v>-66312.342275994233</v>
      </c>
      <c r="AD69" s="2">
        <f t="shared" si="98"/>
        <v>-73712.613400520699</v>
      </c>
      <c r="AE69" s="2">
        <f t="shared" si="98"/>
        <v>-81112.884525047193</v>
      </c>
      <c r="AF69" s="2">
        <f t="shared" si="98"/>
        <v>-88513.155649573673</v>
      </c>
      <c r="AG69" s="2">
        <f t="shared" si="98"/>
        <v>-95913.426774100153</v>
      </c>
      <c r="AH69" s="2">
        <f t="shared" si="98"/>
        <v>-103313.69789862662</v>
      </c>
      <c r="AI69" s="2">
        <f t="shared" si="98"/>
        <v>-110713.96902315311</v>
      </c>
      <c r="AJ69" s="2">
        <f t="shared" si="98"/>
        <v>-118114.24014767959</v>
      </c>
      <c r="AK69" s="2">
        <f t="shared" si="98"/>
        <v>-125514.51127220609</v>
      </c>
      <c r="AL69" s="2">
        <f t="shared" si="98"/>
        <v>-132914.78239673257</v>
      </c>
    </row>
    <row r="70" spans="1:39">
      <c r="C70" t="s">
        <v>14</v>
      </c>
      <c r="D70" s="16"/>
      <c r="E70" s="2">
        <f t="shared" ref="E70:P71" si="99">E64*0.21</f>
        <v>-32.238200885624991</v>
      </c>
      <c r="F70" s="2">
        <f t="shared" si="99"/>
        <v>-64.476401771249982</v>
      </c>
      <c r="G70" s="2">
        <f t="shared" si="99"/>
        <v>-96.714602656874973</v>
      </c>
      <c r="H70" s="2">
        <f t="shared" si="99"/>
        <v>-128.95280354249996</v>
      </c>
      <c r="I70" s="2">
        <f t="shared" si="99"/>
        <v>-161.19100442812496</v>
      </c>
      <c r="J70" s="2">
        <f t="shared" si="99"/>
        <v>-192.91153333193694</v>
      </c>
      <c r="K70" s="2">
        <f t="shared" si="99"/>
        <v>-223.9249129355909</v>
      </c>
      <c r="L70" s="2">
        <f t="shared" si="99"/>
        <v>-253.57011947051393</v>
      </c>
      <c r="M70" s="2">
        <f t="shared" si="99"/>
        <v>-280.22670746271592</v>
      </c>
      <c r="N70" s="2">
        <f t="shared" si="99"/>
        <v>-301.44781004396094</v>
      </c>
      <c r="O70" s="2">
        <f t="shared" si="99"/>
        <v>-317.14292367987593</v>
      </c>
      <c r="P70" s="2">
        <f t="shared" si="99"/>
        <v>-331.30460860070696</v>
      </c>
      <c r="Q70" s="10">
        <f t="shared" si="97"/>
        <v>-2384.1016288096766</v>
      </c>
      <c r="R70" s="2">
        <f t="shared" ref="R70:AG71" si="100">R64*0.21</f>
        <v>-2012.5539653857572</v>
      </c>
      <c r="S70" s="2">
        <f t="shared" si="100"/>
        <v>-3693.803322170807</v>
      </c>
      <c r="T70" s="2">
        <f t="shared" si="100"/>
        <v>-5375.0526789558571</v>
      </c>
      <c r="U70" s="2">
        <f t="shared" si="100"/>
        <v>-7048.907273390234</v>
      </c>
      <c r="V70" s="2">
        <f t="shared" si="100"/>
        <v>-8707.9723431232633</v>
      </c>
      <c r="W70" s="2">
        <f t="shared" si="100"/>
        <v>-10352.247888154943</v>
      </c>
      <c r="X70" s="2">
        <f t="shared" si="100"/>
        <v>-11626.785497563933</v>
      </c>
      <c r="Y70" s="2">
        <f t="shared" si="100"/>
        <v>-12531.585171350229</v>
      </c>
      <c r="Z70" s="129">
        <f t="shared" si="100"/>
        <v>-13421.595320435179</v>
      </c>
      <c r="AA70" s="2">
        <f t="shared" si="100"/>
        <v>-14296.815944818782</v>
      </c>
      <c r="AB70" s="2">
        <f t="shared" si="100"/>
        <v>-15121.75218492201</v>
      </c>
      <c r="AC70" s="2">
        <f t="shared" si="100"/>
        <v>-15903.798803095542</v>
      </c>
      <c r="AD70" s="2">
        <f t="shared" si="100"/>
        <v>-18195.425878208851</v>
      </c>
      <c r="AE70" s="2">
        <f t="shared" si="100"/>
        <v>-20487.05295332216</v>
      </c>
      <c r="AF70" s="2">
        <f t="shared" si="100"/>
        <v>-22778.680028435472</v>
      </c>
      <c r="AG70" s="2">
        <f t="shared" si="100"/>
        <v>-25070.307103548785</v>
      </c>
      <c r="AH70" s="2">
        <f t="shared" si="98"/>
        <v>-27361.934178662093</v>
      </c>
      <c r="AI70" s="2">
        <f t="shared" si="98"/>
        <v>-29653.561253775402</v>
      </c>
      <c r="AJ70" s="2">
        <f t="shared" si="98"/>
        <v>-31945.188328888718</v>
      </c>
      <c r="AK70" s="2">
        <f t="shared" si="98"/>
        <v>-34236.815404002024</v>
      </c>
      <c r="AL70" s="2">
        <f t="shared" si="98"/>
        <v>-36528.442479115336</v>
      </c>
    </row>
    <row r="71" spans="1:39">
      <c r="C71" t="s">
        <v>20</v>
      </c>
      <c r="D71" s="16"/>
      <c r="E71" s="2">
        <f t="shared" si="99"/>
        <v>0</v>
      </c>
      <c r="F71" s="2">
        <f t="shared" si="99"/>
        <v>0</v>
      </c>
      <c r="G71" s="2">
        <f t="shared" si="99"/>
        <v>0</v>
      </c>
      <c r="H71" s="2">
        <f t="shared" si="99"/>
        <v>0</v>
      </c>
      <c r="I71" s="2">
        <f t="shared" si="99"/>
        <v>0</v>
      </c>
      <c r="J71" s="2">
        <f t="shared" si="99"/>
        <v>0</v>
      </c>
      <c r="K71" s="2">
        <f t="shared" si="99"/>
        <v>0</v>
      </c>
      <c r="L71" s="2">
        <f t="shared" si="99"/>
        <v>0</v>
      </c>
      <c r="M71" s="2">
        <f t="shared" si="99"/>
        <v>0</v>
      </c>
      <c r="N71" s="2">
        <f t="shared" si="99"/>
        <v>0</v>
      </c>
      <c r="O71" s="2">
        <f t="shared" si="99"/>
        <v>0</v>
      </c>
      <c r="P71" s="2">
        <f t="shared" si="99"/>
        <v>0</v>
      </c>
      <c r="Q71" s="10">
        <f t="shared" si="97"/>
        <v>0</v>
      </c>
      <c r="R71" s="2">
        <f t="shared" si="100"/>
        <v>-706.71623082538179</v>
      </c>
      <c r="S71" s="2">
        <f t="shared" si="98"/>
        <v>-1412.9269623936802</v>
      </c>
      <c r="T71" s="2">
        <f t="shared" si="98"/>
        <v>-2118.6321947048955</v>
      </c>
      <c r="U71" s="2">
        <f t="shared" si="98"/>
        <v>-2823.8319277590272</v>
      </c>
      <c r="V71" s="2">
        <f t="shared" si="98"/>
        <v>-3107.4625881400134</v>
      </c>
      <c r="W71" s="2">
        <f t="shared" si="98"/>
        <v>-2969.5241758478542</v>
      </c>
      <c r="X71" s="2">
        <f t="shared" si="98"/>
        <v>-2831.0802642986109</v>
      </c>
      <c r="Y71" s="2">
        <f t="shared" si="98"/>
        <v>-2692.130853492285</v>
      </c>
      <c r="Z71" s="129">
        <f t="shared" si="98"/>
        <v>-2552.6759434288751</v>
      </c>
      <c r="AA71" s="2">
        <f t="shared" si="98"/>
        <v>-2412.7155341083826</v>
      </c>
      <c r="AB71" s="2">
        <f t="shared" si="98"/>
        <v>-2272.2496255308065</v>
      </c>
      <c r="AC71" s="2">
        <f t="shared" si="98"/>
        <v>-2131.2782176961468</v>
      </c>
      <c r="AD71" s="2">
        <f t="shared" si="98"/>
        <v>-2696.5989441179113</v>
      </c>
      <c r="AE71" s="2">
        <f t="shared" si="98"/>
        <v>-3261.9196705396757</v>
      </c>
      <c r="AF71" s="2">
        <f t="shared" si="98"/>
        <v>-3827.2403969614402</v>
      </c>
      <c r="AG71" s="2">
        <f t="shared" si="98"/>
        <v>-4392.5611233832033</v>
      </c>
      <c r="AH71" s="2">
        <f t="shared" si="98"/>
        <v>-4957.8818498049659</v>
      </c>
      <c r="AI71" s="2">
        <f t="shared" si="98"/>
        <v>-5523.2025762267294</v>
      </c>
      <c r="AJ71" s="2">
        <f t="shared" si="98"/>
        <v>-6088.5233026484921</v>
      </c>
      <c r="AK71" s="2">
        <f t="shared" si="98"/>
        <v>-6653.8440290702547</v>
      </c>
      <c r="AL71" s="2">
        <f t="shared" si="98"/>
        <v>-7219.1647554920164</v>
      </c>
    </row>
    <row r="72" spans="1:39">
      <c r="E72" s="2"/>
      <c r="F72" s="2">
        <f>(E59+((F65)/2))*$D$7/12</f>
        <v>0</v>
      </c>
      <c r="G72" s="2">
        <f t="shared" ref="G72:L72" si="101">(F59+((G65)/2))*$D$7/12</f>
        <v>0</v>
      </c>
      <c r="H72" s="2">
        <f t="shared" si="101"/>
        <v>0</v>
      </c>
      <c r="I72" s="2">
        <f t="shared" si="101"/>
        <v>0</v>
      </c>
      <c r="J72" s="2">
        <f t="shared" si="101"/>
        <v>0</v>
      </c>
      <c r="K72" s="2">
        <f t="shared" si="101"/>
        <v>0</v>
      </c>
      <c r="L72" s="2">
        <f t="shared" si="101"/>
        <v>0</v>
      </c>
      <c r="M72" s="2">
        <f>(L59+((M65)/2))*$D$7/12</f>
        <v>0</v>
      </c>
      <c r="N72" s="2">
        <f>(M59+((N65)/2))*$D$7/12</f>
        <v>0</v>
      </c>
      <c r="O72" s="2">
        <f>(N59+((O65)/2))*$D$7/12</f>
        <v>0</v>
      </c>
      <c r="P72" s="2">
        <f>(O59+((P65)/2))*$D$7/12</f>
        <v>0</v>
      </c>
      <c r="Q72" s="10">
        <f t="shared" si="97"/>
        <v>0</v>
      </c>
      <c r="R72" s="2"/>
      <c r="T72" s="2"/>
      <c r="U72" s="2"/>
      <c r="V72" s="2"/>
      <c r="W72" s="2"/>
      <c r="X72" s="2"/>
      <c r="Y72" s="2"/>
      <c r="Z72" s="129"/>
      <c r="AA72" s="2"/>
      <c r="AB72" s="2"/>
      <c r="AC72" s="2"/>
      <c r="AD72" s="2">
        <f t="shared" ref="AD72" si="102">P33*D72</f>
        <v>0</v>
      </c>
      <c r="AE72" s="2">
        <f t="shared" ref="AE72:AL72" si="103">(AD59+((AE65)/2))*$D$7/12</f>
        <v>0</v>
      </c>
      <c r="AF72" s="2">
        <f t="shared" si="103"/>
        <v>0</v>
      </c>
      <c r="AG72" s="2">
        <f t="shared" si="103"/>
        <v>0</v>
      </c>
      <c r="AH72" s="2">
        <f t="shared" si="103"/>
        <v>0</v>
      </c>
      <c r="AI72" s="2">
        <f t="shared" si="103"/>
        <v>0</v>
      </c>
      <c r="AJ72" s="2">
        <f t="shared" si="103"/>
        <v>0</v>
      </c>
      <c r="AK72" s="2">
        <f t="shared" si="103"/>
        <v>0</v>
      </c>
      <c r="AL72" s="2">
        <f t="shared" si="103"/>
        <v>0</v>
      </c>
    </row>
    <row r="73" spans="1:39" ht="13.45" thickBot="1">
      <c r="B73" t="s">
        <v>2</v>
      </c>
      <c r="E73" s="5">
        <f t="shared" ref="E73" si="104">SUM(E69:E72)</f>
        <v>-1033.2145736981249</v>
      </c>
      <c r="F73" s="5">
        <f t="shared" ref="F73:AL73" si="105">SUM(F69:F72)</f>
        <v>-2066.4291473962498</v>
      </c>
      <c r="G73" s="5">
        <f t="shared" si="105"/>
        <v>-3099.643721094375</v>
      </c>
      <c r="H73" s="5">
        <f t="shared" si="105"/>
        <v>-4132.8582947924997</v>
      </c>
      <c r="I73" s="5">
        <f t="shared" si="105"/>
        <v>-5166.0728684906253</v>
      </c>
      <c r="J73" s="5">
        <f t="shared" si="105"/>
        <v>-6198.7697702069372</v>
      </c>
      <c r="K73" s="5">
        <f t="shared" si="105"/>
        <v>-7229.1294215543421</v>
      </c>
      <c r="L73" s="5">
        <f t="shared" si="105"/>
        <v>-8248.8041559017656</v>
      </c>
      <c r="M73" s="5">
        <f t="shared" si="105"/>
        <v>-9251.9452681627154</v>
      </c>
      <c r="N73" s="5">
        <f t="shared" si="105"/>
        <v>-10221.337599862711</v>
      </c>
      <c r="O73" s="5">
        <f t="shared" si="105"/>
        <v>-11121.562875836127</v>
      </c>
      <c r="P73" s="5">
        <f t="shared" si="105"/>
        <v>-11730.899147056958</v>
      </c>
      <c r="Q73" s="132">
        <f t="shared" si="105"/>
        <v>-79500.666844053427</v>
      </c>
      <c r="R73" s="5">
        <f t="shared" si="105"/>
        <v>-20171.733791947856</v>
      </c>
      <c r="S73" s="5">
        <f t="shared" si="105"/>
        <v>-28343.642791225899</v>
      </c>
      <c r="T73" s="5">
        <f t="shared" si="105"/>
        <v>-36246.517885521855</v>
      </c>
      <c r="U73" s="5">
        <f t="shared" si="105"/>
        <v>-43872.964312485055</v>
      </c>
      <c r="V73" s="5">
        <f t="shared" si="105"/>
        <v>-50794.5240326313</v>
      </c>
      <c r="W73" s="5">
        <f t="shared" si="105"/>
        <v>-57011.197045960609</v>
      </c>
      <c r="X73" s="5">
        <f t="shared" si="105"/>
        <v>-62589.09821868514</v>
      </c>
      <c r="Y73" s="5">
        <f t="shared" si="105"/>
        <v>-67528.227550804877</v>
      </c>
      <c r="Z73" s="128">
        <f t="shared" si="105"/>
        <v>-72183.533453241194</v>
      </c>
      <c r="AA73" s="5">
        <f t="shared" si="105"/>
        <v>-76555.015925994085</v>
      </c>
      <c r="AB73" s="5">
        <f t="shared" si="105"/>
        <v>-80607.180405767052</v>
      </c>
      <c r="AC73" s="5">
        <f t="shared" si="105"/>
        <v>-84347.419296785927</v>
      </c>
      <c r="AD73" s="5">
        <f t="shared" si="105"/>
        <v>-94604.638222847469</v>
      </c>
      <c r="AE73" s="5">
        <f t="shared" si="105"/>
        <v>-104861.85714890902</v>
      </c>
      <c r="AF73" s="5">
        <f t="shared" si="105"/>
        <v>-115119.07607497058</v>
      </c>
      <c r="AG73" s="5">
        <f t="shared" si="105"/>
        <v>-125376.29500103214</v>
      </c>
      <c r="AH73" s="5">
        <f t="shared" si="105"/>
        <v>-135633.51392709368</v>
      </c>
      <c r="AI73" s="5">
        <f t="shared" si="105"/>
        <v>-145890.73285315523</v>
      </c>
      <c r="AJ73" s="5">
        <f t="shared" si="105"/>
        <v>-156147.95177921679</v>
      </c>
      <c r="AK73" s="5">
        <f t="shared" si="105"/>
        <v>-166405.17070527837</v>
      </c>
      <c r="AL73" s="5">
        <f t="shared" si="105"/>
        <v>-176662.3896313399</v>
      </c>
      <c r="AM73" s="123">
        <f>(((Z73+AL73)/2)+AA73+AB73+AC73+AD73+AE73+AF73+AG73+AH73+AI73+AJ73+AK73)/12</f>
        <v>-117497.65107361175</v>
      </c>
    </row>
  </sheetData>
  <pageMargins left="0.7" right="0.69" top="0.75" bottom="0.56999999999999995" header="0.3" footer="0.3"/>
  <pageSetup scale="43" fitToHeight="0" orientation="landscape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A1:AG17"/>
  <sheetViews>
    <sheetView topLeftCell="C1" workbookViewId="0">
      <selection activeCell="C15" sqref="C15"/>
    </sheetView>
    <sheetView tabSelected="1" workbookViewId="1">
      <selection activeCell="I9" sqref="I9"/>
    </sheetView>
  </sheetViews>
  <sheetFormatPr defaultColWidth="9.09765625" defaultRowHeight="14" outlineLevelCol="1"/>
  <cols>
    <col min="1" max="1" width="7" style="19" customWidth="1"/>
    <col min="2" max="2" width="60.09765625" style="19" bestFit="1" customWidth="1"/>
    <col min="3" max="3" width="33" style="19" customWidth="1"/>
    <col min="4" max="4" width="9.69921875" style="19" bestFit="1" customWidth="1"/>
    <col min="5" max="5" width="13.3984375" style="19" bestFit="1" customWidth="1"/>
    <col min="6" max="12" width="11.59765625" style="19" bestFit="1" customWidth="1" outlineLevel="1"/>
    <col min="13" max="16" width="11.59765625" style="19" customWidth="1" outlineLevel="1"/>
    <col min="17" max="17" width="12" style="19" customWidth="1" outlineLevel="1"/>
    <col min="18" max="18" width="26.3984375" style="19" bestFit="1" customWidth="1"/>
    <col min="19" max="19" width="9" style="19" customWidth="1"/>
    <col min="20" max="20" width="27.69921875" style="19" bestFit="1" customWidth="1"/>
    <col min="21" max="26" width="10" style="19" bestFit="1" customWidth="1"/>
    <col min="27" max="27" width="10.59765625" style="19" bestFit="1" customWidth="1"/>
    <col min="28" max="32" width="10" style="19" bestFit="1" customWidth="1"/>
    <col min="33" max="33" width="24.09765625" style="19" bestFit="1" customWidth="1"/>
    <col min="34" max="16384" width="9.09765625" style="19"/>
  </cols>
  <sheetData>
    <row r="1" spans="1:33">
      <c r="A1" s="19" t="s">
        <v>45</v>
      </c>
      <c r="C1" s="114" t="s">
        <v>154</v>
      </c>
      <c r="F1" s="23" t="s">
        <v>139</v>
      </c>
      <c r="T1" s="23" t="s">
        <v>133</v>
      </c>
      <c r="U1" s="19">
        <v>1</v>
      </c>
      <c r="V1" s="19">
        <v>2</v>
      </c>
      <c r="W1" s="19">
        <v>3</v>
      </c>
      <c r="X1" s="19">
        <v>4</v>
      </c>
      <c r="Y1" s="19">
        <v>5</v>
      </c>
      <c r="Z1" s="19">
        <v>6</v>
      </c>
      <c r="AA1" s="19">
        <v>7</v>
      </c>
      <c r="AB1" s="19">
        <v>8</v>
      </c>
      <c r="AC1" s="19">
        <v>9</v>
      </c>
      <c r="AD1" s="19">
        <v>10</v>
      </c>
      <c r="AE1" s="19">
        <v>11</v>
      </c>
      <c r="AF1" s="19">
        <v>12</v>
      </c>
    </row>
    <row r="2" spans="1:33">
      <c r="F2" s="19" t="s">
        <v>27</v>
      </c>
      <c r="G2" s="19" t="s">
        <v>27</v>
      </c>
      <c r="H2" s="19" t="s">
        <v>27</v>
      </c>
      <c r="I2" s="19" t="s">
        <v>27</v>
      </c>
      <c r="J2" s="19" t="s">
        <v>27</v>
      </c>
      <c r="K2" s="19" t="s">
        <v>27</v>
      </c>
      <c r="L2" s="19" t="s">
        <v>27</v>
      </c>
      <c r="M2" s="19" t="s">
        <v>27</v>
      </c>
      <c r="N2" s="19" t="s">
        <v>27</v>
      </c>
      <c r="O2" s="19" t="s">
        <v>27</v>
      </c>
      <c r="P2" s="19" t="s">
        <v>27</v>
      </c>
      <c r="Q2" s="19" t="s">
        <v>27</v>
      </c>
      <c r="R2" s="85" t="s">
        <v>140</v>
      </c>
      <c r="S2" s="85"/>
      <c r="U2" s="19" t="s">
        <v>27</v>
      </c>
      <c r="V2" s="19" t="s">
        <v>27</v>
      </c>
      <c r="W2" s="19" t="s">
        <v>27</v>
      </c>
      <c r="X2" s="19" t="s">
        <v>27</v>
      </c>
      <c r="Y2" s="19" t="s">
        <v>27</v>
      </c>
      <c r="Z2" s="19" t="s">
        <v>27</v>
      </c>
      <c r="AA2" s="19" t="s">
        <v>27</v>
      </c>
      <c r="AB2" s="19" t="s">
        <v>27</v>
      </c>
      <c r="AC2" s="19" t="s">
        <v>27</v>
      </c>
      <c r="AD2" s="19" t="s">
        <v>27</v>
      </c>
      <c r="AE2" s="19" t="s">
        <v>27</v>
      </c>
      <c r="AF2" s="19" t="s">
        <v>27</v>
      </c>
      <c r="AG2" s="85" t="s">
        <v>140</v>
      </c>
    </row>
    <row r="3" spans="1:33">
      <c r="A3" s="19" t="s">
        <v>28</v>
      </c>
      <c r="B3" s="91" t="s">
        <v>122</v>
      </c>
      <c r="C3" s="19" t="s">
        <v>29</v>
      </c>
      <c r="D3" s="85" t="s">
        <v>128</v>
      </c>
      <c r="E3" s="85" t="s">
        <v>123</v>
      </c>
      <c r="F3" s="19" t="s">
        <v>31</v>
      </c>
      <c r="G3" s="19" t="s">
        <v>32</v>
      </c>
      <c r="H3" s="19" t="s">
        <v>33</v>
      </c>
      <c r="I3" s="19" t="s">
        <v>34</v>
      </c>
      <c r="J3" s="19" t="s">
        <v>35</v>
      </c>
      <c r="K3" s="19" t="s">
        <v>36</v>
      </c>
      <c r="L3" s="19" t="s">
        <v>37</v>
      </c>
      <c r="M3" s="19" t="s">
        <v>38</v>
      </c>
      <c r="N3" s="19" t="s">
        <v>39</v>
      </c>
      <c r="O3" s="19" t="s">
        <v>40</v>
      </c>
      <c r="P3" s="19" t="s">
        <v>41</v>
      </c>
      <c r="Q3" s="19" t="s">
        <v>42</v>
      </c>
      <c r="R3" s="85" t="s">
        <v>129</v>
      </c>
      <c r="S3" s="85"/>
      <c r="T3" s="19" t="s">
        <v>30</v>
      </c>
      <c r="U3" s="19" t="s">
        <v>31</v>
      </c>
      <c r="V3" s="19" t="s">
        <v>32</v>
      </c>
      <c r="W3" s="19" t="s">
        <v>33</v>
      </c>
      <c r="X3" s="19" t="s">
        <v>34</v>
      </c>
      <c r="Y3" s="19" t="s">
        <v>35</v>
      </c>
      <c r="Z3" s="19" t="s">
        <v>36</v>
      </c>
      <c r="AA3" s="19" t="s">
        <v>37</v>
      </c>
      <c r="AB3" s="19" t="s">
        <v>38</v>
      </c>
      <c r="AC3" s="19" t="s">
        <v>39</v>
      </c>
      <c r="AD3" s="19" t="s">
        <v>40</v>
      </c>
      <c r="AE3" s="19" t="s">
        <v>41</v>
      </c>
      <c r="AF3" s="19" t="s">
        <v>42</v>
      </c>
      <c r="AG3" s="85" t="s">
        <v>132</v>
      </c>
    </row>
    <row r="4" spans="1:33">
      <c r="A4" s="19">
        <v>2075</v>
      </c>
      <c r="B4" s="90" t="s">
        <v>141</v>
      </c>
      <c r="C4" s="90" t="s">
        <v>134</v>
      </c>
      <c r="D4" t="s">
        <v>127</v>
      </c>
      <c r="E4" t="s">
        <v>126</v>
      </c>
      <c r="F4" s="2">
        <v>208.74166666666667</v>
      </c>
      <c r="G4" s="2">
        <v>208.74166666666667</v>
      </c>
      <c r="H4" s="2">
        <v>208.74166666666667</v>
      </c>
      <c r="I4" s="2">
        <v>208.74166666666667</v>
      </c>
      <c r="J4" s="2">
        <v>208.74166666666667</v>
      </c>
      <c r="K4" s="2">
        <v>208.74166666666667</v>
      </c>
      <c r="L4" s="2">
        <v>208.74166666666667</v>
      </c>
      <c r="M4" s="2">
        <v>208.74166666666667</v>
      </c>
      <c r="N4" s="2">
        <v>208.74166666666667</v>
      </c>
      <c r="O4" s="2">
        <v>208.74166666666667</v>
      </c>
      <c r="P4" s="2">
        <v>208.74166666666667</v>
      </c>
      <c r="Q4" s="2">
        <v>208.74166666666667</v>
      </c>
      <c r="R4" s="27">
        <f>SUM(F4:Q4)</f>
        <v>2504.900000000001</v>
      </c>
      <c r="S4" s="27"/>
      <c r="T4" s="96">
        <v>0.69189999999999996</v>
      </c>
      <c r="U4" s="2">
        <f t="shared" ref="U4:U12" si="0">+$T4*F4</f>
        <v>144.42835916666667</v>
      </c>
      <c r="V4" s="2">
        <f t="shared" ref="V4:AF12" si="1">+$T4*G4</f>
        <v>144.42835916666667</v>
      </c>
      <c r="W4" s="2">
        <f t="shared" si="1"/>
        <v>144.42835916666667</v>
      </c>
      <c r="X4" s="2">
        <f t="shared" si="1"/>
        <v>144.42835916666667</v>
      </c>
      <c r="Y4" s="2">
        <f t="shared" si="1"/>
        <v>144.42835916666667</v>
      </c>
      <c r="Z4" s="2">
        <f t="shared" si="1"/>
        <v>144.42835916666667</v>
      </c>
      <c r="AA4" s="2">
        <f t="shared" si="1"/>
        <v>144.42835916666667</v>
      </c>
      <c r="AB4" s="2">
        <f t="shared" si="1"/>
        <v>144.42835916666667</v>
      </c>
      <c r="AC4" s="2">
        <f t="shared" si="1"/>
        <v>144.42835916666667</v>
      </c>
      <c r="AD4" s="2">
        <f t="shared" si="1"/>
        <v>144.42835916666667</v>
      </c>
      <c r="AE4" s="2">
        <f t="shared" si="1"/>
        <v>144.42835916666667</v>
      </c>
      <c r="AF4" s="2">
        <f t="shared" si="1"/>
        <v>144.42835916666667</v>
      </c>
      <c r="AG4" s="27">
        <f>SUM(U4:AF4)</f>
        <v>1733.1403100000005</v>
      </c>
    </row>
    <row r="5" spans="1:33">
      <c r="A5" s="19">
        <v>2075</v>
      </c>
      <c r="B5" s="90" t="s">
        <v>116</v>
      </c>
      <c r="C5" s="90" t="s">
        <v>135</v>
      </c>
      <c r="D5" t="s">
        <v>127</v>
      </c>
      <c r="E5" t="s">
        <v>126</v>
      </c>
      <c r="F5" s="2">
        <v>73334</v>
      </c>
      <c r="G5" s="2">
        <v>0</v>
      </c>
      <c r="H5" s="2">
        <v>73334</v>
      </c>
      <c r="I5" s="2">
        <v>0</v>
      </c>
      <c r="J5" s="2">
        <v>73333</v>
      </c>
      <c r="K5" s="2">
        <v>0</v>
      </c>
      <c r="L5" s="2">
        <v>73334</v>
      </c>
      <c r="M5" s="2">
        <v>0</v>
      </c>
      <c r="N5" s="2">
        <v>73334</v>
      </c>
      <c r="O5" s="2">
        <v>0</v>
      </c>
      <c r="P5" s="2">
        <v>73333</v>
      </c>
      <c r="Q5" s="2">
        <v>0</v>
      </c>
      <c r="R5" s="27">
        <f t="shared" ref="R5:R12" si="2">SUM(F5:Q5)</f>
        <v>440002</v>
      </c>
      <c r="S5" s="27"/>
      <c r="T5" s="97">
        <v>0.69089999999999996</v>
      </c>
      <c r="U5" s="2">
        <f t="shared" si="0"/>
        <v>50666.460599999999</v>
      </c>
      <c r="V5" s="2">
        <f t="shared" si="1"/>
        <v>0</v>
      </c>
      <c r="W5" s="2">
        <f t="shared" si="1"/>
        <v>50666.460599999999</v>
      </c>
      <c r="X5" s="2">
        <f t="shared" si="1"/>
        <v>0</v>
      </c>
      <c r="Y5" s="2">
        <f t="shared" si="1"/>
        <v>50665.769699999997</v>
      </c>
      <c r="Z5" s="2">
        <f t="shared" si="1"/>
        <v>0</v>
      </c>
      <c r="AA5" s="2">
        <f t="shared" si="1"/>
        <v>50666.460599999999</v>
      </c>
      <c r="AB5" s="2">
        <f t="shared" si="1"/>
        <v>0</v>
      </c>
      <c r="AC5" s="2">
        <f t="shared" si="1"/>
        <v>50666.460599999999</v>
      </c>
      <c r="AD5" s="2">
        <f t="shared" si="1"/>
        <v>0</v>
      </c>
      <c r="AE5" s="2">
        <f t="shared" si="1"/>
        <v>50665.769699999997</v>
      </c>
      <c r="AF5" s="2">
        <f t="shared" si="1"/>
        <v>0</v>
      </c>
      <c r="AG5" s="27">
        <f t="shared" ref="AG5:AG12" si="3">SUM(U5:AF5)</f>
        <v>303997.38179999997</v>
      </c>
    </row>
    <row r="6" spans="1:33">
      <c r="A6" s="19">
        <v>2075</v>
      </c>
      <c r="B6" s="90" t="s">
        <v>117</v>
      </c>
      <c r="C6" s="90" t="s">
        <v>136</v>
      </c>
      <c r="D6" t="s">
        <v>127</v>
      </c>
      <c r="E6" t="s">
        <v>125</v>
      </c>
      <c r="F6" s="2">
        <v>542868.97106639016</v>
      </c>
      <c r="G6" s="2">
        <v>543373.97103946924</v>
      </c>
      <c r="H6" s="2">
        <v>543373.97103946924</v>
      </c>
      <c r="I6" s="2">
        <v>543373.97103946924</v>
      </c>
      <c r="J6" s="2">
        <v>543373.97103946924</v>
      </c>
      <c r="K6" s="2">
        <v>543373.97103946924</v>
      </c>
      <c r="L6" s="2">
        <v>543373.97103946924</v>
      </c>
      <c r="M6" s="2">
        <v>543373.97103946924</v>
      </c>
      <c r="N6" s="2">
        <v>543373.97103946924</v>
      </c>
      <c r="O6" s="2">
        <v>543373.97103946924</v>
      </c>
      <c r="P6" s="2">
        <v>543373.97103946924</v>
      </c>
      <c r="Q6" s="2">
        <v>543384.97103891731</v>
      </c>
      <c r="R6" s="27">
        <f t="shared" si="2"/>
        <v>6519993.6525000008</v>
      </c>
      <c r="S6" s="27"/>
      <c r="T6" s="92">
        <v>1</v>
      </c>
      <c r="U6" s="2">
        <f t="shared" si="0"/>
        <v>542868.97106639016</v>
      </c>
      <c r="V6" s="2">
        <f t="shared" si="1"/>
        <v>543373.97103946924</v>
      </c>
      <c r="W6" s="2">
        <f t="shared" si="1"/>
        <v>543373.97103946924</v>
      </c>
      <c r="X6" s="2">
        <f t="shared" si="1"/>
        <v>543373.97103946924</v>
      </c>
      <c r="Y6" s="2">
        <f t="shared" si="1"/>
        <v>543373.97103946924</v>
      </c>
      <c r="Z6" s="2">
        <f t="shared" si="1"/>
        <v>543373.97103946924</v>
      </c>
      <c r="AA6" s="2">
        <f t="shared" si="1"/>
        <v>543373.97103946924</v>
      </c>
      <c r="AB6" s="2">
        <f t="shared" si="1"/>
        <v>543373.97103946924</v>
      </c>
      <c r="AC6" s="2">
        <f t="shared" si="1"/>
        <v>543373.97103946924</v>
      </c>
      <c r="AD6" s="2">
        <f t="shared" si="1"/>
        <v>543373.97103946924</v>
      </c>
      <c r="AE6" s="2">
        <f t="shared" si="1"/>
        <v>543373.97103946924</v>
      </c>
      <c r="AF6" s="2">
        <f t="shared" si="1"/>
        <v>543384.97103891731</v>
      </c>
      <c r="AG6" s="27">
        <f t="shared" si="3"/>
        <v>6519993.6525000008</v>
      </c>
    </row>
    <row r="7" spans="1:33">
      <c r="A7" s="19">
        <v>2075</v>
      </c>
      <c r="B7" s="90" t="s">
        <v>118</v>
      </c>
      <c r="C7" s="90" t="s">
        <v>137</v>
      </c>
      <c r="D7" t="s">
        <v>127</v>
      </c>
      <c r="E7" t="s">
        <v>124</v>
      </c>
      <c r="F7" s="80">
        <v>416665.01145828748</v>
      </c>
      <c r="G7" s="80">
        <v>416665.01145828748</v>
      </c>
      <c r="H7" s="80">
        <v>416665.01145828748</v>
      </c>
      <c r="I7" s="80">
        <v>416665.01145828748</v>
      </c>
      <c r="J7" s="80">
        <v>416665.01145828748</v>
      </c>
      <c r="K7" s="80">
        <v>416665.01145828748</v>
      </c>
      <c r="L7" s="80">
        <v>416665.01145828748</v>
      </c>
      <c r="M7" s="80">
        <v>416665.01145828748</v>
      </c>
      <c r="N7" s="80">
        <v>416665.01145828748</v>
      </c>
      <c r="O7" s="80">
        <v>416665.01145828748</v>
      </c>
      <c r="P7" s="80">
        <v>416665.01145828748</v>
      </c>
      <c r="Q7" s="80">
        <v>416685.01145883749</v>
      </c>
      <c r="R7" s="27">
        <f t="shared" si="2"/>
        <v>5000000.1375000002</v>
      </c>
      <c r="T7" s="92">
        <v>0</v>
      </c>
      <c r="U7" s="2">
        <f t="shared" si="0"/>
        <v>0</v>
      </c>
      <c r="V7" s="2">
        <f t="shared" si="1"/>
        <v>0</v>
      </c>
      <c r="W7" s="2">
        <f t="shared" si="1"/>
        <v>0</v>
      </c>
      <c r="X7" s="2">
        <f t="shared" si="1"/>
        <v>0</v>
      </c>
      <c r="Y7" s="2">
        <f t="shared" si="1"/>
        <v>0</v>
      </c>
      <c r="Z7" s="2">
        <f t="shared" si="1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7">
        <f t="shared" si="3"/>
        <v>0</v>
      </c>
    </row>
    <row r="8" spans="1:33">
      <c r="A8" s="19">
        <v>2075</v>
      </c>
      <c r="B8" s="90" t="s">
        <v>142</v>
      </c>
      <c r="C8" s="90" t="s">
        <v>135</v>
      </c>
      <c r="D8" t="s">
        <v>127</v>
      </c>
      <c r="E8" t="s">
        <v>126</v>
      </c>
      <c r="F8" s="80">
        <v>166733.58846651</v>
      </c>
      <c r="G8" s="80">
        <v>0</v>
      </c>
      <c r="H8" s="80">
        <v>166733.58846651</v>
      </c>
      <c r="I8" s="80">
        <v>0</v>
      </c>
      <c r="J8" s="80">
        <v>166732.58806698001</v>
      </c>
      <c r="K8" s="80">
        <v>0</v>
      </c>
      <c r="L8" s="2">
        <v>166733.58846651</v>
      </c>
      <c r="M8" s="80">
        <v>0</v>
      </c>
      <c r="N8" s="80">
        <v>166733.58846651</v>
      </c>
      <c r="O8" s="80">
        <v>0</v>
      </c>
      <c r="P8" s="80">
        <v>166732.58806698001</v>
      </c>
      <c r="Q8" s="80">
        <v>0</v>
      </c>
      <c r="R8" s="27">
        <f t="shared" si="2"/>
        <v>1000399.53</v>
      </c>
      <c r="T8" s="97">
        <v>0.69089999999999996</v>
      </c>
      <c r="U8" s="2">
        <f t="shared" si="0"/>
        <v>115196.23627151175</v>
      </c>
      <c r="V8" s="2">
        <f t="shared" si="1"/>
        <v>0</v>
      </c>
      <c r="W8" s="2">
        <f t="shared" si="1"/>
        <v>115196.23627151175</v>
      </c>
      <c r="X8" s="2">
        <f t="shared" si="1"/>
        <v>0</v>
      </c>
      <c r="Y8" s="2">
        <f t="shared" si="1"/>
        <v>115195.54509547648</v>
      </c>
      <c r="Z8" s="2">
        <f t="shared" si="1"/>
        <v>0</v>
      </c>
      <c r="AA8" s="2">
        <f t="shared" si="1"/>
        <v>115196.23627151175</v>
      </c>
      <c r="AB8" s="2">
        <f t="shared" si="1"/>
        <v>0</v>
      </c>
      <c r="AC8" s="2">
        <f t="shared" si="1"/>
        <v>115196.23627151175</v>
      </c>
      <c r="AD8" s="2">
        <f t="shared" si="1"/>
        <v>0</v>
      </c>
      <c r="AE8" s="2">
        <f t="shared" si="1"/>
        <v>115195.54509547648</v>
      </c>
      <c r="AF8" s="2">
        <f t="shared" si="1"/>
        <v>0</v>
      </c>
      <c r="AG8" s="27">
        <f t="shared" si="3"/>
        <v>691176.03527699993</v>
      </c>
    </row>
    <row r="9" spans="1:33">
      <c r="A9" s="19">
        <v>2075</v>
      </c>
      <c r="B9" s="90" t="s">
        <v>143</v>
      </c>
      <c r="C9" s="90" t="s">
        <v>134</v>
      </c>
      <c r="D9" t="s">
        <v>127</v>
      </c>
      <c r="E9" t="s">
        <v>126</v>
      </c>
      <c r="F9" s="80">
        <v>0</v>
      </c>
      <c r="G9" s="80">
        <v>0</v>
      </c>
      <c r="H9" s="80">
        <v>0</v>
      </c>
      <c r="I9" s="80">
        <v>0</v>
      </c>
      <c r="J9" s="80">
        <v>347749.32250000001</v>
      </c>
      <c r="K9" s="80">
        <v>0</v>
      </c>
      <c r="L9" s="2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27">
        <f t="shared" si="2"/>
        <v>347749.32250000001</v>
      </c>
      <c r="T9" s="96">
        <v>0.69189999999999996</v>
      </c>
      <c r="U9" s="2">
        <f t="shared" si="0"/>
        <v>0</v>
      </c>
      <c r="V9" s="2">
        <f t="shared" si="1"/>
        <v>0</v>
      </c>
      <c r="W9" s="2">
        <f t="shared" si="1"/>
        <v>0</v>
      </c>
      <c r="X9" s="2">
        <f t="shared" si="1"/>
        <v>0</v>
      </c>
      <c r="Y9" s="2">
        <f t="shared" si="1"/>
        <v>240607.75623775</v>
      </c>
      <c r="Z9" s="2">
        <f t="shared" si="1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7">
        <f t="shared" si="3"/>
        <v>240607.75623775</v>
      </c>
    </row>
    <row r="10" spans="1:33">
      <c r="A10" s="19">
        <v>2075</v>
      </c>
      <c r="B10" s="90" t="s">
        <v>144</v>
      </c>
      <c r="C10" s="90" t="s">
        <v>138</v>
      </c>
      <c r="D10" t="s">
        <v>127</v>
      </c>
      <c r="E10" t="s">
        <v>126</v>
      </c>
      <c r="F10" s="80">
        <v>0</v>
      </c>
      <c r="G10" s="80">
        <v>0</v>
      </c>
      <c r="H10" s="80">
        <v>0</v>
      </c>
      <c r="I10" s="80">
        <v>62500.051562500004</v>
      </c>
      <c r="J10" s="80">
        <v>62500.051562500004</v>
      </c>
      <c r="K10" s="80">
        <v>62500.051562500004</v>
      </c>
      <c r="L10" s="80">
        <v>62500.051562500004</v>
      </c>
      <c r="M10" s="80">
        <v>62500.051562500004</v>
      </c>
      <c r="N10" s="80">
        <v>62500.051562500004</v>
      </c>
      <c r="O10" s="80">
        <v>62500.051562500004</v>
      </c>
      <c r="P10" s="80">
        <v>62500.051562500004</v>
      </c>
      <c r="Q10" s="80">
        <v>0</v>
      </c>
      <c r="R10" s="27">
        <f t="shared" si="2"/>
        <v>500000.41250000003</v>
      </c>
      <c r="T10" s="88">
        <v>0.65639999999999998</v>
      </c>
      <c r="U10" s="2">
        <f t="shared" si="0"/>
        <v>0</v>
      </c>
      <c r="V10" s="2">
        <f t="shared" si="1"/>
        <v>0</v>
      </c>
      <c r="W10" s="2">
        <f t="shared" si="1"/>
        <v>0</v>
      </c>
      <c r="X10" s="2">
        <f t="shared" si="1"/>
        <v>41025.033845625003</v>
      </c>
      <c r="Y10" s="2">
        <f t="shared" si="1"/>
        <v>41025.033845625003</v>
      </c>
      <c r="Z10" s="2">
        <f t="shared" si="1"/>
        <v>41025.033845625003</v>
      </c>
      <c r="AA10" s="2">
        <f t="shared" si="1"/>
        <v>41025.033845625003</v>
      </c>
      <c r="AB10" s="2">
        <f t="shared" si="1"/>
        <v>41025.033845625003</v>
      </c>
      <c r="AC10" s="2">
        <f t="shared" si="1"/>
        <v>41025.033845625003</v>
      </c>
      <c r="AD10" s="2">
        <f t="shared" si="1"/>
        <v>41025.033845625003</v>
      </c>
      <c r="AE10" s="2">
        <f t="shared" si="1"/>
        <v>41025.033845625003</v>
      </c>
      <c r="AF10" s="2">
        <f t="shared" si="1"/>
        <v>0</v>
      </c>
      <c r="AG10" s="27">
        <f t="shared" si="3"/>
        <v>328200.27076500002</v>
      </c>
    </row>
    <row r="11" spans="1:33">
      <c r="A11" s="19">
        <v>2075</v>
      </c>
      <c r="B11" s="90" t="s">
        <v>119</v>
      </c>
      <c r="C11" s="90" t="s">
        <v>138</v>
      </c>
      <c r="D11" t="s">
        <v>127</v>
      </c>
      <c r="E11" t="s">
        <v>126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300000.25</v>
      </c>
      <c r="Q11" s="80">
        <v>0</v>
      </c>
      <c r="R11" s="27">
        <f t="shared" si="2"/>
        <v>300000.25</v>
      </c>
      <c r="T11" s="88">
        <v>0.65639999999999998</v>
      </c>
      <c r="U11" s="2">
        <f t="shared" si="0"/>
        <v>0</v>
      </c>
      <c r="V11" s="2">
        <f t="shared" si="1"/>
        <v>0</v>
      </c>
      <c r="W11" s="2">
        <f t="shared" si="1"/>
        <v>0</v>
      </c>
      <c r="X11" s="2">
        <f t="shared" si="1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196920.16409999999</v>
      </c>
      <c r="AF11" s="2">
        <f t="shared" si="1"/>
        <v>0</v>
      </c>
      <c r="AG11" s="27">
        <f t="shared" si="3"/>
        <v>196920.16409999999</v>
      </c>
    </row>
    <row r="12" spans="1:33" ht="14.55" thickBot="1">
      <c r="A12" s="19">
        <v>2075</v>
      </c>
      <c r="B12" s="90" t="s">
        <v>120</v>
      </c>
      <c r="C12" s="90" t="s">
        <v>138</v>
      </c>
      <c r="D12" t="s">
        <v>127</v>
      </c>
      <c r="E12" t="s">
        <v>126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3000000.9375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27">
        <f t="shared" si="2"/>
        <v>3000000.9375</v>
      </c>
      <c r="T12" s="88">
        <v>0.65639999999999998</v>
      </c>
      <c r="U12" s="2">
        <f t="shared" si="0"/>
        <v>0</v>
      </c>
      <c r="V12" s="2">
        <f t="shared" si="1"/>
        <v>0</v>
      </c>
      <c r="W12" s="2">
        <f t="shared" si="1"/>
        <v>0</v>
      </c>
      <c r="X12" s="2">
        <f t="shared" si="1"/>
        <v>0</v>
      </c>
      <c r="Y12" s="2">
        <f t="shared" si="1"/>
        <v>0</v>
      </c>
      <c r="Z12" s="2">
        <f t="shared" si="1"/>
        <v>0</v>
      </c>
      <c r="AA12" s="2">
        <f t="shared" si="1"/>
        <v>1969200.6153750001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7">
        <f t="shared" si="3"/>
        <v>1969200.6153750001</v>
      </c>
    </row>
    <row r="13" spans="1:33" ht="14.55" thickBot="1">
      <c r="F13" s="28">
        <f>SUM(F4:F12)</f>
        <v>1199810.3126578543</v>
      </c>
      <c r="G13" s="28">
        <f t="shared" ref="G13:L13" si="4">SUM(G4:G12)</f>
        <v>960247.72416442342</v>
      </c>
      <c r="H13" s="28">
        <f t="shared" si="4"/>
        <v>1200315.3126309335</v>
      </c>
      <c r="I13" s="28">
        <f t="shared" si="4"/>
        <v>1022747.7757269234</v>
      </c>
      <c r="J13" s="28">
        <f t="shared" si="4"/>
        <v>1610562.6862939033</v>
      </c>
      <c r="K13" s="28">
        <f t="shared" si="4"/>
        <v>1022747.7757269234</v>
      </c>
      <c r="L13" s="28">
        <f t="shared" si="4"/>
        <v>4262816.3016934339</v>
      </c>
      <c r="M13" s="28">
        <f t="shared" ref="M13:R13" si="5">SUM(M4:M12)</f>
        <v>1022747.7757269234</v>
      </c>
      <c r="N13" s="28">
        <f t="shared" si="5"/>
        <v>1262815.3641934334</v>
      </c>
      <c r="O13" s="28">
        <f t="shared" si="5"/>
        <v>1022747.7757269234</v>
      </c>
      <c r="P13" s="28">
        <f t="shared" si="5"/>
        <v>1562813.6137939033</v>
      </c>
      <c r="Q13" s="28">
        <f t="shared" si="5"/>
        <v>960278.72416442144</v>
      </c>
      <c r="R13" s="24">
        <f t="shared" si="5"/>
        <v>17110651.142499998</v>
      </c>
      <c r="S13" s="93"/>
      <c r="U13" s="28">
        <f t="shared" ref="U13:AA13" si="6">SUM(U4:U7)</f>
        <v>593679.86002555687</v>
      </c>
      <c r="V13" s="28">
        <f t="shared" si="6"/>
        <v>543518.39939863596</v>
      </c>
      <c r="W13" s="28">
        <f t="shared" si="6"/>
        <v>594184.85999863595</v>
      </c>
      <c r="X13" s="28">
        <f t="shared" si="6"/>
        <v>543518.39939863596</v>
      </c>
      <c r="Y13" s="28">
        <f t="shared" si="6"/>
        <v>594184.1690986359</v>
      </c>
      <c r="Z13" s="28">
        <f t="shared" si="6"/>
        <v>543518.39939863596</v>
      </c>
      <c r="AA13" s="28">
        <f t="shared" si="6"/>
        <v>594184.85999863595</v>
      </c>
      <c r="AB13" s="28">
        <f>SUM(AB4:AB7)</f>
        <v>543518.39939863596</v>
      </c>
      <c r="AC13" s="28">
        <f>SUM(AC4:AC7)</f>
        <v>594184.85999863595</v>
      </c>
      <c r="AD13" s="28">
        <f>SUM(AD4:AD7)</f>
        <v>543518.39939863596</v>
      </c>
      <c r="AE13" s="28">
        <f>SUM(AE4:AE7)</f>
        <v>594184.1690986359</v>
      </c>
      <c r="AF13" s="28">
        <f>SUM(AF4:AF7)</f>
        <v>543529.39939808403</v>
      </c>
      <c r="AG13" s="24">
        <f>SUM(AG4:AG12)</f>
        <v>10251829.01636475</v>
      </c>
    </row>
    <row r="14" spans="1:33">
      <c r="R14" s="102" t="s">
        <v>46</v>
      </c>
      <c r="S14" s="25"/>
      <c r="AG14" s="25" t="s">
        <v>147</v>
      </c>
    </row>
    <row r="15" spans="1:33">
      <c r="C15" s="256" t="s">
        <v>302</v>
      </c>
      <c r="R15" s="104" t="s">
        <v>129</v>
      </c>
    </row>
    <row r="16" spans="1:33" ht="15.05" customHeight="1"/>
    <row r="17" spans="29:29">
      <c r="AC17" s="2"/>
    </row>
  </sheetData>
  <autoFilter ref="A3:R6" xr:uid="{00000000-0009-0000-0000-000004000000}"/>
  <pageMargins left="0.7" right="0.45" top="0.75" bottom="0.75" header="0.3" footer="0.3"/>
  <pageSetup scale="53" fitToHeight="0" orientation="landscape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A611B-2A98-43A7-9183-C906840D843F}">
  <dimension ref="A1:T93"/>
  <sheetViews>
    <sheetView view="pageBreakPreview" topLeftCell="C41" zoomScale="60" zoomScaleNormal="100" workbookViewId="0">
      <selection activeCell="A15" sqref="A15:A34"/>
    </sheetView>
    <sheetView tabSelected="1" workbookViewId="1">
      <selection activeCell="I9" sqref="I9"/>
    </sheetView>
  </sheetViews>
  <sheetFormatPr defaultRowHeight="12.8" customHeight="1"/>
  <cols>
    <col min="1" max="1" width="8.796875" customWidth="1"/>
    <col min="2" max="2" width="25.09765625" customWidth="1"/>
    <col min="3" max="3" width="17.59765625" bestFit="1" customWidth="1"/>
    <col min="4" max="4" width="32.796875" bestFit="1" customWidth="1"/>
    <col min="5" max="5" width="15" bestFit="1" customWidth="1"/>
    <col min="6" max="6" width="22.59765625" bestFit="1" customWidth="1"/>
    <col min="7" max="7" width="16.19921875" bestFit="1" customWidth="1"/>
    <col min="9" max="9" width="17.59765625" bestFit="1" customWidth="1"/>
    <col min="10" max="10" width="18.8984375" bestFit="1" customWidth="1"/>
    <col min="11" max="11" width="13.796875" bestFit="1" customWidth="1"/>
    <col min="12" max="12" width="18.8984375" bestFit="1" customWidth="1"/>
    <col min="13" max="13" width="16.19921875" bestFit="1" customWidth="1"/>
    <col min="14" max="14" width="14.19921875" customWidth="1"/>
    <col min="15" max="15" width="25.09765625" customWidth="1"/>
    <col min="19" max="19" width="16.5" bestFit="1" customWidth="1"/>
  </cols>
  <sheetData>
    <row r="1" spans="1:14" ht="12.8" customHeight="1">
      <c r="A1" s="268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4" ht="12.8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4" ht="12.8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4" ht="12.8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4" ht="12.8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</row>
    <row r="6" spans="1:14" ht="12.8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</row>
    <row r="7" spans="1:14" ht="12.8" customHeight="1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</row>
    <row r="8" spans="1:14" ht="12.8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</row>
    <row r="9" spans="1:14" ht="21.8" customHeight="1" thickBot="1">
      <c r="A9" s="268"/>
      <c r="B9" s="268"/>
      <c r="C9" s="268"/>
      <c r="D9" s="268"/>
      <c r="E9" s="268"/>
      <c r="F9" s="279" t="s">
        <v>178</v>
      </c>
      <c r="G9" s="268"/>
      <c r="H9" s="268"/>
      <c r="I9" s="268"/>
      <c r="J9" s="280" t="s">
        <v>179</v>
      </c>
      <c r="K9" s="268"/>
      <c r="L9" s="268"/>
      <c r="M9" s="268"/>
      <c r="N9" s="268"/>
    </row>
    <row r="10" spans="1:14" ht="17.2" customHeight="1" thickBot="1">
      <c r="A10" s="268" t="s">
        <v>294</v>
      </c>
      <c r="B10" s="268"/>
      <c r="C10" s="268"/>
      <c r="D10" s="268"/>
      <c r="E10" s="268"/>
      <c r="F10" s="268"/>
      <c r="G10" s="268"/>
      <c r="H10" s="139" t="s">
        <v>180</v>
      </c>
      <c r="J10" s="267" t="s">
        <v>181</v>
      </c>
      <c r="K10" s="268"/>
      <c r="L10" s="268"/>
      <c r="M10" s="268"/>
      <c r="N10" s="268"/>
    </row>
    <row r="11" spans="1:14" ht="17.2" customHeight="1" thickBot="1">
      <c r="A11" s="268"/>
      <c r="B11" s="268"/>
      <c r="C11" s="268"/>
      <c r="D11" s="268"/>
      <c r="E11" s="268"/>
      <c r="F11" s="268"/>
      <c r="G11" s="268"/>
      <c r="H11" s="140" t="s">
        <v>182</v>
      </c>
      <c r="J11" s="268"/>
      <c r="K11" s="268"/>
      <c r="L11" s="268"/>
      <c r="M11" s="268"/>
      <c r="N11" s="268"/>
    </row>
    <row r="12" spans="1:14" ht="12.8" customHeight="1" thickBo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7.2" customHeight="1" thickBot="1">
      <c r="A13" s="268"/>
      <c r="B13" s="268"/>
      <c r="C13" s="268"/>
      <c r="D13" s="268"/>
      <c r="E13" s="268"/>
      <c r="F13" s="268"/>
      <c r="G13" s="141" t="s">
        <v>47</v>
      </c>
      <c r="H13" s="141" t="s">
        <v>183</v>
      </c>
      <c r="I13" s="141" t="s">
        <v>48</v>
      </c>
      <c r="J13" s="141" t="s">
        <v>184</v>
      </c>
      <c r="K13" s="141" t="s">
        <v>185</v>
      </c>
      <c r="L13" s="141" t="s">
        <v>186</v>
      </c>
      <c r="M13" s="141" t="s">
        <v>187</v>
      </c>
      <c r="N13" s="141" t="s">
        <v>188</v>
      </c>
    </row>
    <row r="14" spans="1:14" ht="17.2" customHeight="1" thickBot="1">
      <c r="A14" s="141" t="s">
        <v>189</v>
      </c>
      <c r="B14" s="141" t="s">
        <v>190</v>
      </c>
      <c r="C14" s="141" t="s">
        <v>191</v>
      </c>
      <c r="D14" s="141" t="s">
        <v>192</v>
      </c>
      <c r="E14" s="141" t="s">
        <v>193</v>
      </c>
      <c r="F14" s="141" t="s">
        <v>194</v>
      </c>
      <c r="G14" s="142"/>
      <c r="H14" s="142"/>
      <c r="I14" s="142"/>
      <c r="J14" s="142"/>
      <c r="K14" s="142"/>
      <c r="L14" s="142"/>
      <c r="M14" s="142"/>
      <c r="N14" s="142"/>
    </row>
    <row r="15" spans="1:14" ht="17.2" customHeight="1" thickBot="1">
      <c r="A15" s="269" t="s">
        <v>195</v>
      </c>
      <c r="B15" s="269" t="s">
        <v>196</v>
      </c>
      <c r="C15" s="143" t="s">
        <v>197</v>
      </c>
      <c r="D15" s="143" t="s">
        <v>198</v>
      </c>
      <c r="E15" s="143" t="s">
        <v>199</v>
      </c>
      <c r="F15" s="143" t="s">
        <v>200</v>
      </c>
      <c r="G15" s="144">
        <v>4797.54</v>
      </c>
      <c r="H15" s="145">
        <v>0</v>
      </c>
      <c r="I15" s="144">
        <v>-4797.54</v>
      </c>
      <c r="J15" s="144">
        <v>108793.76</v>
      </c>
      <c r="K15" s="145">
        <v>0</v>
      </c>
      <c r="L15" s="144">
        <v>-108793.76</v>
      </c>
      <c r="M15" s="145">
        <v>0</v>
      </c>
      <c r="N15" s="142"/>
    </row>
    <row r="16" spans="1:14" ht="17.2" customHeight="1" thickBot="1">
      <c r="A16" s="270"/>
      <c r="B16" s="270"/>
      <c r="C16" s="269" t="s">
        <v>201</v>
      </c>
      <c r="D16" s="269" t="s">
        <v>202</v>
      </c>
      <c r="E16" s="143" t="s">
        <v>203</v>
      </c>
      <c r="F16" s="143" t="s">
        <v>204</v>
      </c>
      <c r="G16" s="144">
        <v>5717.76</v>
      </c>
      <c r="H16" s="145">
        <v>0</v>
      </c>
      <c r="I16" s="144">
        <v>-5717.76</v>
      </c>
      <c r="J16" s="144">
        <v>5717.76</v>
      </c>
      <c r="K16" s="145">
        <v>0</v>
      </c>
      <c r="L16" s="144">
        <v>-5717.76</v>
      </c>
      <c r="M16" s="145">
        <v>0</v>
      </c>
      <c r="N16" s="142"/>
    </row>
    <row r="17" spans="1:14" ht="17.2" customHeight="1" thickBot="1">
      <c r="A17" s="270"/>
      <c r="B17" s="270"/>
      <c r="C17" s="271"/>
      <c r="D17" s="271"/>
      <c r="E17" s="143" t="s">
        <v>205</v>
      </c>
      <c r="F17" s="143" t="s">
        <v>206</v>
      </c>
      <c r="G17" s="145">
        <v>0</v>
      </c>
      <c r="H17" s="145">
        <v>0</v>
      </c>
      <c r="I17" s="145">
        <v>0</v>
      </c>
      <c r="J17" s="144">
        <v>1962.22</v>
      </c>
      <c r="K17" s="145">
        <v>0</v>
      </c>
      <c r="L17" s="144">
        <v>-1962.22</v>
      </c>
      <c r="M17" s="145">
        <v>0</v>
      </c>
      <c r="N17" s="142"/>
    </row>
    <row r="18" spans="1:14" ht="17.2" customHeight="1" thickBot="1">
      <c r="A18" s="270"/>
      <c r="B18" s="270"/>
      <c r="C18" s="143" t="s">
        <v>207</v>
      </c>
      <c r="D18" s="143" t="s">
        <v>208</v>
      </c>
      <c r="E18" s="143" t="s">
        <v>205</v>
      </c>
      <c r="F18" s="143" t="s">
        <v>206</v>
      </c>
      <c r="G18" s="145">
        <v>0</v>
      </c>
      <c r="H18" s="145">
        <v>0</v>
      </c>
      <c r="I18" s="145">
        <v>0</v>
      </c>
      <c r="J18" s="144">
        <v>339.6</v>
      </c>
      <c r="K18" s="145">
        <v>0</v>
      </c>
      <c r="L18" s="144">
        <v>-339.6</v>
      </c>
      <c r="M18" s="145">
        <v>0</v>
      </c>
      <c r="N18" s="142"/>
    </row>
    <row r="19" spans="1:14" ht="17.2" customHeight="1" thickBot="1">
      <c r="A19" s="270"/>
      <c r="B19" s="270"/>
      <c r="C19" s="143" t="s">
        <v>209</v>
      </c>
      <c r="D19" s="143" t="s">
        <v>210</v>
      </c>
      <c r="E19" s="143" t="s">
        <v>211</v>
      </c>
      <c r="F19" s="143" t="s">
        <v>212</v>
      </c>
      <c r="G19" s="144">
        <v>7422.81</v>
      </c>
      <c r="H19" s="145">
        <v>0</v>
      </c>
      <c r="I19" s="144">
        <v>-7422.81</v>
      </c>
      <c r="J19" s="144">
        <v>84247.25</v>
      </c>
      <c r="K19" s="145">
        <v>0</v>
      </c>
      <c r="L19" s="144">
        <v>-84247.25</v>
      </c>
      <c r="M19" s="145">
        <v>0</v>
      </c>
      <c r="N19" s="142"/>
    </row>
    <row r="20" spans="1:14" ht="17.2" customHeight="1" thickBot="1">
      <c r="A20" s="270"/>
      <c r="B20" s="270"/>
      <c r="C20" s="269" t="s">
        <v>213</v>
      </c>
      <c r="D20" s="269" t="s">
        <v>214</v>
      </c>
      <c r="E20" s="143" t="s">
        <v>215</v>
      </c>
      <c r="F20" s="143" t="s">
        <v>216</v>
      </c>
      <c r="G20" s="145">
        <v>0</v>
      </c>
      <c r="H20" s="145">
        <v>0</v>
      </c>
      <c r="I20" s="145">
        <v>0</v>
      </c>
      <c r="J20" s="144">
        <v>703.74</v>
      </c>
      <c r="K20" s="145">
        <v>0</v>
      </c>
      <c r="L20" s="144">
        <v>-703.74</v>
      </c>
      <c r="M20" s="145">
        <v>0</v>
      </c>
      <c r="N20" s="142"/>
    </row>
    <row r="21" spans="1:14" ht="17.2" customHeight="1" thickBot="1">
      <c r="A21" s="270"/>
      <c r="B21" s="270"/>
      <c r="C21" s="271"/>
      <c r="D21" s="271"/>
      <c r="E21" s="143" t="s">
        <v>217</v>
      </c>
      <c r="F21" s="143" t="s">
        <v>218</v>
      </c>
      <c r="G21" s="144">
        <v>3622.56</v>
      </c>
      <c r="H21" s="145">
        <v>0</v>
      </c>
      <c r="I21" s="144">
        <v>-3622.56</v>
      </c>
      <c r="J21" s="144">
        <v>10792.09</v>
      </c>
      <c r="K21" s="145">
        <v>0</v>
      </c>
      <c r="L21" s="144">
        <v>-10792.09</v>
      </c>
      <c r="M21" s="145">
        <v>0</v>
      </c>
      <c r="N21" s="142"/>
    </row>
    <row r="22" spans="1:14" ht="17.2" customHeight="1" thickBot="1">
      <c r="A22" s="270"/>
      <c r="B22" s="271"/>
      <c r="C22" s="143" t="s">
        <v>219</v>
      </c>
      <c r="D22" s="143" t="s">
        <v>220</v>
      </c>
      <c r="E22" s="143" t="s">
        <v>217</v>
      </c>
      <c r="F22" s="143" t="s">
        <v>218</v>
      </c>
      <c r="G22" s="144">
        <v>1811.28</v>
      </c>
      <c r="H22" s="145">
        <v>0</v>
      </c>
      <c r="I22" s="144">
        <v>-1811.28</v>
      </c>
      <c r="J22" s="144">
        <v>7245.1</v>
      </c>
      <c r="K22" s="145">
        <v>0</v>
      </c>
      <c r="L22" s="144">
        <v>-7245.1</v>
      </c>
      <c r="M22" s="145">
        <v>0</v>
      </c>
      <c r="N22" s="142"/>
    </row>
    <row r="23" spans="1:14" ht="17.2" customHeight="1" thickBot="1">
      <c r="A23" s="270"/>
      <c r="B23" s="269" t="s">
        <v>221</v>
      </c>
      <c r="C23" s="269" t="s">
        <v>201</v>
      </c>
      <c r="D23" s="269" t="s">
        <v>202</v>
      </c>
      <c r="E23" s="143" t="s">
        <v>203</v>
      </c>
      <c r="F23" s="143" t="s">
        <v>204</v>
      </c>
      <c r="G23" s="144">
        <v>8135.29</v>
      </c>
      <c r="H23" s="145">
        <v>0</v>
      </c>
      <c r="I23" s="144">
        <v>-8135.29</v>
      </c>
      <c r="J23" s="144">
        <v>324789.36</v>
      </c>
      <c r="K23" s="145">
        <v>0</v>
      </c>
      <c r="L23" s="144">
        <v>-324789.36</v>
      </c>
      <c r="M23" s="145">
        <v>0</v>
      </c>
      <c r="N23" s="142"/>
    </row>
    <row r="24" spans="1:14" ht="17.2" customHeight="1" thickBot="1">
      <c r="A24" s="270"/>
      <c r="B24" s="270"/>
      <c r="C24" s="271"/>
      <c r="D24" s="271"/>
      <c r="E24" s="143" t="s">
        <v>205</v>
      </c>
      <c r="F24" s="143" t="s">
        <v>206</v>
      </c>
      <c r="G24" s="144">
        <v>135878.01</v>
      </c>
      <c r="H24" s="145">
        <v>0</v>
      </c>
      <c r="I24" s="144">
        <v>-135878.01</v>
      </c>
      <c r="J24" s="144">
        <v>137372.74</v>
      </c>
      <c r="K24" s="145">
        <v>0</v>
      </c>
      <c r="L24" s="144">
        <v>-137372.74</v>
      </c>
      <c r="M24" s="145">
        <v>0</v>
      </c>
      <c r="N24" s="142"/>
    </row>
    <row r="25" spans="1:14" ht="17.2" customHeight="1" thickBot="1">
      <c r="A25" s="270"/>
      <c r="B25" s="270"/>
      <c r="C25" s="269" t="s">
        <v>213</v>
      </c>
      <c r="D25" s="269" t="s">
        <v>214</v>
      </c>
      <c r="E25" s="143" t="s">
        <v>217</v>
      </c>
      <c r="F25" s="143" t="s">
        <v>218</v>
      </c>
      <c r="G25" s="144">
        <v>2673.43</v>
      </c>
      <c r="H25" s="145">
        <v>0</v>
      </c>
      <c r="I25" s="144">
        <v>-2673.43</v>
      </c>
      <c r="J25" s="144">
        <v>29052.69</v>
      </c>
      <c r="K25" s="145">
        <v>0</v>
      </c>
      <c r="L25" s="144">
        <v>-29052.69</v>
      </c>
      <c r="M25" s="145">
        <v>0</v>
      </c>
      <c r="N25" s="142"/>
    </row>
    <row r="26" spans="1:14" ht="17.2" customHeight="1" thickBot="1">
      <c r="A26" s="270"/>
      <c r="B26" s="270"/>
      <c r="C26" s="271"/>
      <c r="D26" s="271"/>
      <c r="E26" s="143" t="s">
        <v>215</v>
      </c>
      <c r="F26" s="143" t="s">
        <v>216</v>
      </c>
      <c r="G26" s="145">
        <v>0</v>
      </c>
      <c r="H26" s="145">
        <v>0</v>
      </c>
      <c r="I26" s="145">
        <v>0</v>
      </c>
      <c r="J26" s="144">
        <v>545.41</v>
      </c>
      <c r="K26" s="145">
        <v>0</v>
      </c>
      <c r="L26" s="144">
        <v>-545.41</v>
      </c>
      <c r="M26" s="145">
        <v>0</v>
      </c>
      <c r="N26" s="142"/>
    </row>
    <row r="27" spans="1:14" ht="17.2" customHeight="1" thickBot="1">
      <c r="A27" s="270"/>
      <c r="B27" s="270"/>
      <c r="C27" s="143" t="s">
        <v>219</v>
      </c>
      <c r="D27" s="143" t="s">
        <v>220</v>
      </c>
      <c r="E27" s="143" t="s">
        <v>217</v>
      </c>
      <c r="F27" s="143" t="s">
        <v>218</v>
      </c>
      <c r="G27" s="144">
        <v>13836.74</v>
      </c>
      <c r="H27" s="145">
        <v>0</v>
      </c>
      <c r="I27" s="144">
        <v>-13836.74</v>
      </c>
      <c r="J27" s="144">
        <v>59281.67</v>
      </c>
      <c r="K27" s="145">
        <v>0</v>
      </c>
      <c r="L27" s="144">
        <v>-59281.67</v>
      </c>
      <c r="M27" s="145">
        <v>0</v>
      </c>
      <c r="N27" s="142"/>
    </row>
    <row r="28" spans="1:14" ht="17.2" customHeight="1" thickBot="1">
      <c r="A28" s="270"/>
      <c r="B28" s="270"/>
      <c r="C28" s="143" t="s">
        <v>209</v>
      </c>
      <c r="D28" s="143" t="s">
        <v>210</v>
      </c>
      <c r="E28" s="143" t="s">
        <v>211</v>
      </c>
      <c r="F28" s="143" t="s">
        <v>212</v>
      </c>
      <c r="G28" s="144">
        <v>5234.3</v>
      </c>
      <c r="H28" s="145">
        <v>0</v>
      </c>
      <c r="I28" s="144">
        <v>-5234.3</v>
      </c>
      <c r="J28" s="144">
        <v>63287.29</v>
      </c>
      <c r="K28" s="145">
        <v>0</v>
      </c>
      <c r="L28" s="144">
        <v>-63287.29</v>
      </c>
      <c r="M28" s="145">
        <v>0</v>
      </c>
      <c r="N28" s="142"/>
    </row>
    <row r="29" spans="1:14" ht="17.2" customHeight="1" thickBot="1">
      <c r="A29" s="270"/>
      <c r="B29" s="270"/>
      <c r="C29" s="143" t="s">
        <v>207</v>
      </c>
      <c r="D29" s="143" t="s">
        <v>208</v>
      </c>
      <c r="E29" s="143" t="s">
        <v>205</v>
      </c>
      <c r="F29" s="143" t="s">
        <v>206</v>
      </c>
      <c r="G29" s="144">
        <v>103085.35</v>
      </c>
      <c r="H29" s="145">
        <v>0</v>
      </c>
      <c r="I29" s="144">
        <v>-103085.35</v>
      </c>
      <c r="J29" s="144">
        <v>103345.05</v>
      </c>
      <c r="K29" s="145">
        <v>0</v>
      </c>
      <c r="L29" s="144">
        <v>-103345.05</v>
      </c>
      <c r="M29" s="145">
        <v>0</v>
      </c>
      <c r="N29" s="142"/>
    </row>
    <row r="30" spans="1:14" ht="17.2" customHeight="1" thickBot="1">
      <c r="A30" s="270"/>
      <c r="B30" s="270"/>
      <c r="C30" s="143" t="s">
        <v>222</v>
      </c>
      <c r="D30" s="143" t="s">
        <v>223</v>
      </c>
      <c r="E30" s="143" t="s">
        <v>224</v>
      </c>
      <c r="F30" s="143" t="s">
        <v>225</v>
      </c>
      <c r="G30" s="144">
        <v>19083.189999999999</v>
      </c>
      <c r="H30" s="145">
        <v>0</v>
      </c>
      <c r="I30" s="144">
        <v>-19083.189999999999</v>
      </c>
      <c r="J30" s="144">
        <v>671907.22</v>
      </c>
      <c r="K30" s="145">
        <v>0</v>
      </c>
      <c r="L30" s="144">
        <v>-671907.22</v>
      </c>
      <c r="M30" s="145">
        <v>0</v>
      </c>
      <c r="N30" s="142"/>
    </row>
    <row r="31" spans="1:14" ht="17.2" customHeight="1" thickBot="1">
      <c r="A31" s="270"/>
      <c r="B31" s="270"/>
      <c r="C31" s="143" t="s">
        <v>226</v>
      </c>
      <c r="D31" s="143" t="s">
        <v>227</v>
      </c>
      <c r="E31" s="143" t="s">
        <v>228</v>
      </c>
      <c r="F31" s="143" t="s">
        <v>229</v>
      </c>
      <c r="G31" s="145">
        <v>0</v>
      </c>
      <c r="H31" s="145">
        <v>0</v>
      </c>
      <c r="I31" s="145">
        <v>0</v>
      </c>
      <c r="J31" s="144">
        <v>178230.18</v>
      </c>
      <c r="K31" s="145">
        <v>0</v>
      </c>
      <c r="L31" s="144">
        <v>-178230.18</v>
      </c>
      <c r="M31" s="145">
        <v>0</v>
      </c>
      <c r="N31" s="142"/>
    </row>
    <row r="32" spans="1:14" ht="17.2" customHeight="1" thickBot="1">
      <c r="A32" s="270"/>
      <c r="B32" s="270"/>
      <c r="C32" s="143" t="s">
        <v>197</v>
      </c>
      <c r="D32" s="143" t="s">
        <v>198</v>
      </c>
      <c r="E32" s="143" t="s">
        <v>199</v>
      </c>
      <c r="F32" s="143" t="s">
        <v>200</v>
      </c>
      <c r="G32" s="144">
        <v>2851.56</v>
      </c>
      <c r="H32" s="145">
        <v>0</v>
      </c>
      <c r="I32" s="144">
        <v>-2851.56</v>
      </c>
      <c r="J32" s="144">
        <v>75057.8</v>
      </c>
      <c r="K32" s="145">
        <v>0</v>
      </c>
      <c r="L32" s="144">
        <v>-75057.8</v>
      </c>
      <c r="M32" s="145">
        <v>0</v>
      </c>
      <c r="N32" s="142"/>
    </row>
    <row r="33" spans="1:20" ht="17.2" customHeight="1" thickBot="1">
      <c r="A33" s="270"/>
      <c r="B33" s="271"/>
      <c r="C33" s="143" t="s">
        <v>230</v>
      </c>
      <c r="D33" s="143" t="s">
        <v>231</v>
      </c>
      <c r="E33" s="143" t="s">
        <v>224</v>
      </c>
      <c r="F33" s="143" t="s">
        <v>225</v>
      </c>
      <c r="G33" s="144">
        <v>21633.41</v>
      </c>
      <c r="H33" s="145">
        <v>0</v>
      </c>
      <c r="I33" s="144">
        <v>-21633.41</v>
      </c>
      <c r="J33" s="144">
        <v>567206.18000000005</v>
      </c>
      <c r="K33" s="145">
        <v>0</v>
      </c>
      <c r="L33" s="144">
        <v>-567206.18000000005</v>
      </c>
      <c r="M33" s="145">
        <v>0</v>
      </c>
      <c r="N33" s="142"/>
    </row>
    <row r="34" spans="1:20" ht="17.2" customHeight="1" thickBot="1">
      <c r="A34" s="271"/>
      <c r="B34" s="272" t="s">
        <v>232</v>
      </c>
      <c r="C34" s="273"/>
      <c r="D34" s="273"/>
      <c r="E34" s="273"/>
      <c r="F34" s="274"/>
      <c r="G34" s="146">
        <v>335783.23</v>
      </c>
      <c r="H34" s="147">
        <v>0</v>
      </c>
      <c r="I34" s="146">
        <v>-335783.23</v>
      </c>
      <c r="J34" s="146">
        <v>2429877.11</v>
      </c>
      <c r="K34" s="147">
        <v>0</v>
      </c>
      <c r="L34" s="146">
        <v>-2429877.11</v>
      </c>
      <c r="M34" s="147">
        <v>0</v>
      </c>
      <c r="N34" s="148"/>
    </row>
    <row r="35" spans="1:20" ht="17.2" customHeight="1" thickBot="1">
      <c r="A35" s="275" t="s">
        <v>232</v>
      </c>
      <c r="B35" s="276"/>
      <c r="C35" s="276"/>
      <c r="D35" s="276"/>
      <c r="E35" s="276"/>
      <c r="F35" s="277"/>
      <c r="G35" s="149">
        <v>335783.23</v>
      </c>
      <c r="H35" s="150">
        <v>0</v>
      </c>
      <c r="I35" s="149">
        <v>-335783.23</v>
      </c>
      <c r="J35" s="149">
        <v>2429877.11</v>
      </c>
      <c r="K35" s="150">
        <v>0</v>
      </c>
      <c r="L35" s="149">
        <v>-2429877.11</v>
      </c>
      <c r="M35" s="150">
        <v>0</v>
      </c>
      <c r="N35" s="151"/>
    </row>
    <row r="36" spans="1:20" ht="12.9">
      <c r="A36" s="267" t="s">
        <v>233</v>
      </c>
      <c r="B36" s="268"/>
      <c r="C36" s="268"/>
      <c r="D36" s="268"/>
      <c r="E36" s="268"/>
      <c r="F36" s="268"/>
      <c r="G36" s="268"/>
      <c r="H36" s="268"/>
      <c r="I36" s="268"/>
      <c r="J36" s="267" t="s">
        <v>234</v>
      </c>
      <c r="K36" s="268"/>
      <c r="L36" s="268"/>
      <c r="M36" s="268"/>
      <c r="N36" s="268"/>
    </row>
    <row r="37" spans="1:20" ht="12.8" customHeight="1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20" ht="12.8" customHeight="1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20" ht="14.55" thickBot="1">
      <c r="A39" s="152" t="s">
        <v>235</v>
      </c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S39" s="153"/>
    </row>
    <row r="40" spans="1:20" ht="12.8" customHeight="1">
      <c r="S40" s="153"/>
    </row>
    <row r="41" spans="1:20" ht="12.8" customHeight="1">
      <c r="S41" s="153"/>
    </row>
    <row r="42" spans="1:20" ht="12.8" customHeight="1">
      <c r="S42" s="153"/>
    </row>
    <row r="43" spans="1:20" ht="12.8" customHeight="1">
      <c r="D43" s="278" t="s">
        <v>236</v>
      </c>
      <c r="E43" s="278"/>
      <c r="F43" s="278"/>
      <c r="G43" s="278"/>
      <c r="H43" s="278"/>
      <c r="I43" s="278"/>
      <c r="S43" s="153"/>
    </row>
    <row r="45" spans="1:20" ht="12.8" customHeight="1">
      <c r="B45" s="115" t="s">
        <v>237</v>
      </c>
      <c r="S45" s="153" t="s">
        <v>238</v>
      </c>
    </row>
    <row r="46" spans="1:20" ht="17.2" customHeight="1" thickBot="1">
      <c r="A46" s="268"/>
      <c r="B46" s="268"/>
      <c r="C46" s="268"/>
      <c r="D46" s="268"/>
      <c r="E46" s="268"/>
      <c r="F46" s="268"/>
      <c r="S46" s="153"/>
    </row>
    <row r="47" spans="1:20" ht="17.2" customHeight="1" thickBot="1">
      <c r="A47" s="141" t="s">
        <v>189</v>
      </c>
      <c r="B47" s="141" t="s">
        <v>190</v>
      </c>
      <c r="C47" s="141" t="s">
        <v>191</v>
      </c>
      <c r="D47" s="141" t="s">
        <v>192</v>
      </c>
      <c r="E47" s="141" t="s">
        <v>193</v>
      </c>
      <c r="F47" s="141" t="s">
        <v>194</v>
      </c>
      <c r="G47" s="141" t="s">
        <v>47</v>
      </c>
      <c r="H47" s="141" t="s">
        <v>183</v>
      </c>
      <c r="I47" s="141" t="s">
        <v>48</v>
      </c>
      <c r="J47" s="141" t="s">
        <v>184</v>
      </c>
      <c r="K47" s="141" t="s">
        <v>185</v>
      </c>
      <c r="L47" s="141" t="s">
        <v>186</v>
      </c>
      <c r="M47" s="141" t="s">
        <v>187</v>
      </c>
      <c r="N47" s="141" t="s">
        <v>188</v>
      </c>
      <c r="S47" s="153"/>
      <c r="T47" s="115"/>
    </row>
    <row r="48" spans="1:20" ht="17.2" customHeight="1" thickBot="1">
      <c r="A48" s="269" t="s">
        <v>195</v>
      </c>
      <c r="B48" s="143" t="s">
        <v>196</v>
      </c>
      <c r="C48" s="154" t="s">
        <v>207</v>
      </c>
      <c r="D48" s="154" t="s">
        <v>208</v>
      </c>
      <c r="E48" s="143" t="s">
        <v>205</v>
      </c>
      <c r="F48" s="143" t="s">
        <v>206</v>
      </c>
      <c r="G48" s="145">
        <v>0</v>
      </c>
      <c r="H48" s="145">
        <v>0</v>
      </c>
      <c r="I48" s="145">
        <v>0</v>
      </c>
      <c r="J48" s="155">
        <v>339.6</v>
      </c>
      <c r="K48" s="145">
        <v>0</v>
      </c>
      <c r="L48" s="144">
        <v>-339.6</v>
      </c>
      <c r="M48" s="145">
        <v>0</v>
      </c>
      <c r="N48" s="142"/>
      <c r="O48" t="s">
        <v>239</v>
      </c>
      <c r="S48" s="115"/>
      <c r="T48" s="115"/>
    </row>
    <row r="49" spans="1:20" ht="17.2" customHeight="1" thickBot="1">
      <c r="A49" s="270"/>
      <c r="B49" s="143" t="s">
        <v>196</v>
      </c>
      <c r="C49" s="156" t="s">
        <v>219</v>
      </c>
      <c r="D49" s="156" t="s">
        <v>220</v>
      </c>
      <c r="E49" s="143" t="s">
        <v>217</v>
      </c>
      <c r="F49" s="143" t="s">
        <v>218</v>
      </c>
      <c r="G49" s="144">
        <v>1811.28</v>
      </c>
      <c r="H49" s="145">
        <v>0</v>
      </c>
      <c r="I49" s="144">
        <v>-1811.28</v>
      </c>
      <c r="J49" s="155">
        <v>7245.1</v>
      </c>
      <c r="K49" s="145">
        <v>0</v>
      </c>
      <c r="L49" s="144">
        <v>-7245.1</v>
      </c>
      <c r="M49" s="145">
        <v>0</v>
      </c>
      <c r="N49" s="142"/>
      <c r="O49" t="s">
        <v>240</v>
      </c>
      <c r="S49" s="115"/>
      <c r="T49" s="115"/>
    </row>
    <row r="50" spans="1:20" ht="17.2" customHeight="1" thickBot="1">
      <c r="A50" s="270"/>
      <c r="B50" s="143" t="s">
        <v>221</v>
      </c>
      <c r="C50" s="156" t="s">
        <v>219</v>
      </c>
      <c r="D50" s="156" t="s">
        <v>220</v>
      </c>
      <c r="E50" s="143" t="s">
        <v>217</v>
      </c>
      <c r="F50" s="143" t="s">
        <v>218</v>
      </c>
      <c r="G50" s="144">
        <v>13836.74</v>
      </c>
      <c r="H50" s="145">
        <v>0</v>
      </c>
      <c r="I50" s="144">
        <v>-13836.74</v>
      </c>
      <c r="J50" s="155">
        <v>59281.67</v>
      </c>
      <c r="K50" s="145">
        <v>0</v>
      </c>
      <c r="L50" s="144">
        <v>-59281.67</v>
      </c>
      <c r="M50" s="145">
        <v>0</v>
      </c>
      <c r="N50" s="142"/>
      <c r="O50" t="s">
        <v>240</v>
      </c>
      <c r="S50" s="115"/>
      <c r="T50" s="115"/>
    </row>
    <row r="51" spans="1:20" ht="17.2" customHeight="1" thickBot="1">
      <c r="A51" s="270"/>
      <c r="B51" s="143" t="s">
        <v>221</v>
      </c>
      <c r="C51" s="154" t="s">
        <v>207</v>
      </c>
      <c r="D51" s="154" t="s">
        <v>208</v>
      </c>
      <c r="E51" s="143" t="s">
        <v>205</v>
      </c>
      <c r="F51" s="143" t="s">
        <v>206</v>
      </c>
      <c r="G51" s="144">
        <v>103085.35</v>
      </c>
      <c r="H51" s="145">
        <v>0</v>
      </c>
      <c r="I51" s="144">
        <v>-103085.35</v>
      </c>
      <c r="J51" s="155">
        <v>103345.05</v>
      </c>
      <c r="K51" s="145">
        <v>0</v>
      </c>
      <c r="L51" s="144">
        <v>-103345.05</v>
      </c>
      <c r="M51" s="145">
        <v>0</v>
      </c>
      <c r="N51" s="142"/>
      <c r="O51" t="s">
        <v>239</v>
      </c>
      <c r="S51" s="115"/>
      <c r="T51" s="115"/>
    </row>
    <row r="52" spans="1:20" ht="17.2" customHeight="1" thickBot="1">
      <c r="A52" s="270"/>
      <c r="B52" s="143" t="s">
        <v>221</v>
      </c>
      <c r="C52" s="156" t="s">
        <v>222</v>
      </c>
      <c r="D52" s="156" t="s">
        <v>223</v>
      </c>
      <c r="E52" s="143" t="s">
        <v>224</v>
      </c>
      <c r="F52" s="232" t="s">
        <v>225</v>
      </c>
      <c r="G52" s="144">
        <v>19083.189999999999</v>
      </c>
      <c r="H52" s="145">
        <v>0</v>
      </c>
      <c r="I52" s="144">
        <v>-19083.189999999999</v>
      </c>
      <c r="J52" s="155">
        <v>671907.22</v>
      </c>
      <c r="K52" s="145">
        <v>0</v>
      </c>
      <c r="L52" s="144">
        <v>-671907.22</v>
      </c>
      <c r="M52" s="145">
        <v>0</v>
      </c>
      <c r="N52" s="142"/>
      <c r="O52" t="s">
        <v>240</v>
      </c>
      <c r="S52" s="115"/>
      <c r="T52" s="115"/>
    </row>
    <row r="53" spans="1:20" ht="17.2" customHeight="1" thickBot="1">
      <c r="A53" s="270"/>
      <c r="B53" s="143" t="s">
        <v>221</v>
      </c>
      <c r="C53" s="157" t="s">
        <v>230</v>
      </c>
      <c r="D53" s="157" t="s">
        <v>231</v>
      </c>
      <c r="E53" s="143" t="s">
        <v>224</v>
      </c>
      <c r="F53" s="232" t="s">
        <v>225</v>
      </c>
      <c r="G53" s="144">
        <v>21633.41</v>
      </c>
      <c r="H53" s="145">
        <v>0</v>
      </c>
      <c r="I53" s="144">
        <v>-21633.41</v>
      </c>
      <c r="J53" s="155">
        <v>567206.18000000005</v>
      </c>
      <c r="K53" s="145">
        <v>0</v>
      </c>
      <c r="L53" s="144">
        <v>-567206.18000000005</v>
      </c>
      <c r="M53" s="145">
        <v>0</v>
      </c>
      <c r="N53" s="142"/>
      <c r="O53" t="s">
        <v>241</v>
      </c>
      <c r="S53" s="115"/>
      <c r="T53" s="115"/>
    </row>
    <row r="54" spans="1:20" ht="17.2" customHeight="1" thickBot="1">
      <c r="A54" s="270"/>
      <c r="B54" s="143" t="s">
        <v>196</v>
      </c>
      <c r="C54" s="158" t="s">
        <v>197</v>
      </c>
      <c r="D54" s="158" t="s">
        <v>198</v>
      </c>
      <c r="E54" s="143" t="s">
        <v>199</v>
      </c>
      <c r="F54" s="143" t="s">
        <v>200</v>
      </c>
      <c r="G54" s="144">
        <v>4797.54</v>
      </c>
      <c r="H54" s="145">
        <v>0</v>
      </c>
      <c r="I54" s="144">
        <v>-4797.54</v>
      </c>
      <c r="J54" s="144">
        <v>108793.76</v>
      </c>
      <c r="K54" s="145">
        <v>0</v>
      </c>
      <c r="L54" s="144">
        <v>-108793.76</v>
      </c>
      <c r="M54" s="145">
        <v>0</v>
      </c>
      <c r="N54" s="142"/>
      <c r="O54" t="s">
        <v>242</v>
      </c>
      <c r="S54" s="115"/>
      <c r="T54" s="115"/>
    </row>
    <row r="55" spans="1:20" ht="17.2" customHeight="1" thickBot="1">
      <c r="A55" s="270"/>
      <c r="B55" s="143" t="s">
        <v>221</v>
      </c>
      <c r="C55" s="158" t="s">
        <v>197</v>
      </c>
      <c r="D55" s="158" t="s">
        <v>198</v>
      </c>
      <c r="E55" s="143" t="s">
        <v>199</v>
      </c>
      <c r="F55" s="143" t="s">
        <v>200</v>
      </c>
      <c r="G55" s="144">
        <v>2851.56</v>
      </c>
      <c r="H55" s="145">
        <v>0</v>
      </c>
      <c r="I55" s="144">
        <v>-2851.56</v>
      </c>
      <c r="J55" s="144">
        <v>75057.8</v>
      </c>
      <c r="K55" s="145">
        <v>0</v>
      </c>
      <c r="L55" s="144">
        <v>-75057.8</v>
      </c>
      <c r="M55" s="145">
        <v>0</v>
      </c>
      <c r="N55" s="142"/>
      <c r="O55" t="s">
        <v>242</v>
      </c>
      <c r="S55" s="115"/>
      <c r="T55" s="115"/>
    </row>
    <row r="56" spans="1:20" ht="17.2" customHeight="1" thickBot="1">
      <c r="A56" s="270"/>
      <c r="B56" s="143" t="s">
        <v>196</v>
      </c>
      <c r="C56" s="157" t="s">
        <v>213</v>
      </c>
      <c r="D56" s="157" t="s">
        <v>214</v>
      </c>
      <c r="E56" s="143" t="s">
        <v>217</v>
      </c>
      <c r="F56" s="143" t="s">
        <v>218</v>
      </c>
      <c r="G56" s="144">
        <v>3622.56</v>
      </c>
      <c r="H56" s="145">
        <v>0</v>
      </c>
      <c r="I56" s="144">
        <v>-3622.56</v>
      </c>
      <c r="J56" s="155">
        <v>10792.09</v>
      </c>
      <c r="K56" s="145">
        <v>0</v>
      </c>
      <c r="L56" s="144">
        <v>-10792.09</v>
      </c>
      <c r="M56" s="145">
        <v>0</v>
      </c>
      <c r="N56" s="142"/>
      <c r="O56" t="s">
        <v>241</v>
      </c>
      <c r="S56" s="115"/>
      <c r="T56" s="115"/>
    </row>
    <row r="57" spans="1:20" ht="17.2" customHeight="1" thickBot="1">
      <c r="A57" s="270"/>
      <c r="B57" s="143" t="s">
        <v>221</v>
      </c>
      <c r="C57" s="157" t="s">
        <v>213</v>
      </c>
      <c r="D57" s="157" t="s">
        <v>214</v>
      </c>
      <c r="E57" s="143" t="s">
        <v>217</v>
      </c>
      <c r="F57" s="143" t="s">
        <v>218</v>
      </c>
      <c r="G57" s="144">
        <v>2673.43</v>
      </c>
      <c r="H57" s="145">
        <v>0</v>
      </c>
      <c r="I57" s="144">
        <v>-2673.43</v>
      </c>
      <c r="J57" s="155">
        <v>29052.69</v>
      </c>
      <c r="K57" s="145">
        <v>0</v>
      </c>
      <c r="L57" s="144">
        <v>-29052.69</v>
      </c>
      <c r="M57" s="145">
        <v>0</v>
      </c>
      <c r="N57" s="142"/>
      <c r="O57" t="s">
        <v>241</v>
      </c>
      <c r="S57" s="115"/>
      <c r="T57" s="115"/>
    </row>
    <row r="58" spans="1:20" ht="17.2" customHeight="1" thickBot="1">
      <c r="A58" s="270"/>
      <c r="B58" s="143" t="s">
        <v>196</v>
      </c>
      <c r="C58" s="157" t="s">
        <v>213</v>
      </c>
      <c r="D58" s="157" t="s">
        <v>214</v>
      </c>
      <c r="E58" s="143" t="s">
        <v>215</v>
      </c>
      <c r="F58" s="143" t="s">
        <v>216</v>
      </c>
      <c r="G58" s="145">
        <v>0</v>
      </c>
      <c r="H58" s="145">
        <v>0</v>
      </c>
      <c r="I58" s="145">
        <v>0</v>
      </c>
      <c r="J58" s="155">
        <v>703.74</v>
      </c>
      <c r="K58" s="145">
        <v>0</v>
      </c>
      <c r="L58" s="144">
        <v>-703.74</v>
      </c>
      <c r="M58" s="145">
        <v>0</v>
      </c>
      <c r="N58" s="142"/>
      <c r="O58" t="s">
        <v>241</v>
      </c>
      <c r="S58" s="115"/>
      <c r="T58" s="115"/>
    </row>
    <row r="59" spans="1:20" ht="17.2" customHeight="1" thickBot="1">
      <c r="A59" s="270"/>
      <c r="B59" s="143" t="s">
        <v>221</v>
      </c>
      <c r="C59" s="157" t="s">
        <v>213</v>
      </c>
      <c r="D59" s="157" t="s">
        <v>214</v>
      </c>
      <c r="E59" s="143" t="s">
        <v>215</v>
      </c>
      <c r="F59" s="143" t="s">
        <v>216</v>
      </c>
      <c r="G59" s="145">
        <v>0</v>
      </c>
      <c r="H59" s="145">
        <v>0</v>
      </c>
      <c r="I59" s="145">
        <v>0</v>
      </c>
      <c r="J59" s="155">
        <v>545.41</v>
      </c>
      <c r="K59" s="145">
        <v>0</v>
      </c>
      <c r="L59" s="144">
        <v>-545.41</v>
      </c>
      <c r="M59" s="145">
        <v>0</v>
      </c>
      <c r="N59" s="142"/>
      <c r="O59" t="s">
        <v>241</v>
      </c>
      <c r="S59" s="115"/>
      <c r="T59" s="115"/>
    </row>
    <row r="60" spans="1:20" ht="17.2" customHeight="1" thickBot="1">
      <c r="A60" s="270"/>
      <c r="B60" s="143" t="s">
        <v>221</v>
      </c>
      <c r="C60" s="154" t="s">
        <v>226</v>
      </c>
      <c r="D60" s="154" t="s">
        <v>227</v>
      </c>
      <c r="E60" s="143" t="s">
        <v>228</v>
      </c>
      <c r="F60" s="143" t="s">
        <v>229</v>
      </c>
      <c r="G60" s="145">
        <v>0</v>
      </c>
      <c r="H60" s="145">
        <v>0</v>
      </c>
      <c r="I60" s="145">
        <v>0</v>
      </c>
      <c r="J60" s="155">
        <v>178230.18</v>
      </c>
      <c r="K60" s="145">
        <v>0</v>
      </c>
      <c r="L60" s="144">
        <v>-178230.18</v>
      </c>
      <c r="M60" s="145">
        <v>0</v>
      </c>
      <c r="N60" s="142"/>
      <c r="O60" t="s">
        <v>239</v>
      </c>
      <c r="S60" s="115"/>
      <c r="T60" s="115"/>
    </row>
    <row r="61" spans="1:20" ht="17.2" customHeight="1" thickBot="1">
      <c r="A61" s="270"/>
      <c r="B61" s="143" t="s">
        <v>196</v>
      </c>
      <c r="C61" s="154" t="s">
        <v>201</v>
      </c>
      <c r="D61" s="154" t="s">
        <v>202</v>
      </c>
      <c r="E61" s="143" t="s">
        <v>203</v>
      </c>
      <c r="F61" s="143" t="s">
        <v>204</v>
      </c>
      <c r="G61" s="144">
        <v>5717.76</v>
      </c>
      <c r="H61" s="145">
        <v>0</v>
      </c>
      <c r="I61" s="144">
        <v>-5717.76</v>
      </c>
      <c r="J61" s="155">
        <v>5717.76</v>
      </c>
      <c r="K61" s="145">
        <v>0</v>
      </c>
      <c r="L61" s="144">
        <v>-5717.76</v>
      </c>
      <c r="M61" s="145">
        <v>0</v>
      </c>
      <c r="N61" s="142"/>
      <c r="O61" t="s">
        <v>239</v>
      </c>
    </row>
    <row r="62" spans="1:20" ht="17.2" customHeight="1" thickBot="1">
      <c r="A62" s="270"/>
      <c r="B62" s="143" t="s">
        <v>221</v>
      </c>
      <c r="C62" s="154" t="s">
        <v>201</v>
      </c>
      <c r="D62" s="154" t="s">
        <v>202</v>
      </c>
      <c r="E62" s="143" t="s">
        <v>203</v>
      </c>
      <c r="F62" s="143" t="s">
        <v>204</v>
      </c>
      <c r="G62" s="144">
        <v>8135.29</v>
      </c>
      <c r="H62" s="145">
        <v>0</v>
      </c>
      <c r="I62" s="144">
        <v>-8135.29</v>
      </c>
      <c r="J62" s="155">
        <v>324789.36</v>
      </c>
      <c r="K62" s="145">
        <v>0</v>
      </c>
      <c r="L62" s="144">
        <v>-324789.36</v>
      </c>
      <c r="M62" s="145">
        <v>0</v>
      </c>
      <c r="N62" s="142"/>
      <c r="O62" t="s">
        <v>239</v>
      </c>
    </row>
    <row r="63" spans="1:20" ht="17.2" customHeight="1" thickBot="1">
      <c r="A63" s="270"/>
      <c r="B63" s="143" t="s">
        <v>196</v>
      </c>
      <c r="C63" s="157" t="s">
        <v>209</v>
      </c>
      <c r="D63" s="157" t="s">
        <v>210</v>
      </c>
      <c r="E63" s="143" t="s">
        <v>211</v>
      </c>
      <c r="F63" s="143" t="s">
        <v>212</v>
      </c>
      <c r="G63" s="144">
        <v>7422.81</v>
      </c>
      <c r="H63" s="145">
        <v>0</v>
      </c>
      <c r="I63" s="144">
        <v>-7422.81</v>
      </c>
      <c r="J63" s="155">
        <v>84247.25</v>
      </c>
      <c r="K63" s="145">
        <v>0</v>
      </c>
      <c r="L63" s="144">
        <v>-84247.25</v>
      </c>
      <c r="M63" s="145">
        <v>0</v>
      </c>
      <c r="N63" s="142"/>
      <c r="O63" t="s">
        <v>241</v>
      </c>
    </row>
    <row r="64" spans="1:20" ht="17.2" customHeight="1" thickBot="1">
      <c r="A64" s="270"/>
      <c r="B64" s="143" t="s">
        <v>221</v>
      </c>
      <c r="C64" s="157" t="s">
        <v>209</v>
      </c>
      <c r="D64" s="157" t="s">
        <v>210</v>
      </c>
      <c r="E64" s="143" t="s">
        <v>211</v>
      </c>
      <c r="F64" s="143" t="s">
        <v>212</v>
      </c>
      <c r="G64" s="144">
        <v>5234.3</v>
      </c>
      <c r="H64" s="145">
        <v>0</v>
      </c>
      <c r="I64" s="144">
        <v>-5234.3</v>
      </c>
      <c r="J64" s="155">
        <v>63287.29</v>
      </c>
      <c r="K64" s="145">
        <v>0</v>
      </c>
      <c r="L64" s="144">
        <v>-63287.29</v>
      </c>
      <c r="M64" s="145">
        <v>0</v>
      </c>
      <c r="N64" s="142"/>
      <c r="O64" t="s">
        <v>241</v>
      </c>
    </row>
    <row r="65" spans="1:15" ht="17.2" customHeight="1" thickBot="1">
      <c r="A65" s="270"/>
      <c r="B65" s="143" t="s">
        <v>196</v>
      </c>
      <c r="C65" s="154" t="s">
        <v>201</v>
      </c>
      <c r="D65" s="154" t="s">
        <v>202</v>
      </c>
      <c r="E65" s="143" t="s">
        <v>205</v>
      </c>
      <c r="F65" s="143" t="s">
        <v>206</v>
      </c>
      <c r="G65" s="145">
        <v>0</v>
      </c>
      <c r="H65" s="145">
        <v>0</v>
      </c>
      <c r="I65" s="145">
        <v>0</v>
      </c>
      <c r="J65" s="155">
        <v>1962.22</v>
      </c>
      <c r="K65" s="145">
        <v>0</v>
      </c>
      <c r="L65" s="144">
        <v>-1962.22</v>
      </c>
      <c r="M65" s="145">
        <v>0</v>
      </c>
      <c r="N65" s="142"/>
      <c r="O65" t="s">
        <v>239</v>
      </c>
    </row>
    <row r="66" spans="1:15" ht="17.2" customHeight="1" thickBot="1">
      <c r="A66" s="270"/>
      <c r="B66" s="143" t="s">
        <v>221</v>
      </c>
      <c r="C66" s="154" t="s">
        <v>201</v>
      </c>
      <c r="D66" s="154" t="s">
        <v>202</v>
      </c>
      <c r="E66" s="143" t="s">
        <v>205</v>
      </c>
      <c r="F66" s="143" t="s">
        <v>206</v>
      </c>
      <c r="G66" s="144">
        <v>135878.01</v>
      </c>
      <c r="H66" s="145">
        <v>0</v>
      </c>
      <c r="I66" s="144">
        <v>-135878.01</v>
      </c>
      <c r="J66" s="155">
        <v>137372.74</v>
      </c>
      <c r="K66" s="145">
        <v>0</v>
      </c>
      <c r="L66" s="144">
        <v>-137372.74</v>
      </c>
      <c r="M66" s="145">
        <v>0</v>
      </c>
      <c r="N66" s="142"/>
      <c r="O66" t="s">
        <v>239</v>
      </c>
    </row>
    <row r="67" spans="1:15" ht="17.2" customHeight="1" thickBot="1">
      <c r="A67" s="271"/>
      <c r="B67" s="272" t="s">
        <v>232</v>
      </c>
      <c r="C67" s="273"/>
      <c r="D67" s="273"/>
      <c r="E67" s="273"/>
      <c r="F67" s="274"/>
      <c r="G67" s="146">
        <v>335783.23</v>
      </c>
      <c r="H67" s="147">
        <v>0</v>
      </c>
      <c r="I67" s="146">
        <v>-335783.23</v>
      </c>
      <c r="J67" s="146">
        <v>2429877.11</v>
      </c>
      <c r="K67" s="147">
        <v>0</v>
      </c>
      <c r="L67" s="146">
        <v>-2429877.11</v>
      </c>
      <c r="M67" s="147">
        <v>0</v>
      </c>
      <c r="N67" s="148"/>
    </row>
    <row r="68" spans="1:15" ht="17.2" customHeight="1" thickBot="1">
      <c r="A68" s="275" t="s">
        <v>232</v>
      </c>
      <c r="B68" s="276"/>
      <c r="C68" s="276"/>
      <c r="D68" s="276"/>
      <c r="E68" s="276"/>
      <c r="F68" s="277"/>
      <c r="G68" s="149">
        <v>335783.23</v>
      </c>
      <c r="H68" s="150">
        <v>0</v>
      </c>
      <c r="I68" s="149">
        <v>-335783.23</v>
      </c>
      <c r="J68" s="149">
        <v>2429877.11</v>
      </c>
      <c r="K68" s="150">
        <v>0</v>
      </c>
      <c r="L68" s="149">
        <v>-2429877.11</v>
      </c>
      <c r="M68" s="150">
        <v>0</v>
      </c>
      <c r="N68" s="151"/>
    </row>
    <row r="69" spans="1:15" ht="12.9">
      <c r="A69" s="267" t="s">
        <v>233</v>
      </c>
      <c r="B69" s="268"/>
      <c r="C69" s="268"/>
      <c r="D69" s="268"/>
      <c r="E69" s="268"/>
      <c r="F69" s="268"/>
      <c r="G69" s="268"/>
      <c r="H69" s="268"/>
      <c r="I69" s="268"/>
      <c r="J69" s="267" t="s">
        <v>234</v>
      </c>
      <c r="K69" s="268"/>
      <c r="L69" s="268"/>
      <c r="M69" s="268"/>
      <c r="N69" s="268"/>
    </row>
    <row r="70" spans="1:15" ht="12.9">
      <c r="A70" s="159"/>
      <c r="J70" s="159"/>
    </row>
    <row r="71" spans="1:15" ht="12.8" customHeight="1">
      <c r="B71" t="s">
        <v>243</v>
      </c>
      <c r="I71" s="138" t="s">
        <v>244</v>
      </c>
      <c r="J71" s="138"/>
      <c r="K71" s="138"/>
    </row>
    <row r="72" spans="1:15" ht="12.8" customHeight="1">
      <c r="B72" s="160" t="s">
        <v>301</v>
      </c>
      <c r="I72" s="161">
        <f>+J54+J55</f>
        <v>183851.56</v>
      </c>
    </row>
    <row r="73" spans="1:15" ht="12.8" customHeight="1">
      <c r="B73" s="162" t="s">
        <v>245</v>
      </c>
      <c r="I73" s="163">
        <f>+J48+J51++J61+J62+J65+J66+J60</f>
        <v>751756.90999999992</v>
      </c>
    </row>
    <row r="74" spans="1:15" ht="12.8" customHeight="1">
      <c r="B74" s="164" t="s">
        <v>246</v>
      </c>
      <c r="I74" s="165">
        <f>+J49+J50+J52</f>
        <v>738433.99</v>
      </c>
    </row>
    <row r="75" spans="1:15" ht="12.8" customHeight="1">
      <c r="B75" s="166" t="s">
        <v>247</v>
      </c>
      <c r="I75" s="167">
        <f>+J53+J56+J57+J58+J59+J63+J64</f>
        <v>755834.65</v>
      </c>
    </row>
    <row r="76" spans="1:15" ht="12.8" customHeight="1">
      <c r="I76" s="168">
        <f>SUM(I72:I75)</f>
        <v>2429877.11</v>
      </c>
    </row>
    <row r="77" spans="1:15" ht="12.4" customHeight="1" thickBot="1">
      <c r="I77" s="169"/>
      <c r="M77" t="s">
        <v>248</v>
      </c>
    </row>
    <row r="78" spans="1:15" ht="12.4" customHeight="1">
      <c r="I78" s="169"/>
      <c r="M78" s="170" t="s">
        <v>249</v>
      </c>
      <c r="N78" s="171"/>
    </row>
    <row r="79" spans="1:15" ht="12.4" customHeight="1" thickBot="1">
      <c r="I79" s="169"/>
      <c r="M79" s="172">
        <v>0.6</v>
      </c>
      <c r="N79" s="173">
        <v>0.4</v>
      </c>
      <c r="O79" s="174" t="s">
        <v>250</v>
      </c>
    </row>
    <row r="80" spans="1:15" ht="12.4" customHeight="1">
      <c r="I80" s="169"/>
      <c r="M80" s="170" t="s">
        <v>251</v>
      </c>
      <c r="N80" s="171"/>
    </row>
    <row r="81" spans="6:16" ht="12.4" customHeight="1" thickBot="1">
      <c r="I81" s="169"/>
      <c r="M81" s="172">
        <v>0.7</v>
      </c>
      <c r="N81" s="173">
        <v>0.3</v>
      </c>
      <c r="O81" s="174" t="s">
        <v>252</v>
      </c>
    </row>
    <row r="82" spans="6:16" ht="12.8" customHeight="1" thickBot="1">
      <c r="I82" s="169"/>
    </row>
    <row r="83" spans="6:16" ht="12.8" customHeight="1">
      <c r="I83" s="169"/>
      <c r="M83" s="170" t="s">
        <v>253</v>
      </c>
      <c r="N83" s="171"/>
    </row>
    <row r="84" spans="6:16" ht="12.8" customHeight="1" thickBot="1">
      <c r="I84" s="169"/>
      <c r="M84" s="175">
        <v>0.65639999999999998</v>
      </c>
      <c r="N84" s="176">
        <f>100%-M84</f>
        <v>0.34360000000000002</v>
      </c>
    </row>
    <row r="85" spans="6:16" ht="12.8" customHeight="1">
      <c r="I85" s="169"/>
    </row>
    <row r="86" spans="6:16" ht="32.799999999999997" customHeight="1">
      <c r="G86" s="177" t="s">
        <v>254</v>
      </c>
      <c r="L86" s="177" t="s">
        <v>255</v>
      </c>
      <c r="M86" s="138" t="s">
        <v>125</v>
      </c>
      <c r="N86" s="138" t="s">
        <v>124</v>
      </c>
      <c r="O86" s="178" t="s">
        <v>256</v>
      </c>
    </row>
    <row r="87" spans="6:16" ht="12.8" customHeight="1" thickBot="1">
      <c r="G87">
        <v>880</v>
      </c>
      <c r="J87" s="246" t="s">
        <v>257</v>
      </c>
      <c r="L87" s="221">
        <v>751756.91</v>
      </c>
      <c r="M87" s="178">
        <f>+J61+J62+J60+J65+J66</f>
        <v>648072.26</v>
      </c>
      <c r="N87" s="178">
        <f>+J48+J51</f>
        <v>103684.65000000001</v>
      </c>
      <c r="O87" s="178">
        <f>SUM(M87:N87)</f>
        <v>751756.91</v>
      </c>
      <c r="P87" t="s">
        <v>258</v>
      </c>
    </row>
    <row r="88" spans="6:16" ht="12.8" customHeight="1" thickBot="1">
      <c r="J88" s="247" t="s">
        <v>210</v>
      </c>
      <c r="L88" s="221">
        <v>147534.54</v>
      </c>
      <c r="M88" s="178">
        <f>+J63+J64</f>
        <v>147534.54</v>
      </c>
      <c r="N88" s="178"/>
      <c r="O88" s="178">
        <f t="shared" ref="O88:O91" si="0">SUM(M88:N88)</f>
        <v>147534.54</v>
      </c>
      <c r="P88" t="s">
        <v>258</v>
      </c>
    </row>
    <row r="89" spans="6:16" ht="12.8" customHeight="1" thickBot="1">
      <c r="G89">
        <v>1300</v>
      </c>
      <c r="J89" s="247" t="s">
        <v>259</v>
      </c>
      <c r="L89" s="221">
        <v>1239113.3999999999</v>
      </c>
      <c r="M89" s="178">
        <f>+J53</f>
        <v>567206.18000000005</v>
      </c>
      <c r="N89" s="178">
        <f>+J52</f>
        <v>671907.22</v>
      </c>
      <c r="O89" s="178">
        <f t="shared" si="0"/>
        <v>1239113.3999999999</v>
      </c>
      <c r="P89" t="s">
        <v>258</v>
      </c>
    </row>
    <row r="90" spans="6:16" ht="12.8" customHeight="1" thickBot="1">
      <c r="F90" t="s">
        <v>260</v>
      </c>
      <c r="G90">
        <v>236</v>
      </c>
      <c r="J90" s="247" t="s">
        <v>261</v>
      </c>
      <c r="L90" s="180">
        <v>107620.70000000001</v>
      </c>
      <c r="M90" s="178">
        <f>+J56+J57+J58+J59</f>
        <v>41093.93</v>
      </c>
      <c r="N90" s="178">
        <f>+J49+J50</f>
        <v>66526.77</v>
      </c>
      <c r="O90" s="178">
        <f t="shared" si="0"/>
        <v>107620.70000000001</v>
      </c>
      <c r="P90" t="s">
        <v>258</v>
      </c>
    </row>
    <row r="91" spans="6:16" ht="12.8" customHeight="1" thickBot="1">
      <c r="G91" s="181"/>
      <c r="J91" s="248" t="s">
        <v>198</v>
      </c>
      <c r="L91" s="169">
        <f>+J54+J55</f>
        <v>183851.56</v>
      </c>
      <c r="M91" s="182">
        <f>+L91*M81</f>
        <v>128696.09199999999</v>
      </c>
      <c r="N91" s="182">
        <f>+L91*N81</f>
        <v>55155.468000000001</v>
      </c>
      <c r="O91" s="182">
        <f t="shared" si="0"/>
        <v>183851.56</v>
      </c>
      <c r="P91" t="s">
        <v>262</v>
      </c>
    </row>
    <row r="92" spans="6:16" ht="12.8" customHeight="1">
      <c r="G92">
        <f>SUM(G87:G91)</f>
        <v>2416</v>
      </c>
      <c r="M92" s="180">
        <f>SUM(M87:M91)</f>
        <v>1532603.0019999999</v>
      </c>
      <c r="N92" s="180">
        <f>SUM(N87:N91)</f>
        <v>897274.10800000001</v>
      </c>
      <c r="O92" s="168">
        <f>SUM(O87:O91)</f>
        <v>2429877.1100000003</v>
      </c>
    </row>
    <row r="93" spans="6:16" ht="12.8" customHeight="1">
      <c r="N93" s="180">
        <f>+N92+M92</f>
        <v>2429877.11</v>
      </c>
    </row>
  </sheetData>
  <mergeCells count="43">
    <mergeCell ref="A1:M8"/>
    <mergeCell ref="A9:E9"/>
    <mergeCell ref="F9:I9"/>
    <mergeCell ref="J9:N9"/>
    <mergeCell ref="A10:E11"/>
    <mergeCell ref="F10:G11"/>
    <mergeCell ref="J10:N11"/>
    <mergeCell ref="B34:F34"/>
    <mergeCell ref="A12:E12"/>
    <mergeCell ref="F12:I12"/>
    <mergeCell ref="J12:N12"/>
    <mergeCell ref="A13:F13"/>
    <mergeCell ref="A15:A34"/>
    <mergeCell ref="B15:B22"/>
    <mergeCell ref="C16:C17"/>
    <mergeCell ref="D16:D17"/>
    <mergeCell ref="C20:C21"/>
    <mergeCell ref="D20:D21"/>
    <mergeCell ref="B23:B33"/>
    <mergeCell ref="C23:C24"/>
    <mergeCell ref="D23:D24"/>
    <mergeCell ref="C25:C26"/>
    <mergeCell ref="D25:D26"/>
    <mergeCell ref="D43:I43"/>
    <mergeCell ref="A35:F35"/>
    <mergeCell ref="A36:C36"/>
    <mergeCell ref="D36:I36"/>
    <mergeCell ref="J36:N36"/>
    <mergeCell ref="A37:C37"/>
    <mergeCell ref="D37:I37"/>
    <mergeCell ref="J37:N37"/>
    <mergeCell ref="A38:C38"/>
    <mergeCell ref="D38:I38"/>
    <mergeCell ref="J38:N38"/>
    <mergeCell ref="D39:I39"/>
    <mergeCell ref="J39:N39"/>
    <mergeCell ref="J69:N69"/>
    <mergeCell ref="A46:F46"/>
    <mergeCell ref="A48:A67"/>
    <mergeCell ref="B67:F67"/>
    <mergeCell ref="A68:F68"/>
    <mergeCell ref="A69:C69"/>
    <mergeCell ref="D69:I69"/>
  </mergeCells>
  <pageMargins left="0.56000000000000005" right="0.55000000000000004" top="0.56999999999999995" bottom="0.75" header="0.3" footer="0.3"/>
  <pageSetup scale="40" orientation="landscape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</oddFooter>
  </headerFooter>
  <rowBreaks count="1" manualBreakCount="1"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9C57E-A630-499C-A03A-D554F7CD46B8}">
  <sheetPr>
    <tabColor theme="2" tint="-9.9978637043366805E-2"/>
  </sheetPr>
  <dimension ref="A1:Q39"/>
  <sheetViews>
    <sheetView workbookViewId="0">
      <selection activeCell="E6" sqref="E6"/>
    </sheetView>
    <sheetView tabSelected="1" workbookViewId="1">
      <selection activeCell="I9" sqref="I9"/>
    </sheetView>
  </sheetViews>
  <sheetFormatPr defaultRowHeight="12.9"/>
  <cols>
    <col min="1" max="1" width="21.296875" customWidth="1"/>
    <col min="4" max="4" width="9.59765625" bestFit="1" customWidth="1"/>
    <col min="5" max="6" width="9.59765625" customWidth="1"/>
    <col min="7" max="7" width="11" bestFit="1" customWidth="1"/>
    <col min="8" max="8" width="9.69921875" bestFit="1" customWidth="1"/>
    <col min="9" max="9" width="10.59765625" bestFit="1" customWidth="1"/>
    <col min="10" max="10" width="11.8984375" customWidth="1"/>
    <col min="11" max="11" width="13.8984375" customWidth="1"/>
    <col min="12" max="12" width="10.3984375" bestFit="1" customWidth="1"/>
    <col min="13" max="13" width="19.8984375" bestFit="1" customWidth="1"/>
  </cols>
  <sheetData>
    <row r="1" spans="1:16" ht="14.55" thickBot="1">
      <c r="C1" s="189"/>
      <c r="D1" s="189"/>
      <c r="E1" s="189" t="s">
        <v>263</v>
      </c>
      <c r="F1" s="189"/>
      <c r="G1" s="189"/>
      <c r="H1" s="189"/>
      <c r="I1" s="189"/>
      <c r="J1" s="189"/>
      <c r="K1" s="220"/>
      <c r="L1" s="220"/>
      <c r="M1" s="189"/>
      <c r="N1" s="189"/>
    </row>
    <row r="2" spans="1:16" ht="14">
      <c r="E2" s="284" t="s">
        <v>264</v>
      </c>
      <c r="F2" s="284"/>
      <c r="G2" s="284"/>
      <c r="H2" s="284"/>
      <c r="I2" s="284"/>
      <c r="J2" s="285"/>
      <c r="K2" s="183" t="s">
        <v>253</v>
      </c>
      <c r="L2" s="184"/>
    </row>
    <row r="3" spans="1:16" ht="14.55" thickBot="1">
      <c r="D3" t="s">
        <v>265</v>
      </c>
      <c r="K3" s="185">
        <v>0.65639999999999998</v>
      </c>
      <c r="L3" s="186">
        <f>100%-K3</f>
        <v>0.34360000000000002</v>
      </c>
    </row>
    <row r="4" spans="1:16" ht="14">
      <c r="D4" t="s">
        <v>266</v>
      </c>
      <c r="E4" t="s">
        <v>267</v>
      </c>
      <c r="F4" t="s">
        <v>268</v>
      </c>
      <c r="G4" t="s">
        <v>269</v>
      </c>
      <c r="H4" s="187"/>
      <c r="I4" s="187"/>
      <c r="J4" s="286" t="s">
        <v>270</v>
      </c>
    </row>
    <row r="5" spans="1:16" ht="14">
      <c r="B5" s="188" t="s">
        <v>13</v>
      </c>
      <c r="D5" s="189">
        <v>2020</v>
      </c>
      <c r="E5" s="189">
        <v>2020</v>
      </c>
      <c r="F5" s="189">
        <v>2020</v>
      </c>
      <c r="G5" s="189">
        <v>2020</v>
      </c>
      <c r="H5" s="190">
        <v>2021</v>
      </c>
      <c r="I5" s="190">
        <v>2022</v>
      </c>
      <c r="J5" s="287"/>
      <c r="K5" s="191" t="s">
        <v>125</v>
      </c>
      <c r="L5" s="192" t="s">
        <v>124</v>
      </c>
      <c r="M5" s="193" t="s">
        <v>271</v>
      </c>
      <c r="N5" s="189" t="s">
        <v>272</v>
      </c>
      <c r="P5">
        <v>995</v>
      </c>
    </row>
    <row r="6" spans="1:16" ht="20.95">
      <c r="C6" t="s">
        <v>273</v>
      </c>
      <c r="D6" s="2">
        <v>880</v>
      </c>
      <c r="E6" s="2">
        <f>+'ActualO&amp;MStaff DR 61allocated'!M87/1000</f>
        <v>648.07226000000003</v>
      </c>
      <c r="F6" s="2">
        <f>+'ActualO&amp;MStaff DR 61allocated'!N87/1000</f>
        <v>103.68465</v>
      </c>
      <c r="G6" s="2">
        <f>SUM(E6:F6)</f>
        <v>751.75691000000006</v>
      </c>
      <c r="H6" s="194">
        <v>1324</v>
      </c>
      <c r="I6" s="194">
        <v>1602</v>
      </c>
      <c r="J6" s="195">
        <f>(H6/12*3)+(I6/12*9)</f>
        <v>1532.5</v>
      </c>
      <c r="K6" s="196">
        <f>+E6+E7</f>
        <v>795.60680000000002</v>
      </c>
      <c r="L6" s="197">
        <f>+F6</f>
        <v>103.68465</v>
      </c>
      <c r="M6" s="198">
        <f>K6</f>
        <v>795.60680000000002</v>
      </c>
      <c r="N6" s="3">
        <f>L6+M26</f>
        <v>98.18858700787402</v>
      </c>
    </row>
    <row r="7" spans="1:16" ht="14.55" thickBot="1">
      <c r="C7" s="179" t="s">
        <v>274</v>
      </c>
      <c r="D7" s="2"/>
      <c r="E7" s="2">
        <f>+'ActualO&amp;MStaff DR 61allocated'!M88/1000</f>
        <v>147.53454000000002</v>
      </c>
      <c r="F7" s="2"/>
      <c r="G7" s="2">
        <f>SUM(E7:F7)</f>
        <v>147.53454000000002</v>
      </c>
      <c r="H7" s="194"/>
      <c r="I7" s="194"/>
      <c r="J7" s="195"/>
      <c r="K7" s="199"/>
      <c r="L7" s="197"/>
      <c r="M7" s="3"/>
      <c r="N7" s="3"/>
    </row>
    <row r="8" spans="1:16" ht="14">
      <c r="D8" s="2"/>
      <c r="E8" s="2"/>
      <c r="F8" s="2"/>
      <c r="G8" s="2"/>
      <c r="H8" s="194"/>
      <c r="I8" s="194"/>
      <c r="J8" s="187"/>
      <c r="K8" s="183" t="s">
        <v>249</v>
      </c>
      <c r="L8" s="184"/>
    </row>
    <row r="9" spans="1:16" ht="14.55" thickBot="1">
      <c r="B9" s="174" t="s">
        <v>18</v>
      </c>
      <c r="H9" s="187"/>
      <c r="I9" s="187"/>
      <c r="J9" s="187"/>
      <c r="K9" s="200">
        <v>0.6</v>
      </c>
      <c r="L9" s="201">
        <v>0.4</v>
      </c>
      <c r="M9" s="174" t="s">
        <v>250</v>
      </c>
    </row>
    <row r="10" spans="1:16" ht="14">
      <c r="B10" s="174"/>
      <c r="H10" s="187"/>
      <c r="I10" s="187"/>
      <c r="J10" s="187"/>
      <c r="K10" s="183" t="s">
        <v>251</v>
      </c>
      <c r="L10" s="184"/>
    </row>
    <row r="11" spans="1:16" ht="14.55" thickBot="1">
      <c r="B11" s="174"/>
      <c r="H11" s="187"/>
      <c r="I11" s="187"/>
      <c r="J11" s="187"/>
      <c r="K11" s="200">
        <v>0.7</v>
      </c>
      <c r="L11" s="201">
        <v>0.3</v>
      </c>
      <c r="M11" s="174" t="s">
        <v>252</v>
      </c>
    </row>
    <row r="12" spans="1:16" ht="14">
      <c r="C12" t="s">
        <v>273</v>
      </c>
      <c r="D12" s="181">
        <v>1536</v>
      </c>
      <c r="E12" s="202">
        <f>SUM(E13:E15)</f>
        <v>736.99620200000004</v>
      </c>
      <c r="F12" s="202">
        <f t="shared" ref="F12:G12" si="0">SUM(F13:F15)</f>
        <v>793.58945800000004</v>
      </c>
      <c r="G12" s="202">
        <f t="shared" si="0"/>
        <v>1530.58566</v>
      </c>
      <c r="H12" s="203">
        <v>4047</v>
      </c>
      <c r="I12" s="203">
        <v>5315</v>
      </c>
      <c r="J12" s="204">
        <f>(H12/12*3)+(I12/12*9)</f>
        <v>4998</v>
      </c>
      <c r="K12" s="205">
        <f>SUM(K13:K14)</f>
        <v>736.99620200000004</v>
      </c>
      <c r="L12" s="202">
        <f>SUM(L13:L14)</f>
        <v>793.58945799999992</v>
      </c>
      <c r="M12" s="206">
        <f>K12</f>
        <v>736.99620200000004</v>
      </c>
      <c r="N12" s="202">
        <f>L12+M24</f>
        <v>718.29972919892009</v>
      </c>
      <c r="P12">
        <v>3030</v>
      </c>
    </row>
    <row r="13" spans="1:16" ht="20.95">
      <c r="C13" s="179" t="s">
        <v>259</v>
      </c>
      <c r="D13" s="2">
        <v>1300</v>
      </c>
      <c r="E13" s="2">
        <f>+'ActualO&amp;MStaff DR 61allocated'!M89/1000</f>
        <v>567.20618000000002</v>
      </c>
      <c r="F13" s="2">
        <f>+'ActualO&amp;MStaff DR 61allocated'!N89/1000</f>
        <v>671.90721999999994</v>
      </c>
      <c r="G13" s="2">
        <f>SUM(E13:F13)</f>
        <v>1239.1134</v>
      </c>
      <c r="H13" s="194">
        <v>2500</v>
      </c>
      <c r="I13" s="194">
        <v>3100</v>
      </c>
      <c r="J13" s="195">
        <f>(H13/12*3)+(I13/12*9)</f>
        <v>2950</v>
      </c>
      <c r="K13" s="127">
        <f>+E13</f>
        <v>567.20618000000002</v>
      </c>
      <c r="L13" s="3">
        <f>+F13</f>
        <v>671.90721999999994</v>
      </c>
      <c r="M13" s="207">
        <f>K13</f>
        <v>567.20618000000002</v>
      </c>
      <c r="N13" s="3">
        <f>L13+M24</f>
        <v>596.61749119892011</v>
      </c>
    </row>
    <row r="14" spans="1:16" ht="20.95">
      <c r="A14" s="208"/>
      <c r="C14" s="179" t="s">
        <v>275</v>
      </c>
      <c r="D14" s="2">
        <v>236</v>
      </c>
      <c r="E14" s="2">
        <f>+'ActualO&amp;MStaff DR 61allocated'!M90/1000</f>
        <v>41.09393</v>
      </c>
      <c r="F14" s="2">
        <f>+'ActualO&amp;MStaff DR 61allocated'!N90/1000</f>
        <v>66.526769999999999</v>
      </c>
      <c r="G14" s="2">
        <f t="shared" ref="G14:G15" si="1">SUM(E14:F14)</f>
        <v>107.6207</v>
      </c>
      <c r="H14" s="194">
        <f t="shared" ref="H14:I14" si="2">H12-H13</f>
        <v>1547</v>
      </c>
      <c r="I14" s="194">
        <f t="shared" si="2"/>
        <v>2215</v>
      </c>
      <c r="J14" s="195">
        <f>(H14/12*3)+(I14/12*9)</f>
        <v>2048</v>
      </c>
      <c r="K14" s="127">
        <f>+E14+E15</f>
        <v>169.79002199999999</v>
      </c>
      <c r="L14" s="3">
        <f>+F14+F15</f>
        <v>121.682238</v>
      </c>
      <c r="M14" s="207">
        <f>K14</f>
        <v>169.79002199999999</v>
      </c>
      <c r="N14" s="3">
        <f>L14</f>
        <v>121.682238</v>
      </c>
    </row>
    <row r="15" spans="1:16" ht="14">
      <c r="C15" s="179" t="s">
        <v>276</v>
      </c>
      <c r="D15" s="2"/>
      <c r="E15" s="2">
        <f>+'ActualO&amp;MStaff DR 61allocated'!M91/1000</f>
        <v>128.69609199999999</v>
      </c>
      <c r="F15" s="2">
        <f>+'ActualO&amp;MStaff DR 61allocated'!N91/1000</f>
        <v>55.155467999999999</v>
      </c>
      <c r="G15" s="2">
        <f t="shared" si="1"/>
        <v>183.85156000000001</v>
      </c>
      <c r="H15" s="194"/>
      <c r="I15" s="194"/>
      <c r="J15" s="187"/>
    </row>
    <row r="16" spans="1:16" ht="14.55" thickBot="1">
      <c r="B16" t="s">
        <v>273</v>
      </c>
      <c r="D16" s="209">
        <f t="shared" ref="D16:N16" si="3">D6+D12</f>
        <v>2416</v>
      </c>
      <c r="E16" s="209">
        <f t="shared" ref="E16:F16" si="4">E6+E12+E7</f>
        <v>1532.6030020000003</v>
      </c>
      <c r="F16" s="209">
        <f t="shared" si="4"/>
        <v>897.27410800000007</v>
      </c>
      <c r="G16" s="209">
        <f>G6+G12+G7</f>
        <v>2429.8771099999999</v>
      </c>
      <c r="H16" s="210">
        <f t="shared" si="3"/>
        <v>5371</v>
      </c>
      <c r="I16" s="210">
        <f t="shared" si="3"/>
        <v>6917</v>
      </c>
      <c r="J16" s="211">
        <f t="shared" si="3"/>
        <v>6530.5</v>
      </c>
      <c r="K16" s="212">
        <f t="shared" si="3"/>
        <v>1532.6030020000001</v>
      </c>
      <c r="L16" s="135">
        <f t="shared" si="3"/>
        <v>897.27410799999996</v>
      </c>
      <c r="M16" s="213">
        <f t="shared" si="3"/>
        <v>1532.6030020000001</v>
      </c>
      <c r="N16" s="135">
        <f t="shared" si="3"/>
        <v>816.48831620679414</v>
      </c>
    </row>
    <row r="17" spans="2:17" ht="13.45" thickTop="1">
      <c r="D17" s="3"/>
      <c r="E17" s="3"/>
      <c r="F17" s="3"/>
      <c r="G17" s="3"/>
      <c r="H17" s="3"/>
      <c r="I17" s="3"/>
      <c r="J17" s="179"/>
    </row>
    <row r="18" spans="2:17" ht="14">
      <c r="D18" s="3"/>
      <c r="E18" s="3"/>
      <c r="F18" s="3"/>
      <c r="G18" s="3"/>
      <c r="H18" s="3"/>
      <c r="I18" s="3"/>
      <c r="N18" s="214" t="s">
        <v>277</v>
      </c>
      <c r="O18" s="214"/>
      <c r="P18" s="214"/>
      <c r="Q18" s="214"/>
    </row>
    <row r="19" spans="2:17" ht="14">
      <c r="C19" s="215" t="s">
        <v>278</v>
      </c>
      <c r="D19" s="214"/>
      <c r="E19" s="214"/>
      <c r="F19" s="214"/>
      <c r="G19" s="214"/>
      <c r="H19" s="216">
        <v>500</v>
      </c>
      <c r="I19" s="216">
        <v>500</v>
      </c>
      <c r="N19" s="217">
        <f>J16</f>
        <v>6530.5</v>
      </c>
      <c r="O19" s="214" t="s">
        <v>279</v>
      </c>
      <c r="P19" s="214"/>
      <c r="Q19" s="214"/>
    </row>
    <row r="20" spans="2:17" ht="14.55" thickBot="1">
      <c r="C20" s="214"/>
      <c r="D20" s="214"/>
      <c r="E20" s="214"/>
      <c r="F20" s="214"/>
      <c r="G20" s="214"/>
      <c r="H20" s="218">
        <f>SUM(H16:H19)</f>
        <v>5871</v>
      </c>
      <c r="I20" s="218">
        <f>SUM(I16:I19)</f>
        <v>7417</v>
      </c>
      <c r="N20" s="219">
        <f>K28</f>
        <v>-265</v>
      </c>
      <c r="O20" s="214" t="s">
        <v>280</v>
      </c>
      <c r="P20" s="214"/>
      <c r="Q20" s="214"/>
    </row>
    <row r="21" spans="2:17" ht="14.55" thickTop="1">
      <c r="H21" s="3"/>
      <c r="I21" s="3"/>
      <c r="N21" s="217">
        <f>SUM(N19:N20)</f>
        <v>6265.5</v>
      </c>
      <c r="O21" s="214"/>
      <c r="P21" s="214"/>
      <c r="Q21" s="214"/>
    </row>
    <row r="22" spans="2:17" s="233" customFormat="1" ht="14">
      <c r="D22" s="282" t="s">
        <v>281</v>
      </c>
      <c r="E22" s="234"/>
      <c r="F22" s="234"/>
      <c r="G22" s="234"/>
      <c r="J22" s="282" t="s">
        <v>282</v>
      </c>
      <c r="K22" s="235" t="s">
        <v>283</v>
      </c>
      <c r="L22" s="281" t="s">
        <v>284</v>
      </c>
      <c r="M22" s="281"/>
    </row>
    <row r="23" spans="2:17" s="233" customFormat="1" ht="14">
      <c r="B23" s="236" t="s">
        <v>285</v>
      </c>
      <c r="D23" s="283"/>
      <c r="E23" s="237"/>
      <c r="F23" s="237"/>
      <c r="G23" s="237"/>
      <c r="H23" s="238" t="s">
        <v>124</v>
      </c>
      <c r="I23" s="238" t="s">
        <v>232</v>
      </c>
      <c r="J23" s="283"/>
      <c r="K23" s="238" t="s">
        <v>284</v>
      </c>
      <c r="L23" s="238" t="s">
        <v>125</v>
      </c>
      <c r="M23" s="238" t="s">
        <v>124</v>
      </c>
    </row>
    <row r="24" spans="2:17" s="233" customFormat="1">
      <c r="B24" s="233" t="s">
        <v>286</v>
      </c>
      <c r="D24" s="239">
        <v>5685</v>
      </c>
      <c r="E24" s="239"/>
      <c r="F24" s="239"/>
      <c r="G24" s="239"/>
      <c r="H24" s="239">
        <v>2464</v>
      </c>
      <c r="I24" s="239">
        <f>SUM(D24:H24)</f>
        <v>8149</v>
      </c>
      <c r="J24" s="239">
        <v>7900</v>
      </c>
      <c r="K24" s="240">
        <f>J24-I24</f>
        <v>-249</v>
      </c>
      <c r="L24" s="240">
        <f>K24*D25</f>
        <v>-173.71027119892011</v>
      </c>
      <c r="M24" s="240">
        <f>K24*H25</f>
        <v>-75.289728801079875</v>
      </c>
    </row>
    <row r="25" spans="2:17" s="233" customFormat="1" ht="13.45">
      <c r="C25" s="241" t="s">
        <v>287</v>
      </c>
      <c r="D25" s="249">
        <f>D24/I24</f>
        <v>0.69763161124064299</v>
      </c>
      <c r="E25" s="249"/>
      <c r="F25" s="249"/>
      <c r="G25" s="249"/>
      <c r="H25" s="249">
        <f>H24/I24</f>
        <v>0.30236838875935695</v>
      </c>
      <c r="I25" s="250"/>
      <c r="J25" s="250"/>
      <c r="K25" s="251"/>
      <c r="L25" s="252"/>
    </row>
    <row r="26" spans="2:17" s="233" customFormat="1">
      <c r="B26" s="233" t="s">
        <v>288</v>
      </c>
      <c r="D26" s="253">
        <v>667</v>
      </c>
      <c r="E26" s="253"/>
      <c r="F26" s="253"/>
      <c r="G26" s="253"/>
      <c r="H26" s="253">
        <v>349</v>
      </c>
      <c r="I26" s="253">
        <f>SUM(D26:H26)</f>
        <v>1016</v>
      </c>
      <c r="J26" s="253">
        <v>1000</v>
      </c>
      <c r="K26" s="254">
        <f>J26-I26</f>
        <v>-16</v>
      </c>
      <c r="L26" s="254">
        <f>K26*D27</f>
        <v>-10.503937007874017</v>
      </c>
      <c r="M26" s="243">
        <f>K26*H27</f>
        <v>-5.4960629921259843</v>
      </c>
    </row>
    <row r="27" spans="2:17" s="233" customFormat="1" ht="13.45">
      <c r="C27" s="241" t="s">
        <v>289</v>
      </c>
      <c r="D27" s="249">
        <f>D26/I26</f>
        <v>0.65649606299212604</v>
      </c>
      <c r="E27" s="249"/>
      <c r="F27" s="249"/>
      <c r="G27" s="249"/>
      <c r="H27" s="249">
        <f>H26/I26</f>
        <v>0.34350393700787402</v>
      </c>
      <c r="I27" s="255"/>
      <c r="J27" s="255"/>
      <c r="K27" s="251"/>
      <c r="L27" s="252"/>
    </row>
    <row r="28" spans="2:17" s="233" customFormat="1">
      <c r="B28" s="233" t="s">
        <v>232</v>
      </c>
      <c r="D28" s="250">
        <f>SUM(D24:D26)</f>
        <v>6352.6976316112405</v>
      </c>
      <c r="E28" s="250"/>
      <c r="F28" s="250"/>
      <c r="G28" s="250"/>
      <c r="H28" s="250">
        <f>SUM(H24:H26)</f>
        <v>2813.3023683887595</v>
      </c>
      <c r="I28" s="250">
        <f>SUM(I24:I26)</f>
        <v>9165</v>
      </c>
      <c r="J28" s="250">
        <f>SUM(J24:J26)</f>
        <v>8900</v>
      </c>
      <c r="K28" s="251">
        <f>J28-I28</f>
        <v>-265</v>
      </c>
      <c r="L28" s="251">
        <f>L24+L26</f>
        <v>-184.21420820679413</v>
      </c>
      <c r="M28" s="240">
        <f>M24+M26</f>
        <v>-80.78579179320586</v>
      </c>
    </row>
    <row r="29" spans="2:17" s="233" customFormat="1" ht="13.45">
      <c r="D29" s="244">
        <f>D28/I28</f>
        <v>0.69314758664607101</v>
      </c>
      <c r="E29" s="244"/>
      <c r="F29" s="244"/>
      <c r="G29" s="244"/>
      <c r="H29" s="244">
        <f>H28/J28</f>
        <v>0.31610138970660218</v>
      </c>
    </row>
    <row r="30" spans="2:17" s="233" customFormat="1" ht="14">
      <c r="D30" s="282" t="s">
        <v>290</v>
      </c>
      <c r="E30" s="234"/>
      <c r="F30" s="234"/>
      <c r="G30" s="234"/>
    </row>
    <row r="31" spans="2:17" s="233" customFormat="1" ht="14">
      <c r="D31" s="283"/>
      <c r="E31" s="237"/>
      <c r="F31" s="237"/>
      <c r="G31" s="237"/>
      <c r="H31" s="238">
        <v>2020</v>
      </c>
      <c r="I31" s="238">
        <v>2021</v>
      </c>
      <c r="J31" s="238">
        <v>2022</v>
      </c>
    </row>
    <row r="32" spans="2:17" s="233" customFormat="1">
      <c r="C32" s="241" t="s">
        <v>291</v>
      </c>
      <c r="D32" s="239">
        <v>8200</v>
      </c>
      <c r="E32" s="239"/>
      <c r="F32" s="239"/>
      <c r="G32" s="239"/>
      <c r="H32" s="239">
        <v>8400</v>
      </c>
      <c r="I32" s="239">
        <v>10800</v>
      </c>
      <c r="J32" s="239">
        <f>I32*103%</f>
        <v>11124</v>
      </c>
    </row>
    <row r="33" spans="3:10" s="233" customFormat="1">
      <c r="C33" s="241" t="s">
        <v>292</v>
      </c>
      <c r="D33" s="242"/>
      <c r="E33" s="242"/>
      <c r="F33" s="242"/>
      <c r="G33" s="242"/>
      <c r="H33" s="242">
        <v>7900</v>
      </c>
      <c r="I33" s="242">
        <v>7900</v>
      </c>
      <c r="J33" s="242">
        <v>7900</v>
      </c>
    </row>
    <row r="34" spans="3:10" s="233" customFormat="1">
      <c r="C34" s="233" t="s">
        <v>293</v>
      </c>
      <c r="H34" s="239"/>
      <c r="I34" s="239">
        <f>I32-I33</f>
        <v>2900</v>
      </c>
      <c r="J34" s="239">
        <f>J32-J33</f>
        <v>3224</v>
      </c>
    </row>
    <row r="35" spans="3:10" s="233" customFormat="1">
      <c r="C35" s="241"/>
      <c r="D35" s="239"/>
      <c r="E35" s="239"/>
      <c r="F35" s="239"/>
      <c r="G35" s="239"/>
      <c r="H35" s="239"/>
      <c r="I35" s="239"/>
      <c r="J35" s="239"/>
    </row>
    <row r="36" spans="3:10">
      <c r="D36" s="2"/>
      <c r="E36" s="2"/>
      <c r="F36" s="2"/>
      <c r="G36" s="2"/>
      <c r="H36" s="2"/>
      <c r="I36" s="2"/>
      <c r="J36" s="2"/>
    </row>
    <row r="38" spans="3:10">
      <c r="D38" s="179"/>
      <c r="E38" s="179"/>
      <c r="F38" s="179"/>
      <c r="G38" s="179"/>
    </row>
    <row r="39" spans="3:10">
      <c r="I39" s="3"/>
    </row>
  </sheetData>
  <mergeCells count="6">
    <mergeCell ref="L22:M22"/>
    <mergeCell ref="D30:D31"/>
    <mergeCell ref="E2:J2"/>
    <mergeCell ref="J4:J5"/>
    <mergeCell ref="D22:D23"/>
    <mergeCell ref="J22:J23"/>
  </mergeCells>
  <pageMargins left="0.7" right="0.7" top="0.75" bottom="0.75" header="0.3" footer="0.3"/>
  <pageSetup scale="53" orientation="landscape" horizontalDpi="1200" verticalDpi="1200" r:id="rId1"/>
  <headerFooter>
    <oddHeader xml:space="preserve">&amp;R&amp;"Times New Roman,Regular"Exh. AIW-12
Dockets UE-200900, UG-200901, UE-200894
Page &amp;P of &amp;N&amp;"Tahoma,Regular"
</oddHeader>
    <oddFooter>&amp;L&amp;F ! 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37CFE693D984B342BC03F41F71D2D645" ma:contentTypeVersion="2" ma:contentTypeDescription="" ma:contentTypeScope="" ma:versionID="c25bfc484b095ec755753decea0f5849">
  <xsd:schema xmlns:xsd="http://www.w3.org/2001/XMLSchema" xmlns:xs="http://www.w3.org/2001/XMLSchema" xmlns:p="http://schemas.microsoft.com/office/2006/metadata/properties" xmlns:ns2="a0689114-bdb9-4146-803a-240f5368dce0" targetNamespace="http://schemas.microsoft.com/office/2006/metadata/properties" ma:root="true" ma:fieldsID="dc62652e499f4c913d7d669e882d94ca" ns2:_="">
    <xsd:import namespace="a0689114-bdb9-4146-803a-240f5368dce0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union memberTypes="dms:Text">
          <xsd:simpleType>
            <xsd:restriction base="dms:Choice">
              <xsd:enumeration value="Snyder"/>
              <xsd:enumeration value="Jordan"/>
              <xsd:enumeration value="White"/>
              <xsd:enumeration value="Huang"/>
              <xsd:enumeration value="Hillstead"/>
              <xsd:enumeration value="Ball"/>
              <xsd:enumeration value="McGuire"/>
              <xsd:enumeration value="Panco"/>
              <xsd:enumeration value="Parcell"/>
              <xsd:enumeration value="Gomez"/>
              <xsd:enumeration value="Erdahl"/>
              <xsd:enumeration value="Liu"/>
              <xsd:enumeration value="Higby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45F819A-F010-416C-9BA6-791B8EA7B3E6}"/>
</file>

<file path=customXml/itemProps2.xml><?xml version="1.0" encoding="utf-8"?>
<ds:datastoreItem xmlns:ds="http://schemas.openxmlformats.org/officeDocument/2006/customXml" ds:itemID="{065FC655-52CA-41FC-B8E8-DF4C7C677D53}"/>
</file>

<file path=customXml/itemProps3.xml><?xml version="1.0" encoding="utf-8"?>
<ds:datastoreItem xmlns:ds="http://schemas.openxmlformats.org/officeDocument/2006/customXml" ds:itemID="{2AA42282-3DAF-4F01-8054-B7C870303822}"/>
</file>

<file path=customXml/itemProps4.xml><?xml version="1.0" encoding="utf-8"?>
<ds:datastoreItem xmlns:ds="http://schemas.openxmlformats.org/officeDocument/2006/customXml" ds:itemID="{3F340AD0-59C0-4A11-B934-E6B14B9A9CBE}"/>
</file>

<file path=customXml/itemProps5.xml><?xml version="1.0" encoding="utf-8"?>
<ds:datastoreItem xmlns:ds="http://schemas.openxmlformats.org/officeDocument/2006/customXml" ds:itemID="{26196965-F967-4A77-B949-7D9D67442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Staff RR Model</vt:lpstr>
      <vt:lpstr>RR Model as filed</vt:lpstr>
      <vt:lpstr>ADJ-E</vt:lpstr>
      <vt:lpstr>WF - 2020 WA E Detail </vt:lpstr>
      <vt:lpstr>Summary-Cost-E</vt:lpstr>
      <vt:lpstr>WF - 2021 WA E Detail </vt:lpstr>
      <vt:lpstr>ActualO&amp;MStaff DR 61allocated</vt:lpstr>
      <vt:lpstr>StaffO&amp;M Calculation</vt:lpstr>
      <vt:lpstr>'Summary-Cost-E'!Print_Area</vt:lpstr>
      <vt:lpstr>'WF - 2020 WA E Detail '!Print_Area</vt:lpstr>
      <vt:lpstr>'WF - 2021 WA E Detail '!Print_Area</vt:lpstr>
      <vt:lpstr>'Summary-Cost-E'!Print_Titles</vt:lpstr>
      <vt:lpstr>'WF - 2020 WA E Detail '!Print_Titles</vt:lpstr>
      <vt:lpstr>'WF - 2021 WA E Detail 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Staff’s Calculation of Adjustment 3.17, Pro Forma Wildfire Plan Calendar Year 2020 Capital and O&amp;M Spending </dc:title>
  <dc:creator>Pluth, Jeanne</dc:creator>
  <dc:description/>
  <cp:lastModifiedBy>White, Amy (UTC)</cp:lastModifiedBy>
  <cp:lastPrinted>2021-03-25T22:22:47Z</cp:lastPrinted>
  <dcterms:created xsi:type="dcterms:W3CDTF">2020-05-28T13:46:58Z</dcterms:created>
  <dcterms:modified xsi:type="dcterms:W3CDTF">2021-04-06T17:09:07Z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