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5570" windowHeight="11535" tabRatio="671"/>
  </bookViews>
  <sheets>
    <sheet name="Exhibit No. BCC-3, Page 1" sheetId="4" r:id="rId1"/>
    <sheet name="Exhibit No. BCC-3, Page 2" sheetId="6" r:id="rId2"/>
  </sheets>
  <definedNames>
    <definedName name="_xlnm.Print_Area" localSheetId="0">'Exhibit No. BCC-3, Page 1'!$A$1:$Q$25</definedName>
    <definedName name="_xlnm.Print_Area" localSheetId="1">'Exhibit No. BCC-3, Page 2'!$A$1:$Q$25</definedName>
  </definedNames>
  <calcPr calcId="125725"/>
</workbook>
</file>

<file path=xl/calcChain.xml><?xml version="1.0" encoding="utf-8"?>
<calcChain xmlns="http://schemas.openxmlformats.org/spreadsheetml/2006/main">
  <c r="AA25" i="4"/>
  <c r="AA23"/>
  <c r="AA22"/>
  <c r="AA21"/>
  <c r="AA20"/>
  <c r="AA19"/>
  <c r="AA18"/>
  <c r="AA17"/>
  <c r="AA16"/>
  <c r="T18"/>
  <c r="W23"/>
  <c r="W22"/>
  <c r="W21"/>
  <c r="W20"/>
  <c r="W19"/>
  <c r="W16"/>
  <c r="V23"/>
  <c r="V22"/>
  <c r="V21"/>
  <c r="V20"/>
  <c r="V19"/>
  <c r="V18"/>
  <c r="W18" s="1"/>
  <c r="V16"/>
  <c r="T23"/>
  <c r="T22"/>
  <c r="T21"/>
  <c r="T20"/>
  <c r="T19"/>
  <c r="T16"/>
  <c r="K23"/>
  <c r="K22"/>
  <c r="K21"/>
  <c r="K20"/>
  <c r="K19"/>
  <c r="K18"/>
  <c r="K17"/>
  <c r="K16"/>
  <c r="G16"/>
  <c r="G17"/>
  <c r="G18"/>
  <c r="G19"/>
  <c r="G20"/>
  <c r="G21"/>
  <c r="G22"/>
  <c r="G23"/>
  <c r="K23" i="6" l="1"/>
  <c r="K22"/>
  <c r="K21"/>
  <c r="K20"/>
  <c r="K19"/>
  <c r="K18"/>
  <c r="K17"/>
  <c r="K16"/>
  <c r="K25"/>
  <c r="M23" s="1"/>
  <c r="G23"/>
  <c r="O23" s="1"/>
  <c r="Q23" s="1"/>
  <c r="M22"/>
  <c r="G22"/>
  <c r="O22" s="1"/>
  <c r="Q22" s="1"/>
  <c r="M21"/>
  <c r="G21"/>
  <c r="M20"/>
  <c r="G20"/>
  <c r="O20" s="1"/>
  <c r="Q20" s="1"/>
  <c r="M19"/>
  <c r="G19"/>
  <c r="O19" s="1"/>
  <c r="Q19" s="1"/>
  <c r="M18"/>
  <c r="G18"/>
  <c r="O18" s="1"/>
  <c r="Q18" s="1"/>
  <c r="M17"/>
  <c r="G17"/>
  <c r="M16"/>
  <c r="G16"/>
  <c r="O16" s="1"/>
  <c r="M25" l="1"/>
  <c r="Q16"/>
  <c r="O17"/>
  <c r="Q17" s="1"/>
  <c r="O21"/>
  <c r="Q21" s="1"/>
  <c r="G25"/>
  <c r="I23" l="1"/>
  <c r="I25"/>
  <c r="I20"/>
  <c r="I22"/>
  <c r="I18"/>
  <c r="I19"/>
  <c r="I16"/>
  <c r="I21"/>
  <c r="I17"/>
  <c r="O25"/>
  <c r="Q25" s="1"/>
  <c r="O20" i="4" l="1"/>
  <c r="Q20" s="1"/>
  <c r="O16"/>
  <c r="Q16" s="1"/>
  <c r="O23"/>
  <c r="Q23" s="1"/>
  <c r="O22"/>
  <c r="Q22" s="1"/>
  <c r="O21"/>
  <c r="Q21" s="1"/>
  <c r="O19"/>
  <c r="Q19" s="1"/>
  <c r="O18"/>
  <c r="Q18" s="1"/>
  <c r="O17"/>
  <c r="Q17" s="1"/>
  <c r="O25" l="1"/>
  <c r="K25"/>
  <c r="M22" s="1"/>
  <c r="M18" l="1"/>
  <c r="M23"/>
  <c r="M16"/>
  <c r="M25" s="1"/>
  <c r="M17"/>
  <c r="M20"/>
  <c r="M19"/>
  <c r="M21"/>
  <c r="G25" l="1"/>
  <c r="Q25" s="1"/>
  <c r="I25" l="1"/>
  <c r="I20"/>
  <c r="I16"/>
  <c r="I21"/>
  <c r="I17"/>
  <c r="I22"/>
  <c r="I18"/>
  <c r="I23"/>
  <c r="I19"/>
  <c r="T25" l="1"/>
  <c r="V17" l="1"/>
  <c r="W17" l="1"/>
  <c r="V25"/>
  <c r="W25" s="1"/>
</calcChain>
</file>

<file path=xl/sharedStrings.xml><?xml version="1.0" encoding="utf-8"?>
<sst xmlns="http://schemas.openxmlformats.org/spreadsheetml/2006/main" count="74" uniqueCount="39">
  <si>
    <t>Line</t>
  </si>
  <si>
    <t>(1)</t>
  </si>
  <si>
    <t>(2)</t>
  </si>
  <si>
    <t>(4)</t>
  </si>
  <si>
    <t>Residential</t>
  </si>
  <si>
    <t>Large Volume</t>
  </si>
  <si>
    <t>Interruptible</t>
  </si>
  <si>
    <t>Limited Interruptible</t>
  </si>
  <si>
    <t>Non-Exclusive Interruptible</t>
  </si>
  <si>
    <t>Contracts</t>
  </si>
  <si>
    <t>Total</t>
  </si>
  <si>
    <t>Margin</t>
  </si>
  <si>
    <t>Commercial &amp; Industrial</t>
  </si>
  <si>
    <t>(5)</t>
  </si>
  <si>
    <t xml:space="preserve">NWIGU Proposed </t>
  </si>
  <si>
    <t>(6)</t>
  </si>
  <si>
    <t xml:space="preserve">                                 Rate Class                                 </t>
  </si>
  <si>
    <t xml:space="preserve">              (Dollar Amounts in Thousands)              </t>
  </si>
  <si>
    <t>(3)</t>
  </si>
  <si>
    <t>Rentals</t>
  </si>
  <si>
    <t>Rate 16, 23, 53</t>
  </si>
  <si>
    <t>Rate 31, 31T</t>
  </si>
  <si>
    <t>Rate 41, 41T</t>
  </si>
  <si>
    <t>Rate 85, 85T</t>
  </si>
  <si>
    <t>Rate 86, 86T</t>
  </si>
  <si>
    <t>Rate 87, 87T</t>
  </si>
  <si>
    <t>Current Margin</t>
  </si>
  <si>
    <t>Difference</t>
  </si>
  <si>
    <t>$</t>
  </si>
  <si>
    <t xml:space="preserve">PSE Proposed </t>
  </si>
  <si>
    <t>Cost of Service</t>
  </si>
  <si>
    <t>% of Total</t>
  </si>
  <si>
    <t>%</t>
  </si>
  <si>
    <t xml:space="preserve">Class Cost of Service </t>
  </si>
  <si>
    <t>Class Cost of Service</t>
  </si>
  <si>
    <t>Increase</t>
  </si>
  <si>
    <t>COS</t>
  </si>
  <si>
    <t>Cos%</t>
  </si>
  <si>
    <t>Rev Allocation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</si>
</sst>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0" xfId="0" applyNumberFormat="1"/>
    <xf numFmtId="37" fontId="0" fillId="0" borderId="0" xfId="1" applyNumberFormat="1" applyFont="1"/>
    <xf numFmtId="37" fontId="0" fillId="0" borderId="0" xfId="1" applyNumberFormat="1" applyFont="1" applyBorder="1"/>
    <xf numFmtId="37" fontId="0" fillId="0" borderId="0" xfId="0" applyNumberFormat="1"/>
    <xf numFmtId="9" fontId="0" fillId="0" borderId="0" xfId="2" applyFont="1"/>
    <xf numFmtId="10" fontId="0" fillId="0" borderId="0" xfId="2" applyNumberFormat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37" fontId="0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Alignment="1">
      <alignment horizontal="left" indent="1"/>
    </xf>
    <xf numFmtId="164" fontId="2" fillId="0" borderId="0" xfId="1" applyNumberFormat="1" applyFont="1" applyBorder="1"/>
    <xf numFmtId="10" fontId="2" fillId="0" borderId="0" xfId="2" applyNumberFormat="1" applyFont="1" applyBorder="1"/>
    <xf numFmtId="0" fontId="2" fillId="0" borderId="0" xfId="0" applyFont="1" applyAlignment="1">
      <alignment horizontal="left" indent="1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/>
    <xf numFmtId="10" fontId="0" fillId="0" borderId="0" xfId="2" applyNumberFormat="1" applyFo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3" applyNumberFormat="1" applyFont="1"/>
    <xf numFmtId="44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AA42"/>
  <sheetViews>
    <sheetView tabSelected="1" workbookViewId="0">
      <selection activeCell="G31" sqref="G31"/>
    </sheetView>
  </sheetViews>
  <sheetFormatPr defaultRowHeight="14.25"/>
  <cols>
    <col min="1" max="1" width="4.375" customWidth="1"/>
    <col min="2" max="2" width="0.875" customWidth="1"/>
    <col min="3" max="3" width="14.5" customWidth="1"/>
    <col min="4" max="4" width="0.875" customWidth="1"/>
    <col min="5" max="5" width="25" customWidth="1"/>
    <col min="6" max="6" width="1.25" customWidth="1"/>
    <col min="7" max="7" width="9.625" customWidth="1"/>
    <col min="8" max="8" width="0.75" customWidth="1"/>
    <col min="9" max="9" width="9.75" customWidth="1"/>
    <col min="10" max="10" width="4.375" customWidth="1"/>
    <col min="11" max="11" width="10.25" customWidth="1"/>
    <col min="12" max="12" width="0.875" customWidth="1"/>
    <col min="13" max="13" width="12.25" customWidth="1"/>
    <col min="14" max="14" width="3.75" customWidth="1"/>
    <col min="15" max="15" width="11.125" bestFit="1" customWidth="1"/>
    <col min="16" max="16" width="1.625" customWidth="1"/>
    <col min="17" max="17" width="11.25" customWidth="1"/>
    <col min="18" max="19" width="0" hidden="1" customWidth="1"/>
    <col min="20" max="20" width="10.125" hidden="1" customWidth="1"/>
    <col min="21" max="21" width="1.75" hidden="1" customWidth="1"/>
    <col min="22" max="22" width="9.625" hidden="1" customWidth="1"/>
    <col min="23" max="23" width="9" hidden="1" customWidth="1"/>
    <col min="24" max="24" width="1.875" hidden="1" customWidth="1"/>
    <col min="25" max="25" width="9" hidden="1" customWidth="1"/>
    <col min="26" max="26" width="1.625" hidden="1" customWidth="1"/>
    <col min="27" max="27" width="12.125" hidden="1" customWidth="1"/>
    <col min="28" max="30" width="0" hidden="1" customWidth="1"/>
  </cols>
  <sheetData>
    <row r="6" spans="1:27" ht="20.25">
      <c r="A6" s="29" t="s">
        <v>14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7" ht="20.25">
      <c r="A7" s="29" t="s">
        <v>33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7" ht="18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7" ht="18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27" ht="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7" ht="15">
      <c r="A11" s="1"/>
      <c r="B11" s="1"/>
      <c r="C11" s="1"/>
      <c r="D11" s="1"/>
      <c r="E11" s="1"/>
      <c r="F11" s="1"/>
      <c r="G11" s="1"/>
      <c r="H11" s="1"/>
      <c r="I11" s="1"/>
      <c r="J11" s="1"/>
      <c r="K11" s="28"/>
      <c r="L11" s="28"/>
      <c r="M11" s="28"/>
      <c r="N11" s="1"/>
    </row>
    <row r="12" spans="1:27" ht="15">
      <c r="A12" s="1"/>
      <c r="B12" s="1"/>
      <c r="C12" s="1"/>
      <c r="D12" s="1"/>
      <c r="E12" s="1"/>
      <c r="F12" s="1"/>
      <c r="G12" s="28" t="s">
        <v>26</v>
      </c>
      <c r="H12" s="28"/>
      <c r="I12" s="28"/>
      <c r="J12" s="1"/>
      <c r="K12" s="28" t="s">
        <v>30</v>
      </c>
      <c r="L12" s="28"/>
      <c r="M12" s="28"/>
      <c r="N12" s="1"/>
      <c r="O12" s="28" t="s">
        <v>27</v>
      </c>
      <c r="P12" s="28"/>
      <c r="Q12" s="28"/>
    </row>
    <row r="13" spans="1:27" ht="15">
      <c r="A13" s="15" t="s">
        <v>0</v>
      </c>
      <c r="B13" s="14"/>
      <c r="C13" s="27" t="s">
        <v>16</v>
      </c>
      <c r="D13" s="27"/>
      <c r="E13" s="27"/>
      <c r="F13" s="14"/>
      <c r="G13" s="23" t="s">
        <v>11</v>
      </c>
      <c r="H13" s="23"/>
      <c r="I13" s="23" t="s">
        <v>31</v>
      </c>
      <c r="J13" s="14"/>
      <c r="K13" s="23" t="s">
        <v>11</v>
      </c>
      <c r="L13" s="23"/>
      <c r="M13" s="23" t="s">
        <v>31</v>
      </c>
      <c r="N13" s="15"/>
      <c r="O13" s="23" t="s">
        <v>28</v>
      </c>
      <c r="P13" s="23"/>
      <c r="Q13" s="23" t="s">
        <v>32</v>
      </c>
      <c r="T13" t="s">
        <v>35</v>
      </c>
      <c r="V13" t="s">
        <v>36</v>
      </c>
      <c r="W13" t="s">
        <v>37</v>
      </c>
      <c r="AA13" t="s">
        <v>38</v>
      </c>
    </row>
    <row r="14" spans="1:27">
      <c r="A14" s="12"/>
      <c r="B14" s="11"/>
      <c r="C14" s="11"/>
      <c r="D14" s="11"/>
      <c r="E14" s="11"/>
      <c r="F14" s="11"/>
      <c r="G14" s="22" t="s">
        <v>1</v>
      </c>
      <c r="H14" s="20"/>
      <c r="I14" s="22" t="s">
        <v>2</v>
      </c>
      <c r="J14" s="20"/>
      <c r="K14" s="22" t="s">
        <v>18</v>
      </c>
      <c r="L14" s="20"/>
      <c r="M14" s="22" t="s">
        <v>3</v>
      </c>
      <c r="N14" s="20"/>
      <c r="O14" s="22" t="s">
        <v>13</v>
      </c>
      <c r="Q14" s="22" t="s">
        <v>15</v>
      </c>
    </row>
    <row r="15" spans="1:27" ht="15">
      <c r="A15" s="12"/>
      <c r="B15" s="11"/>
      <c r="C15" s="2"/>
      <c r="D15" s="2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27" ht="21" customHeight="1">
      <c r="A16" s="12">
        <v>1</v>
      </c>
      <c r="B16" s="11"/>
      <c r="C16" s="25" t="s">
        <v>20</v>
      </c>
      <c r="D16" s="11"/>
      <c r="E16" s="11" t="s">
        <v>4</v>
      </c>
      <c r="F16" s="11"/>
      <c r="G16" s="4">
        <f>304383540.92717/1000</f>
        <v>304383.54092716996</v>
      </c>
      <c r="H16" s="4">
        <v>0</v>
      </c>
      <c r="I16" s="10">
        <f t="shared" ref="I16:I23" si="0">G16/$G$25</f>
        <v>0.70048086968307599</v>
      </c>
      <c r="J16" s="4"/>
      <c r="K16" s="4">
        <f>303037194.467779/1000</f>
        <v>303037.19446777896</v>
      </c>
      <c r="L16" s="4">
        <v>0</v>
      </c>
      <c r="M16" s="10">
        <f t="shared" ref="M16:M23" si="1">K16/$K$25</f>
        <v>0.66233629266091054</v>
      </c>
      <c r="N16" s="4"/>
      <c r="O16" s="4">
        <f t="shared" ref="O16:O23" si="2">K16-G16</f>
        <v>-1346.346459391003</v>
      </c>
      <c r="Q16" s="26">
        <f t="shared" ref="Q16:Q23" si="3">O16/G16</f>
        <v>-4.4231907391902772E-3</v>
      </c>
      <c r="T16" s="31">
        <f>O16*0.25</f>
        <v>-336.58661484775075</v>
      </c>
      <c r="V16" s="5">
        <f>T16+G16</f>
        <v>304046.9543123222</v>
      </c>
      <c r="W16" s="26">
        <f>V16/G16-1</f>
        <v>-1.1057976847975715E-3</v>
      </c>
      <c r="Y16">
        <v>0.99952658635099934</v>
      </c>
      <c r="AA16" s="32">
        <f>Y16*V16</f>
        <v>303903.01433421369</v>
      </c>
    </row>
    <row r="17" spans="1:27" ht="21" customHeight="1">
      <c r="A17" s="12">
        <v>2</v>
      </c>
      <c r="B17" s="11"/>
      <c r="C17" s="25" t="s">
        <v>21</v>
      </c>
      <c r="D17" s="11"/>
      <c r="E17" s="11" t="s">
        <v>12</v>
      </c>
      <c r="F17" s="11"/>
      <c r="G17" s="6">
        <f>88444666.0358868/1000</f>
        <v>88444.666035886796</v>
      </c>
      <c r="H17" s="3">
        <v>0</v>
      </c>
      <c r="I17" s="10">
        <f t="shared" si="0"/>
        <v>0.20353858948789519</v>
      </c>
      <c r="J17" s="6"/>
      <c r="K17" s="6">
        <f>118658615.939577/1000</f>
        <v>118658.61593957699</v>
      </c>
      <c r="L17" s="6">
        <v>0</v>
      </c>
      <c r="M17" s="10">
        <f t="shared" si="1"/>
        <v>0.25934739764115222</v>
      </c>
      <c r="N17" s="6"/>
      <c r="O17" s="6">
        <f t="shared" si="2"/>
        <v>30213.949903690198</v>
      </c>
      <c r="Q17" s="26">
        <f t="shared" si="3"/>
        <v>0.34161415558322944</v>
      </c>
      <c r="T17" s="31">
        <v>22817.059876300107</v>
      </c>
      <c r="V17" s="5">
        <f>T17+G17</f>
        <v>111261.7259121869</v>
      </c>
      <c r="W17" s="26">
        <f>V17/G17-1</f>
        <v>0.25798118641820622</v>
      </c>
      <c r="Y17">
        <v>0.99952658635099934</v>
      </c>
      <c r="AA17" s="32">
        <f>Y17*V17</f>
        <v>111209.0530925287</v>
      </c>
    </row>
    <row r="18" spans="1:27" ht="21" customHeight="1">
      <c r="A18" s="12">
        <v>3</v>
      </c>
      <c r="B18" s="11"/>
      <c r="C18" s="25" t="s">
        <v>22</v>
      </c>
      <c r="D18" s="11"/>
      <c r="E18" s="11" t="s">
        <v>5</v>
      </c>
      <c r="F18" s="11"/>
      <c r="G18" s="6">
        <f>13505384.730862/1000</f>
        <v>13505.384730861999</v>
      </c>
      <c r="H18" s="3">
        <v>0</v>
      </c>
      <c r="I18" s="10">
        <f t="shared" si="0"/>
        <v>3.1080076185664423E-2</v>
      </c>
      <c r="J18" s="6"/>
      <c r="K18" s="6">
        <f>16146522.5075703/1000</f>
        <v>16146.5225075703</v>
      </c>
      <c r="L18" s="6">
        <v>0</v>
      </c>
      <c r="M18" s="10">
        <f t="shared" si="1"/>
        <v>3.5290809353658956E-2</v>
      </c>
      <c r="N18" s="6"/>
      <c r="O18" s="6">
        <f t="shared" si="2"/>
        <v>2641.1377767083013</v>
      </c>
      <c r="Q18" s="26">
        <f t="shared" si="3"/>
        <v>0.19556183176869241</v>
      </c>
      <c r="T18" s="31">
        <f>O18</f>
        <v>2641.1377767083013</v>
      </c>
      <c r="V18" s="5">
        <f>T18+G18</f>
        <v>16146.5225075703</v>
      </c>
      <c r="W18" s="26">
        <f>V18/G18-1</f>
        <v>0.19556183176869246</v>
      </c>
      <c r="Y18">
        <v>0.99952658635099934</v>
      </c>
      <c r="AA18" s="32">
        <f>Y18*V18</f>
        <v>16138.87852343132</v>
      </c>
    </row>
    <row r="19" spans="1:27" ht="21" customHeight="1">
      <c r="A19" s="12">
        <v>4</v>
      </c>
      <c r="B19" s="11"/>
      <c r="C19" s="25" t="s">
        <v>23</v>
      </c>
      <c r="D19" s="11"/>
      <c r="E19" s="11" t="s">
        <v>6</v>
      </c>
      <c r="F19" s="11"/>
      <c r="G19" s="6">
        <f>13826317.9664843/1000</f>
        <v>13826.317966484301</v>
      </c>
      <c r="H19" s="3">
        <v>0</v>
      </c>
      <c r="I19" s="10">
        <f t="shared" si="0"/>
        <v>3.1818643032328134E-2</v>
      </c>
      <c r="J19" s="6"/>
      <c r="K19" s="6">
        <f>11591895.0375967/1000</f>
        <v>11591.895037596702</v>
      </c>
      <c r="L19" s="6">
        <v>0</v>
      </c>
      <c r="M19" s="10">
        <f t="shared" si="1"/>
        <v>2.5335942004084767E-2</v>
      </c>
      <c r="N19" s="6"/>
      <c r="O19" s="6">
        <f t="shared" si="2"/>
        <v>-2234.4229288875995</v>
      </c>
      <c r="Q19" s="26">
        <f t="shared" si="3"/>
        <v>-0.1616065053837149</v>
      </c>
      <c r="T19" s="31">
        <f>O19*0.25</f>
        <v>-558.60573222189987</v>
      </c>
      <c r="V19" s="5">
        <f>T19+G19</f>
        <v>13267.712234262401</v>
      </c>
      <c r="W19" s="26">
        <f>V19/G19-1</f>
        <v>-4.0401626345928809E-2</v>
      </c>
      <c r="Y19">
        <v>0.99952658635099934</v>
      </c>
      <c r="AA19" s="32">
        <f>Y19*V19</f>
        <v>13261.431118199687</v>
      </c>
    </row>
    <row r="20" spans="1:27" ht="21" customHeight="1">
      <c r="A20" s="12">
        <v>5</v>
      </c>
      <c r="B20" s="11"/>
      <c r="C20" s="25" t="s">
        <v>24</v>
      </c>
      <c r="D20" s="11"/>
      <c r="E20" s="11" t="s">
        <v>7</v>
      </c>
      <c r="F20" s="11"/>
      <c r="G20" s="6">
        <f>2175329.29266117/1000</f>
        <v>2175.3292926611698</v>
      </c>
      <c r="H20" s="3">
        <v>0</v>
      </c>
      <c r="I20" s="10">
        <f t="shared" si="0"/>
        <v>5.0061069338008706E-3</v>
      </c>
      <c r="J20" s="6"/>
      <c r="K20" s="6">
        <f>1369898.35144699/1000</f>
        <v>1369.8983514469899</v>
      </c>
      <c r="L20" s="6">
        <v>0</v>
      </c>
      <c r="M20" s="10">
        <f t="shared" si="1"/>
        <v>2.9941321130999526E-3</v>
      </c>
      <c r="N20" s="6"/>
      <c r="O20" s="6">
        <f t="shared" si="2"/>
        <v>-805.43094121417994</v>
      </c>
      <c r="Q20" s="26">
        <f t="shared" si="3"/>
        <v>-0.37025701990564525</v>
      </c>
      <c r="T20" s="31">
        <f>O20*0.25</f>
        <v>-201.35773530354498</v>
      </c>
      <c r="V20" s="5">
        <f>T20+G20</f>
        <v>1973.9715573576248</v>
      </c>
      <c r="W20" s="26">
        <f>V20/G20-1</f>
        <v>-9.2564254976411298E-2</v>
      </c>
      <c r="Y20">
        <v>0.99952658635099934</v>
      </c>
      <c r="AA20" s="32">
        <f>Y20*V20</f>
        <v>1973.0370522796325</v>
      </c>
    </row>
    <row r="21" spans="1:27" ht="21" customHeight="1">
      <c r="A21" s="12">
        <v>6</v>
      </c>
      <c r="B21" s="11"/>
      <c r="C21" s="25" t="s">
        <v>25</v>
      </c>
      <c r="D21" s="11"/>
      <c r="E21" s="11" t="s">
        <v>8</v>
      </c>
      <c r="F21" s="11"/>
      <c r="G21" s="6">
        <f>4788873.7092848/1000</f>
        <v>4788.8737092848005</v>
      </c>
      <c r="H21" s="3">
        <v>0</v>
      </c>
      <c r="I21" s="10">
        <f t="shared" si="0"/>
        <v>1.1020682690214421E-2</v>
      </c>
      <c r="J21" s="6"/>
      <c r="K21" s="6">
        <f>1945745.17637845/1000</f>
        <v>1945.74517637845</v>
      </c>
      <c r="L21" s="6">
        <v>0</v>
      </c>
      <c r="M21" s="10">
        <f t="shared" si="1"/>
        <v>4.2527375190651046E-3</v>
      </c>
      <c r="N21" s="6"/>
      <c r="O21" s="6">
        <f t="shared" si="2"/>
        <v>-2843.1285329063503</v>
      </c>
      <c r="Q21" s="26">
        <f t="shared" si="3"/>
        <v>-0.59369461495591636</v>
      </c>
      <c r="T21" s="31">
        <f>O21*0.25</f>
        <v>-710.78213322658758</v>
      </c>
      <c r="V21" s="5">
        <f>T21+G21</f>
        <v>4078.0915760582129</v>
      </c>
      <c r="W21" s="26">
        <f>V21/G21-1</f>
        <v>-0.14842365373897903</v>
      </c>
      <c r="Y21">
        <v>0.99952658635099934</v>
      </c>
      <c r="AA21" s="32">
        <f>Y21*V21</f>
        <v>4076.1609518442324</v>
      </c>
    </row>
    <row r="22" spans="1:27" ht="21" customHeight="1">
      <c r="A22" s="12">
        <v>7</v>
      </c>
      <c r="B22" s="11"/>
      <c r="C22" s="16"/>
      <c r="D22" s="11"/>
      <c r="E22" s="11" t="s">
        <v>9</v>
      </c>
      <c r="F22" s="11"/>
      <c r="G22" s="7">
        <f>1369461.96371695/1000</f>
        <v>1369.4619637169501</v>
      </c>
      <c r="H22" s="3">
        <v>0</v>
      </c>
      <c r="I22" s="10">
        <f t="shared" si="0"/>
        <v>3.1515564357399673E-3</v>
      </c>
      <c r="J22" s="7"/>
      <c r="K22" s="7">
        <f>1365506.9110123/1000</f>
        <v>1365.5069110123</v>
      </c>
      <c r="L22" s="7">
        <v>0</v>
      </c>
      <c r="M22" s="10">
        <f t="shared" si="1"/>
        <v>2.9845339171357178E-3</v>
      </c>
      <c r="N22" s="7"/>
      <c r="O22" s="7">
        <f t="shared" si="2"/>
        <v>-3.9550527046501429</v>
      </c>
      <c r="Q22" s="26">
        <f t="shared" si="3"/>
        <v>-2.8880339939602738E-3</v>
      </c>
      <c r="T22" s="31">
        <f>O22*0.25</f>
        <v>-0.98876317616253573</v>
      </c>
      <c r="V22" s="5">
        <f>T22+G22</f>
        <v>1368.4732005407875</v>
      </c>
      <c r="W22" s="26">
        <f>V22/G22-1</f>
        <v>-7.2200849849013427E-4</v>
      </c>
      <c r="Y22">
        <v>0.99952658635099934</v>
      </c>
      <c r="AA22" s="32">
        <f>Y22*V22</f>
        <v>1367.82534664936</v>
      </c>
    </row>
    <row r="23" spans="1:27" ht="18.75" customHeight="1">
      <c r="A23" s="12">
        <v>8</v>
      </c>
      <c r="B23" s="11"/>
      <c r="C23" s="16"/>
      <c r="D23" s="11"/>
      <c r="E23" s="11" t="s">
        <v>19</v>
      </c>
      <c r="F23" s="11"/>
      <c r="G23" s="7">
        <f>6041548.46/1000</f>
        <v>6041.54846</v>
      </c>
      <c r="H23" s="3"/>
      <c r="I23" s="10">
        <f t="shared" si="0"/>
        <v>1.3903475551281004E-2</v>
      </c>
      <c r="J23" s="3"/>
      <c r="K23" s="7">
        <f>3412312.33858366/1000</f>
        <v>3412.3123385836598</v>
      </c>
      <c r="L23" s="3"/>
      <c r="M23" s="10">
        <f t="shared" si="1"/>
        <v>7.4581547908928137E-3</v>
      </c>
      <c r="N23" s="3"/>
      <c r="O23" s="7">
        <f t="shared" si="2"/>
        <v>-2629.2361214163402</v>
      </c>
      <c r="Q23" s="26">
        <f t="shared" si="3"/>
        <v>-0.43519242439649986</v>
      </c>
      <c r="T23" s="31">
        <f>O23*0.25</f>
        <v>-657.30903035408505</v>
      </c>
      <c r="V23" s="5">
        <f>T23+G23</f>
        <v>5384.2394296459152</v>
      </c>
      <c r="W23" s="26">
        <f>V23/G23-1</f>
        <v>-0.10879810609912488</v>
      </c>
      <c r="Y23">
        <v>0.99952658635099934</v>
      </c>
      <c r="AA23" s="32">
        <f>Y23*V23</f>
        <v>5381.6904572104331</v>
      </c>
    </row>
    <row r="24" spans="1:27" ht="18.75" customHeight="1">
      <c r="A24" s="12"/>
      <c r="B24" s="11"/>
      <c r="C24" s="16"/>
      <c r="D24" s="11"/>
      <c r="E24" s="11"/>
      <c r="F24" s="11"/>
      <c r="G24" s="7"/>
      <c r="H24" s="3"/>
      <c r="I24" s="3"/>
      <c r="J24" s="3"/>
      <c r="K24" s="7"/>
      <c r="L24" s="3"/>
      <c r="M24" s="7"/>
      <c r="N24" s="3"/>
      <c r="O24" s="7"/>
      <c r="T24" s="31"/>
      <c r="W24" s="26"/>
    </row>
    <row r="25" spans="1:27" ht="21" customHeight="1">
      <c r="A25" s="12">
        <v>9</v>
      </c>
      <c r="B25" s="11"/>
      <c r="C25" s="19" t="s">
        <v>10</v>
      </c>
      <c r="D25" s="11"/>
      <c r="E25" s="11"/>
      <c r="F25" s="11"/>
      <c r="G25" s="17">
        <f>SUM(G16:G23)</f>
        <v>434535.12308606599</v>
      </c>
      <c r="H25" s="17"/>
      <c r="I25" s="10">
        <f>G25/$G$25</f>
        <v>1</v>
      </c>
      <c r="J25" s="17"/>
      <c r="K25" s="17">
        <f>SUM(K16:K23)</f>
        <v>457527.69072994433</v>
      </c>
      <c r="L25" s="17"/>
      <c r="M25" s="18">
        <f>SUM(M16:M23)</f>
        <v>1</v>
      </c>
      <c r="N25" s="17"/>
      <c r="O25" s="17">
        <f>SUM(O16:O23)</f>
        <v>22992.567643878378</v>
      </c>
      <c r="Q25" s="26">
        <f>O25/G25</f>
        <v>5.291302456884335E-2</v>
      </c>
      <c r="T25" s="31">
        <f>SUM(T16:T23)</f>
        <v>22992.567643878378</v>
      </c>
      <c r="V25" s="5">
        <f>SUM(V16:V23)</f>
        <v>457527.69072994433</v>
      </c>
      <c r="W25" s="26">
        <f>V25/G25-1</f>
        <v>5.291302456884317E-2</v>
      </c>
      <c r="AA25" s="32">
        <f>SUM(AA16:AA23)</f>
        <v>457311.09087635699</v>
      </c>
    </row>
    <row r="26" spans="1:27" ht="21" customHeight="1">
      <c r="A26" s="12"/>
      <c r="B26" s="11"/>
      <c r="C26" s="11"/>
      <c r="D26" s="11"/>
      <c r="E26" s="11"/>
      <c r="F26" s="11"/>
      <c r="G26" s="3"/>
      <c r="H26" s="3"/>
      <c r="I26" s="3"/>
      <c r="J26" s="3"/>
      <c r="K26" s="3"/>
      <c r="L26" s="3"/>
      <c r="M26" s="3"/>
      <c r="N26" s="3"/>
    </row>
    <row r="27" spans="1:27">
      <c r="A27" s="11"/>
      <c r="B27" s="11"/>
      <c r="C27" s="11"/>
      <c r="D27" s="11"/>
      <c r="E27" s="11"/>
      <c r="F27" s="11"/>
      <c r="G27" s="13"/>
      <c r="H27" s="11"/>
      <c r="I27" s="11"/>
      <c r="J27" s="11"/>
      <c r="K27" s="11"/>
      <c r="L27" s="11"/>
      <c r="M27" s="11"/>
      <c r="N27" s="11"/>
      <c r="T27" s="5"/>
    </row>
    <row r="28" spans="1:27">
      <c r="A28" s="11"/>
      <c r="B28" s="11"/>
      <c r="C28" s="11"/>
      <c r="D28" s="11"/>
      <c r="E28" s="11"/>
      <c r="F28" s="11"/>
      <c r="G28" s="13"/>
      <c r="H28" s="11"/>
      <c r="I28" s="11"/>
      <c r="J28" s="11"/>
      <c r="K28" s="13"/>
      <c r="L28" s="11"/>
      <c r="M28" s="11"/>
      <c r="N28" s="11"/>
    </row>
    <row r="29" spans="1:2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T29" s="5"/>
    </row>
    <row r="30" spans="1:2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1"/>
      <c r="N30" s="11"/>
    </row>
    <row r="31" spans="1:2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T31" s="5"/>
    </row>
    <row r="32" spans="1:2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3"/>
      <c r="L33" s="11"/>
      <c r="M33" s="11"/>
      <c r="N33" s="11"/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3"/>
      <c r="L34" s="11"/>
      <c r="M34" s="11"/>
      <c r="N34" s="11"/>
    </row>
    <row r="37" spans="1:14">
      <c r="K37" s="8"/>
    </row>
    <row r="38" spans="1:14">
      <c r="K38" s="8"/>
    </row>
    <row r="39" spans="1:14">
      <c r="K39" s="8"/>
    </row>
    <row r="40" spans="1:14">
      <c r="K40" s="8"/>
    </row>
    <row r="41" spans="1:14">
      <c r="K41" s="8"/>
      <c r="M41" s="9"/>
    </row>
    <row r="42" spans="1:14">
      <c r="K42" s="5"/>
    </row>
  </sheetData>
  <mergeCells count="8">
    <mergeCell ref="C13:E13"/>
    <mergeCell ref="G12:I12"/>
    <mergeCell ref="K12:M12"/>
    <mergeCell ref="O12:Q12"/>
    <mergeCell ref="A6:Q6"/>
    <mergeCell ref="A7:Q7"/>
    <mergeCell ref="A8:Q8"/>
    <mergeCell ref="K11:M11"/>
  </mergeCells>
  <printOptions horizontalCentered="1"/>
  <pageMargins left="0.75" right="0.75" top="0.5" bottom="0.75" header="1.06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6:Q42"/>
  <sheetViews>
    <sheetView workbookViewId="0">
      <selection activeCell="E34" sqref="E34"/>
    </sheetView>
  </sheetViews>
  <sheetFormatPr defaultRowHeight="14.25"/>
  <cols>
    <col min="1" max="1" width="4.375" customWidth="1"/>
    <col min="2" max="2" width="0.875" customWidth="1"/>
    <col min="3" max="3" width="14.5" customWidth="1"/>
    <col min="4" max="4" width="0.875" customWidth="1"/>
    <col min="5" max="5" width="25" customWidth="1"/>
    <col min="6" max="6" width="1.25" customWidth="1"/>
    <col min="7" max="7" width="9.625" customWidth="1"/>
    <col min="8" max="8" width="0.75" customWidth="1"/>
    <col min="9" max="9" width="11.875" customWidth="1"/>
    <col min="10" max="10" width="4.375" customWidth="1"/>
    <col min="11" max="11" width="10.25" customWidth="1"/>
    <col min="12" max="12" width="0.875" customWidth="1"/>
    <col min="13" max="13" width="12" customWidth="1"/>
    <col min="14" max="14" width="3.75" customWidth="1"/>
    <col min="15" max="15" width="10.5" customWidth="1"/>
    <col min="16" max="16" width="1.625" customWidth="1"/>
    <col min="17" max="17" width="11.375" customWidth="1"/>
  </cols>
  <sheetData>
    <row r="6" spans="1:17" ht="20.25">
      <c r="A6" s="29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20.25">
      <c r="A7" s="29" t="s">
        <v>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8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18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7" ht="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 ht="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 ht="15">
      <c r="A12" s="1"/>
      <c r="B12" s="1"/>
      <c r="C12" s="1"/>
      <c r="D12" s="1"/>
      <c r="E12" s="1"/>
      <c r="F12" s="1"/>
      <c r="G12" s="28" t="s">
        <v>26</v>
      </c>
      <c r="H12" s="28"/>
      <c r="I12" s="28"/>
      <c r="J12" s="1"/>
      <c r="K12" s="28" t="s">
        <v>30</v>
      </c>
      <c r="L12" s="28"/>
      <c r="M12" s="28"/>
      <c r="N12" s="1"/>
      <c r="O12" s="28" t="s">
        <v>27</v>
      </c>
      <c r="P12" s="28"/>
      <c r="Q12" s="28"/>
    </row>
    <row r="13" spans="1:17" ht="15">
      <c r="A13" s="24" t="s">
        <v>0</v>
      </c>
      <c r="B13" s="14"/>
      <c r="C13" s="27" t="s">
        <v>16</v>
      </c>
      <c r="D13" s="27"/>
      <c r="E13" s="27"/>
      <c r="F13" s="14"/>
      <c r="G13" s="23" t="s">
        <v>11</v>
      </c>
      <c r="H13" s="23"/>
      <c r="I13" s="23" t="s">
        <v>31</v>
      </c>
      <c r="J13" s="14"/>
      <c r="K13" s="23" t="s">
        <v>11</v>
      </c>
      <c r="L13" s="23"/>
      <c r="M13" s="23" t="s">
        <v>31</v>
      </c>
      <c r="N13" s="24"/>
      <c r="O13" s="23" t="s">
        <v>28</v>
      </c>
      <c r="P13" s="23"/>
      <c r="Q13" s="23" t="s">
        <v>32</v>
      </c>
    </row>
    <row r="14" spans="1:17">
      <c r="A14" s="12"/>
      <c r="B14" s="11"/>
      <c r="C14" s="11"/>
      <c r="D14" s="11"/>
      <c r="E14" s="11"/>
      <c r="F14" s="11"/>
      <c r="G14" s="22" t="s">
        <v>1</v>
      </c>
      <c r="H14" s="20"/>
      <c r="I14" s="22" t="s">
        <v>2</v>
      </c>
      <c r="J14" s="20"/>
      <c r="K14" s="22" t="s">
        <v>18</v>
      </c>
      <c r="L14" s="20"/>
      <c r="M14" s="22" t="s">
        <v>3</v>
      </c>
      <c r="N14" s="20"/>
      <c r="O14" s="22" t="s">
        <v>13</v>
      </c>
      <c r="Q14" s="22" t="s">
        <v>15</v>
      </c>
    </row>
    <row r="15" spans="1:17" ht="15">
      <c r="A15" s="12"/>
      <c r="B15" s="11"/>
      <c r="C15" s="2"/>
      <c r="D15" s="2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7" ht="21" customHeight="1">
      <c r="A16" s="12">
        <v>1</v>
      </c>
      <c r="B16" s="11"/>
      <c r="C16" s="25" t="s">
        <v>20</v>
      </c>
      <c r="D16" s="11"/>
      <c r="E16" s="11" t="s">
        <v>4</v>
      </c>
      <c r="F16" s="11"/>
      <c r="G16" s="4">
        <f>304383540.92717/1000</f>
        <v>304383.54092716996</v>
      </c>
      <c r="H16" s="4">
        <v>0</v>
      </c>
      <c r="I16" s="10">
        <f t="shared" ref="I16:I23" si="0">G16/$G$25</f>
        <v>0.70048086968307599</v>
      </c>
      <c r="J16" s="4"/>
      <c r="K16" s="4">
        <f>293018907.821981/1000</f>
        <v>293018.907821981</v>
      </c>
      <c r="L16" s="4">
        <v>0</v>
      </c>
      <c r="M16" s="10">
        <f t="shared" ref="M16:M23" si="1">K16/$K$25</f>
        <v>0.6404397236689563</v>
      </c>
      <c r="N16" s="4"/>
      <c r="O16" s="4">
        <f t="shared" ref="O16:O23" si="2">K16-G16</f>
        <v>-11364.633105188957</v>
      </c>
      <c r="Q16" s="26">
        <f t="shared" ref="Q16:Q23" si="3">O16/G16</f>
        <v>-3.7336555947051618E-2</v>
      </c>
    </row>
    <row r="17" spans="1:17" ht="21" customHeight="1">
      <c r="A17" s="12">
        <v>2</v>
      </c>
      <c r="B17" s="11"/>
      <c r="C17" s="25" t="s">
        <v>21</v>
      </c>
      <c r="D17" s="11"/>
      <c r="E17" s="11" t="s">
        <v>12</v>
      </c>
      <c r="F17" s="11"/>
      <c r="G17" s="6">
        <f>88444666.0358868/1000</f>
        <v>88444.666035886796</v>
      </c>
      <c r="H17" s="3">
        <v>0</v>
      </c>
      <c r="I17" s="10">
        <f t="shared" si="0"/>
        <v>0.20353858948789519</v>
      </c>
      <c r="J17" s="6"/>
      <c r="K17" s="6">
        <f>116464435.597087/1000</f>
        <v>116464.43559708699</v>
      </c>
      <c r="L17" s="6">
        <v>0</v>
      </c>
      <c r="M17" s="10">
        <f t="shared" si="1"/>
        <v>0.25455166530200296</v>
      </c>
      <c r="N17" s="6"/>
      <c r="O17" s="6">
        <f t="shared" si="2"/>
        <v>28019.769561200199</v>
      </c>
      <c r="Q17" s="26">
        <f t="shared" si="3"/>
        <v>0.31680564602766503</v>
      </c>
    </row>
    <row r="18" spans="1:17" ht="21" customHeight="1">
      <c r="A18" s="12">
        <v>3</v>
      </c>
      <c r="B18" s="11"/>
      <c r="C18" s="25" t="s">
        <v>22</v>
      </c>
      <c r="D18" s="11"/>
      <c r="E18" s="11" t="s">
        <v>5</v>
      </c>
      <c r="F18" s="11"/>
      <c r="G18" s="6">
        <f>13505384.730862/1000</f>
        <v>13505.384730861999</v>
      </c>
      <c r="H18" s="3">
        <v>0</v>
      </c>
      <c r="I18" s="10">
        <f t="shared" si="0"/>
        <v>3.1080076185664423E-2</v>
      </c>
      <c r="J18" s="6"/>
      <c r="K18" s="6">
        <f>16428325.1710517/1000</f>
        <v>16428.3251710517</v>
      </c>
      <c r="L18" s="6">
        <v>0</v>
      </c>
      <c r="M18" s="10">
        <f t="shared" si="1"/>
        <v>3.5906734180048853E-2</v>
      </c>
      <c r="N18" s="6"/>
      <c r="O18" s="6">
        <f t="shared" si="2"/>
        <v>2922.9404401897009</v>
      </c>
      <c r="Q18" s="26">
        <f t="shared" si="3"/>
        <v>0.21642778035862295</v>
      </c>
    </row>
    <row r="19" spans="1:17" ht="21" customHeight="1">
      <c r="A19" s="12">
        <v>4</v>
      </c>
      <c r="B19" s="11"/>
      <c r="C19" s="25" t="s">
        <v>23</v>
      </c>
      <c r="D19" s="11"/>
      <c r="E19" s="11" t="s">
        <v>6</v>
      </c>
      <c r="F19" s="11"/>
      <c r="G19" s="6">
        <f>13826317.9664843/1000</f>
        <v>13826.317966484301</v>
      </c>
      <c r="H19" s="3">
        <v>0</v>
      </c>
      <c r="I19" s="10">
        <f t="shared" si="0"/>
        <v>3.1818643032328134E-2</v>
      </c>
      <c r="J19" s="6"/>
      <c r="K19" s="6">
        <f>16581041.6072552/1000</f>
        <v>16581.0416072552</v>
      </c>
      <c r="L19" s="6">
        <v>0</v>
      </c>
      <c r="M19" s="10">
        <f t="shared" si="1"/>
        <v>3.6240520395173573E-2</v>
      </c>
      <c r="N19" s="6"/>
      <c r="O19" s="6">
        <f t="shared" si="2"/>
        <v>2754.7236407708988</v>
      </c>
      <c r="Q19" s="26">
        <f t="shared" si="3"/>
        <v>0.1992376891265259</v>
      </c>
    </row>
    <row r="20" spans="1:17" ht="21" customHeight="1">
      <c r="A20" s="12">
        <v>5</v>
      </c>
      <c r="B20" s="11"/>
      <c r="C20" s="25" t="s">
        <v>24</v>
      </c>
      <c r="D20" s="11"/>
      <c r="E20" s="11" t="s">
        <v>7</v>
      </c>
      <c r="F20" s="11"/>
      <c r="G20" s="6">
        <f>2175329.29266117/1000</f>
        <v>2175.3292926611698</v>
      </c>
      <c r="H20" s="3">
        <v>0</v>
      </c>
      <c r="I20" s="10">
        <f t="shared" si="0"/>
        <v>5.0061069338008706E-3</v>
      </c>
      <c r="J20" s="6"/>
      <c r="K20" s="6">
        <f>1960405.59049628/1000</f>
        <v>1960.40559049628</v>
      </c>
      <c r="L20" s="6">
        <v>0</v>
      </c>
      <c r="M20" s="10">
        <f t="shared" si="1"/>
        <v>4.2847802006663917E-3</v>
      </c>
      <c r="N20" s="6"/>
      <c r="O20" s="6">
        <f t="shared" si="2"/>
        <v>-214.92370216488985</v>
      </c>
      <c r="Q20" s="26">
        <f t="shared" si="3"/>
        <v>-9.8800536953173118E-2</v>
      </c>
    </row>
    <row r="21" spans="1:17" ht="21" customHeight="1">
      <c r="A21" s="12">
        <v>6</v>
      </c>
      <c r="B21" s="11"/>
      <c r="C21" s="25" t="s">
        <v>25</v>
      </c>
      <c r="D21" s="11"/>
      <c r="E21" s="11" t="s">
        <v>8</v>
      </c>
      <c r="F21" s="11"/>
      <c r="G21" s="6">
        <f>4788873.7092848/1000</f>
        <v>4788.8737092848005</v>
      </c>
      <c r="H21" s="3">
        <v>0</v>
      </c>
      <c r="I21" s="10">
        <f t="shared" si="0"/>
        <v>1.1020682690214421E-2</v>
      </c>
      <c r="J21" s="6"/>
      <c r="K21" s="6">
        <f>6981145.61879093/1000</f>
        <v>6981.1456187909298</v>
      </c>
      <c r="L21" s="6">
        <v>0</v>
      </c>
      <c r="M21" s="10">
        <f t="shared" si="1"/>
        <v>1.5258411152455374E-2</v>
      </c>
      <c r="N21" s="6"/>
      <c r="O21" s="6">
        <f t="shared" si="2"/>
        <v>2192.2719095061293</v>
      </c>
      <c r="Q21" s="26">
        <f t="shared" si="3"/>
        <v>0.45778444840917232</v>
      </c>
    </row>
    <row r="22" spans="1:17" ht="21" customHeight="1">
      <c r="A22" s="12">
        <v>7</v>
      </c>
      <c r="B22" s="11"/>
      <c r="C22" s="16"/>
      <c r="D22" s="11"/>
      <c r="E22" s="11" t="s">
        <v>9</v>
      </c>
      <c r="F22" s="11"/>
      <c r="G22" s="7">
        <f>1369461.96371695/1000</f>
        <v>1369.4619637169501</v>
      </c>
      <c r="H22" s="3">
        <v>0</v>
      </c>
      <c r="I22" s="10">
        <f t="shared" si="0"/>
        <v>3.1515564357399673E-3</v>
      </c>
      <c r="J22" s="7"/>
      <c r="K22" s="7">
        <f>2681116.98469817/1000</f>
        <v>2681.1169846981697</v>
      </c>
      <c r="L22" s="7">
        <v>0</v>
      </c>
      <c r="M22" s="10">
        <f t="shared" si="1"/>
        <v>5.8600103098037431E-3</v>
      </c>
      <c r="N22" s="7"/>
      <c r="O22" s="7">
        <f t="shared" si="2"/>
        <v>1311.6550209812196</v>
      </c>
      <c r="Q22" s="26">
        <f t="shared" si="3"/>
        <v>0.95778857371194692</v>
      </c>
    </row>
    <row r="23" spans="1:17" ht="18.75" customHeight="1">
      <c r="A23" s="12">
        <v>8</v>
      </c>
      <c r="B23" s="11"/>
      <c r="C23" s="16"/>
      <c r="D23" s="11"/>
      <c r="E23" s="11" t="s">
        <v>19</v>
      </c>
      <c r="F23" s="11"/>
      <c r="G23" s="7">
        <f>6041548.46/1000</f>
        <v>6041.54846</v>
      </c>
      <c r="H23" s="3"/>
      <c r="I23" s="10">
        <f t="shared" si="0"/>
        <v>1.3903475551281004E-2</v>
      </c>
      <c r="J23" s="3"/>
      <c r="K23" s="7">
        <f>3412312.33858366/1000</f>
        <v>3412.3123385836598</v>
      </c>
      <c r="L23" s="3"/>
      <c r="M23" s="10">
        <f t="shared" si="1"/>
        <v>7.4581547908928198E-3</v>
      </c>
      <c r="N23" s="3"/>
      <c r="O23" s="7">
        <f t="shared" si="2"/>
        <v>-2629.2361214163402</v>
      </c>
      <c r="Q23" s="26">
        <f t="shared" si="3"/>
        <v>-0.43519242439649986</v>
      </c>
    </row>
    <row r="24" spans="1:17" ht="18.75" customHeight="1">
      <c r="A24" s="12"/>
      <c r="B24" s="11"/>
      <c r="C24" s="16"/>
      <c r="D24" s="11"/>
      <c r="E24" s="11"/>
      <c r="F24" s="11"/>
      <c r="G24" s="7"/>
      <c r="H24" s="3"/>
      <c r="I24" s="3"/>
      <c r="J24" s="3"/>
      <c r="K24" s="7"/>
      <c r="L24" s="3"/>
      <c r="M24" s="7"/>
      <c r="N24" s="3"/>
      <c r="O24" s="7"/>
    </row>
    <row r="25" spans="1:17" ht="21" customHeight="1">
      <c r="A25" s="12">
        <v>9</v>
      </c>
      <c r="B25" s="11"/>
      <c r="C25" s="19" t="s">
        <v>10</v>
      </c>
      <c r="D25" s="11"/>
      <c r="E25" s="11"/>
      <c r="F25" s="11"/>
      <c r="G25" s="17">
        <f>SUM(G16:G23)</f>
        <v>434535.12308606599</v>
      </c>
      <c r="H25" s="17"/>
      <c r="I25" s="10">
        <f>G25/$G$25</f>
        <v>1</v>
      </c>
      <c r="J25" s="17"/>
      <c r="K25" s="17">
        <f>SUM(K16:K23)</f>
        <v>457527.69072994392</v>
      </c>
      <c r="L25" s="17"/>
      <c r="M25" s="18">
        <f>SUM(M16:M23)</f>
        <v>1</v>
      </c>
      <c r="N25" s="17"/>
      <c r="O25" s="17">
        <f>SUM(O16:O23)</f>
        <v>22992.567643877959</v>
      </c>
      <c r="Q25" s="26">
        <f>O25/G25</f>
        <v>5.2913024568842386E-2</v>
      </c>
    </row>
    <row r="26" spans="1:17" ht="21" customHeight="1">
      <c r="A26" s="12"/>
      <c r="B26" s="11"/>
      <c r="C26" s="11"/>
      <c r="D26" s="11"/>
      <c r="E26" s="11"/>
      <c r="F26" s="11"/>
      <c r="G26" s="3"/>
      <c r="H26" s="3"/>
      <c r="I26" s="3"/>
      <c r="J26" s="3"/>
      <c r="K26" s="3"/>
      <c r="L26" s="3"/>
      <c r="M26" s="3"/>
      <c r="N26" s="3"/>
    </row>
    <row r="27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7">
      <c r="A28" s="11"/>
      <c r="B28" s="11"/>
      <c r="C28" s="11"/>
      <c r="D28" s="11"/>
      <c r="E28" s="11"/>
      <c r="F28" s="11"/>
      <c r="G28" s="13"/>
      <c r="H28" s="11"/>
      <c r="I28" s="11"/>
      <c r="J28" s="11"/>
      <c r="K28" s="13"/>
      <c r="L28" s="11"/>
      <c r="M28" s="11"/>
      <c r="N28" s="11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1"/>
      <c r="N30" s="11"/>
    </row>
    <row r="31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3"/>
      <c r="L33" s="11"/>
      <c r="M33" s="11"/>
      <c r="N33" s="11"/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3"/>
      <c r="L34" s="11"/>
      <c r="M34" s="11"/>
      <c r="N34" s="11"/>
    </row>
    <row r="37" spans="1:14">
      <c r="K37" s="8"/>
    </row>
    <row r="38" spans="1:14">
      <c r="K38" s="8"/>
    </row>
    <row r="39" spans="1:14">
      <c r="K39" s="8"/>
    </row>
    <row r="40" spans="1:14">
      <c r="K40" s="8"/>
    </row>
    <row r="41" spans="1:14">
      <c r="K41" s="8"/>
      <c r="M41" s="9"/>
    </row>
    <row r="42" spans="1:14">
      <c r="K42" s="5"/>
    </row>
  </sheetData>
  <mergeCells count="7">
    <mergeCell ref="C13:E13"/>
    <mergeCell ref="A6:Q6"/>
    <mergeCell ref="A7:Q7"/>
    <mergeCell ref="A8:Q8"/>
    <mergeCell ref="G12:I12"/>
    <mergeCell ref="K12:M12"/>
    <mergeCell ref="O12:Q12"/>
  </mergeCells>
  <printOptions horizontalCentered="1"/>
  <pageMargins left="0.75" right="0.75" top="0.5" bottom="0.75" header="1.06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29370A4-FAAF-4E29-BA2A-744113480572}"/>
</file>

<file path=customXml/itemProps2.xml><?xml version="1.0" encoding="utf-8"?>
<ds:datastoreItem xmlns:ds="http://schemas.openxmlformats.org/officeDocument/2006/customXml" ds:itemID="{D38F52F3-2606-4EF2-89F2-9D85FE1C32A4}"/>
</file>

<file path=customXml/itemProps3.xml><?xml version="1.0" encoding="utf-8"?>
<ds:datastoreItem xmlns:ds="http://schemas.openxmlformats.org/officeDocument/2006/customXml" ds:itemID="{190B6ABB-915A-40C2-886B-92357410B5CF}"/>
</file>

<file path=customXml/itemProps4.xml><?xml version="1.0" encoding="utf-8"?>
<ds:datastoreItem xmlns:ds="http://schemas.openxmlformats.org/officeDocument/2006/customXml" ds:itemID="{53D68CA8-7E5A-45CA-A772-7844BE909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No. BCC-3, Page 1</vt:lpstr>
      <vt:lpstr>Exhibit No. BCC-3, Page 2</vt:lpstr>
      <vt:lpstr>'Exhibit No. BCC-3, Page 1'!Print_Area</vt:lpstr>
      <vt:lpstr>'Exhibit No. BCC-3, Page 2'!Print_Area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Collins</dc:creator>
  <cp:lastModifiedBy>Brian Collins</cp:lastModifiedBy>
  <cp:lastPrinted>2017-06-30T19:52:59Z</cp:lastPrinted>
  <dcterms:created xsi:type="dcterms:W3CDTF">2017-06-26T19:50:49Z</dcterms:created>
  <dcterms:modified xsi:type="dcterms:W3CDTF">2017-06-30T19:56:41Z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