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Z:\__WP\2023 IRP Data Disc (Public) - WA only\"/>
    </mc:Choice>
  </mc:AlternateContent>
  <xr:revisionPtr revIDLastSave="0" documentId="13_ncr:1_{7930ECB2-44EB-4B71-8618-0A99C1B1835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ig 8.4 Average CO2 Price" sheetId="4" r:id="rId1"/>
    <sheet name="CO2 WA Cap and Trade" sheetId="5" r:id="rId2"/>
    <sheet name="CO2 Charts" sheetId="3" r:id="rId3"/>
    <sheet name="CO2 Price Forecasts" sheetId="1" r:id="rId4"/>
    <sheet name="Inflation" sheetId="2" r:id="rId5"/>
  </sheets>
  <externalReferences>
    <externalReference r:id="rId6"/>
  </externalReferences>
  <definedNames>
    <definedName name="_Ref21796574" localSheetId="0">'Fig 8.4 Average CO2 Price'!$W$44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I20" i="5"/>
  <c r="I21" i="5" s="1"/>
  <c r="I22" i="5" s="1"/>
  <c r="I23" i="5" s="1"/>
  <c r="I24" i="5" s="1"/>
  <c r="I25" i="5" s="1"/>
  <c r="I26" i="5" s="1"/>
  <c r="I27" i="5" s="1"/>
  <c r="I28" i="5" s="1"/>
  <c r="I29" i="5" s="1"/>
  <c r="U34" i="1" l="1"/>
  <c r="U35" i="1" s="1"/>
  <c r="U36" i="1" s="1"/>
  <c r="U37" i="1" s="1"/>
  <c r="U38" i="1" s="1"/>
  <c r="U39" i="1" s="1"/>
  <c r="U40" i="1" s="1"/>
  <c r="U41" i="1" s="1"/>
  <c r="U42" i="1" s="1"/>
  <c r="V45" i="1"/>
  <c r="V34" i="1" s="1"/>
  <c r="V35" i="1" s="1"/>
  <c r="V36" i="1" s="1"/>
  <c r="V37" i="1" s="1"/>
  <c r="V38" i="1" s="1"/>
  <c r="V39" i="1" s="1"/>
  <c r="V40" i="1" s="1"/>
  <c r="V41" i="1" s="1"/>
  <c r="V42" i="1" s="1"/>
  <c r="V47" i="1" s="1"/>
  <c r="W45" i="1"/>
  <c r="W34" i="1" s="1"/>
  <c r="W35" i="1" s="1"/>
  <c r="W36" i="1" s="1"/>
  <c r="W37" i="1" s="1"/>
  <c r="W38" i="1" s="1"/>
  <c r="W39" i="1" s="1"/>
  <c r="W40" i="1" s="1"/>
  <c r="W41" i="1" s="1"/>
  <c r="W42" i="1" s="1"/>
  <c r="W47" i="1" s="1"/>
  <c r="U45" i="1"/>
  <c r="C3" i="4"/>
  <c r="B3" i="4"/>
  <c r="V46" i="1" l="1"/>
  <c r="W46" i="1"/>
  <c r="U46" i="1"/>
  <c r="U18" i="1" s="1"/>
  <c r="U17" i="1" s="1"/>
  <c r="D3" i="4"/>
  <c r="AC24" i="4"/>
  <c r="AC25" i="4" s="1"/>
  <c r="AC6" i="4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5" i="4"/>
  <c r="AE36" i="4"/>
  <c r="AE37" i="4" s="1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8" i="4"/>
  <c r="AI36" i="4" s="1"/>
  <c r="AI37" i="4" s="1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4" i="4"/>
  <c r="W18" i="1" l="1"/>
  <c r="W17" i="1" s="1"/>
  <c r="V18" i="1"/>
  <c r="V17" i="1" s="1"/>
  <c r="AH35" i="4"/>
  <c r="AH36" i="4"/>
  <c r="AH37" i="4" s="1"/>
  <c r="X3" i="1"/>
  <c r="Y3" i="1"/>
  <c r="Z3" i="1"/>
  <c r="AA3" i="1"/>
  <c r="AB3" i="1"/>
  <c r="F3" i="4"/>
  <c r="X2" i="1"/>
  <c r="Y2" i="1"/>
  <c r="Z2" i="1"/>
  <c r="AA2" i="1"/>
  <c r="AB2" i="1"/>
  <c r="J35" i="4"/>
  <c r="AD35" i="4" s="1"/>
  <c r="C19" i="1"/>
  <c r="C18" i="1" s="1"/>
  <c r="C17" i="1" s="1"/>
  <c r="J24" i="4" l="1"/>
  <c r="AD24" i="4" s="1"/>
  <c r="J25" i="4"/>
  <c r="AD25" i="4" s="1"/>
  <c r="J4" i="4"/>
  <c r="AD4" i="4" s="1"/>
  <c r="J5" i="4"/>
  <c r="AD5" i="4" s="1"/>
  <c r="J6" i="4"/>
  <c r="AD6" i="4" s="1"/>
  <c r="J7" i="4"/>
  <c r="AD7" i="4" s="1"/>
  <c r="J8" i="4"/>
  <c r="AD8" i="4" s="1"/>
  <c r="J9" i="4"/>
  <c r="AD9" i="4" s="1"/>
  <c r="J10" i="4"/>
  <c r="AD10" i="4" s="1"/>
  <c r="J11" i="4"/>
  <c r="AD11" i="4" s="1"/>
  <c r="J12" i="4"/>
  <c r="AD12" i="4" s="1"/>
  <c r="J13" i="4"/>
  <c r="AD13" i="4" s="1"/>
  <c r="J14" i="4"/>
  <c r="AD14" i="4" s="1"/>
  <c r="J15" i="4"/>
  <c r="AD15" i="4" s="1"/>
  <c r="J16" i="4"/>
  <c r="AD16" i="4" s="1"/>
  <c r="J17" i="4"/>
  <c r="AD17" i="4" s="1"/>
  <c r="J18" i="4"/>
  <c r="AD18" i="4" s="1"/>
  <c r="J19" i="4"/>
  <c r="AD19" i="4" s="1"/>
  <c r="J20" i="4"/>
  <c r="AD20" i="4" s="1"/>
  <c r="J21" i="4"/>
  <c r="AD21" i="4" s="1"/>
  <c r="J22" i="4"/>
  <c r="AD22" i="4" s="1"/>
  <c r="J23" i="4"/>
  <c r="AD23" i="4" s="1"/>
  <c r="AV34" i="1"/>
  <c r="AU34" i="1"/>
  <c r="AT34" i="1"/>
  <c r="AR34" i="1"/>
  <c r="D33" i="1"/>
  <c r="D34" i="1" s="1"/>
  <c r="D35" i="1" s="1"/>
  <c r="D36" i="1" s="1"/>
  <c r="C33" i="1"/>
  <c r="C34" i="1" s="1"/>
  <c r="C35" i="1" l="1"/>
  <c r="D37" i="1"/>
  <c r="D38" i="1" s="1"/>
  <c r="D39" i="1" s="1"/>
  <c r="C36" i="1" l="1"/>
  <c r="D40" i="1"/>
  <c r="C37" i="1" l="1"/>
  <c r="D41" i="1"/>
  <c r="C38" i="1" l="1"/>
  <c r="D42" i="1"/>
  <c r="C39" i="1" l="1"/>
  <c r="AD33" i="1"/>
  <c r="AD34" i="1"/>
  <c r="AD35" i="1"/>
  <c r="AD36" i="1"/>
  <c r="AD37" i="1"/>
  <c r="AD38" i="1"/>
  <c r="AD39" i="1"/>
  <c r="AD40" i="1"/>
  <c r="AD41" i="1"/>
  <c r="AD42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D13" i="1"/>
  <c r="AE13" i="1"/>
  <c r="AE14" i="1"/>
  <c r="AE15" i="1"/>
  <c r="AE16" i="1"/>
  <c r="AF13" i="1"/>
  <c r="AF14" i="1"/>
  <c r="AF15" i="1"/>
  <c r="AF16" i="1"/>
  <c r="AF17" i="1"/>
  <c r="AF18" i="1"/>
  <c r="AF19" i="1"/>
  <c r="AF20" i="1"/>
  <c r="R13" i="1"/>
  <c r="R14" i="1" s="1"/>
  <c r="R15" i="1" s="1"/>
  <c r="R16" i="1" s="1"/>
  <c r="R17" i="1" s="1"/>
  <c r="E13" i="1"/>
  <c r="F13" i="1"/>
  <c r="J13" i="1" s="1"/>
  <c r="AC13" i="1" s="1"/>
  <c r="G13" i="1"/>
  <c r="E14" i="1"/>
  <c r="F14" i="1"/>
  <c r="J14" i="1" s="1"/>
  <c r="AC14" i="1" s="1"/>
  <c r="G14" i="1"/>
  <c r="E15" i="1"/>
  <c r="F15" i="1"/>
  <c r="J15" i="1" s="1"/>
  <c r="AC15" i="1" s="1"/>
  <c r="G15" i="1"/>
  <c r="E16" i="1"/>
  <c r="F16" i="1"/>
  <c r="J16" i="1" s="1"/>
  <c r="AC16" i="1" s="1"/>
  <c r="G16" i="1"/>
  <c r="E17" i="1"/>
  <c r="F17" i="1"/>
  <c r="J17" i="1" s="1"/>
  <c r="AC17" i="1" s="1"/>
  <c r="G17" i="1"/>
  <c r="E18" i="1"/>
  <c r="F18" i="1"/>
  <c r="J18" i="1" s="1"/>
  <c r="AC18" i="1" s="1"/>
  <c r="G18" i="1"/>
  <c r="E19" i="1"/>
  <c r="F19" i="1"/>
  <c r="J19" i="1" s="1"/>
  <c r="AC19" i="1" s="1"/>
  <c r="G19" i="1"/>
  <c r="E20" i="1"/>
  <c r="F20" i="1"/>
  <c r="J20" i="1" s="1"/>
  <c r="AC20" i="1" s="1"/>
  <c r="G20" i="1"/>
  <c r="E21" i="1"/>
  <c r="F21" i="1"/>
  <c r="J21" i="1" s="1"/>
  <c r="AC21" i="1" s="1"/>
  <c r="G21" i="1"/>
  <c r="E22" i="1"/>
  <c r="F22" i="1"/>
  <c r="J22" i="1" s="1"/>
  <c r="AC22" i="1" s="1"/>
  <c r="G22" i="1"/>
  <c r="E23" i="1"/>
  <c r="F23" i="1"/>
  <c r="J23" i="1" s="1"/>
  <c r="AC23" i="1" s="1"/>
  <c r="G23" i="1"/>
  <c r="E24" i="1"/>
  <c r="F24" i="1"/>
  <c r="J24" i="1" s="1"/>
  <c r="AC24" i="1" s="1"/>
  <c r="G24" i="1"/>
  <c r="E25" i="1"/>
  <c r="F25" i="1"/>
  <c r="J25" i="1" s="1"/>
  <c r="AC25" i="1" s="1"/>
  <c r="G25" i="1"/>
  <c r="E26" i="1"/>
  <c r="F26" i="1"/>
  <c r="J26" i="1" s="1"/>
  <c r="AC26" i="1" s="1"/>
  <c r="G26" i="1"/>
  <c r="E27" i="1"/>
  <c r="F27" i="1"/>
  <c r="J27" i="1" s="1"/>
  <c r="AC27" i="1" s="1"/>
  <c r="G27" i="1"/>
  <c r="E28" i="1"/>
  <c r="F28" i="1"/>
  <c r="J28" i="1" s="1"/>
  <c r="AC28" i="1" s="1"/>
  <c r="G28" i="1"/>
  <c r="E29" i="1"/>
  <c r="F29" i="1"/>
  <c r="J29" i="1" s="1"/>
  <c r="AC29" i="1" s="1"/>
  <c r="G29" i="1"/>
  <c r="E30" i="1"/>
  <c r="F30" i="1"/>
  <c r="J30" i="1" s="1"/>
  <c r="AC30" i="1" s="1"/>
  <c r="G30" i="1"/>
  <c r="E31" i="1"/>
  <c r="F31" i="1"/>
  <c r="J31" i="1" s="1"/>
  <c r="AC31" i="1" s="1"/>
  <c r="G31" i="1"/>
  <c r="E32" i="1"/>
  <c r="F32" i="1"/>
  <c r="J32" i="1" s="1"/>
  <c r="AC32" i="1" s="1"/>
  <c r="G32" i="1"/>
  <c r="E33" i="1"/>
  <c r="F33" i="1"/>
  <c r="J33" i="1" s="1"/>
  <c r="AC33" i="1" s="1"/>
  <c r="G33" i="1"/>
  <c r="E34" i="1"/>
  <c r="F34" i="1"/>
  <c r="J34" i="1" s="1"/>
  <c r="AC34" i="1" s="1"/>
  <c r="G34" i="1"/>
  <c r="E35" i="1"/>
  <c r="F35" i="1"/>
  <c r="J35" i="1" s="1"/>
  <c r="AC35" i="1" s="1"/>
  <c r="G35" i="1"/>
  <c r="E36" i="1"/>
  <c r="F36" i="1"/>
  <c r="J36" i="1" s="1"/>
  <c r="AC36" i="1" s="1"/>
  <c r="G36" i="1"/>
  <c r="E37" i="1"/>
  <c r="F37" i="1"/>
  <c r="J37" i="1" s="1"/>
  <c r="AC37" i="1" s="1"/>
  <c r="G37" i="1"/>
  <c r="E38" i="1"/>
  <c r="F38" i="1"/>
  <c r="J38" i="1" s="1"/>
  <c r="AC38" i="1" s="1"/>
  <c r="G38" i="1"/>
  <c r="E39" i="1"/>
  <c r="F39" i="1"/>
  <c r="J39" i="1" s="1"/>
  <c r="AC39" i="1" s="1"/>
  <c r="G39" i="1"/>
  <c r="E40" i="1"/>
  <c r="F40" i="1"/>
  <c r="J40" i="1" s="1"/>
  <c r="AC40" i="1" s="1"/>
  <c r="G40" i="1"/>
  <c r="E41" i="1"/>
  <c r="F41" i="1"/>
  <c r="J41" i="1" s="1"/>
  <c r="AC41" i="1" s="1"/>
  <c r="G41" i="1"/>
  <c r="E42" i="1"/>
  <c r="F42" i="1"/>
  <c r="J42" i="1" s="1"/>
  <c r="AC42" i="1" s="1"/>
  <c r="G42" i="1"/>
  <c r="E12" i="1"/>
  <c r="F12" i="1"/>
  <c r="J12" i="1" s="1"/>
  <c r="G12" i="1"/>
  <c r="AD14" i="1"/>
  <c r="AD15" i="1"/>
  <c r="AD16" i="1"/>
  <c r="AD17" i="1"/>
  <c r="AE17" i="1"/>
  <c r="AQ17" i="1"/>
  <c r="AS17" i="1"/>
  <c r="AG8" i="4" s="1"/>
  <c r="AE18" i="1"/>
  <c r="AD18" i="1"/>
  <c r="AQ18" i="1"/>
  <c r="L9" i="4" s="1"/>
  <c r="AF9" i="4" s="1"/>
  <c r="AS18" i="1"/>
  <c r="AG9" i="4" s="1"/>
  <c r="AE19" i="1"/>
  <c r="AD19" i="1"/>
  <c r="AQ19" i="1"/>
  <c r="L10" i="4" s="1"/>
  <c r="AF10" i="4" s="1"/>
  <c r="AS19" i="1"/>
  <c r="AG10" i="4" s="1"/>
  <c r="AD20" i="1"/>
  <c r="AQ20" i="1"/>
  <c r="L11" i="4" s="1"/>
  <c r="AF11" i="4" s="1"/>
  <c r="AS20" i="1"/>
  <c r="AG11" i="4" s="1"/>
  <c r="AF22" i="1"/>
  <c r="AD21" i="1"/>
  <c r="AF21" i="1"/>
  <c r="AQ21" i="1"/>
  <c r="L12" i="4" s="1"/>
  <c r="AF12" i="4" s="1"/>
  <c r="AS21" i="1"/>
  <c r="AG12" i="4" s="1"/>
  <c r="AD22" i="1"/>
  <c r="AQ22" i="1"/>
  <c r="L13" i="4" s="1"/>
  <c r="AF13" i="4" s="1"/>
  <c r="AS22" i="1"/>
  <c r="AG13" i="4" s="1"/>
  <c r="AD23" i="1"/>
  <c r="AQ23" i="1"/>
  <c r="L14" i="4" s="1"/>
  <c r="AF14" i="4" s="1"/>
  <c r="AS23" i="1"/>
  <c r="AG14" i="4" s="1"/>
  <c r="AD24" i="1"/>
  <c r="AQ24" i="1"/>
  <c r="L15" i="4" s="1"/>
  <c r="AF15" i="4" s="1"/>
  <c r="AS24" i="1"/>
  <c r="AG15" i="4" s="1"/>
  <c r="AD25" i="1"/>
  <c r="AQ25" i="1"/>
  <c r="L16" i="4" s="1"/>
  <c r="AF16" i="4" s="1"/>
  <c r="AS25" i="1"/>
  <c r="AG16" i="4" s="1"/>
  <c r="AD26" i="1"/>
  <c r="AQ26" i="1"/>
  <c r="L17" i="4" s="1"/>
  <c r="AF17" i="4" s="1"/>
  <c r="AS26" i="1"/>
  <c r="AG17" i="4" s="1"/>
  <c r="AD27" i="1"/>
  <c r="AQ27" i="1"/>
  <c r="L18" i="4" s="1"/>
  <c r="AF18" i="4" s="1"/>
  <c r="AS27" i="1"/>
  <c r="AG18" i="4" s="1"/>
  <c r="AD28" i="1"/>
  <c r="AQ28" i="1"/>
  <c r="L19" i="4" s="1"/>
  <c r="AF19" i="4" s="1"/>
  <c r="AS28" i="1"/>
  <c r="AG19" i="4" s="1"/>
  <c r="AD29" i="1"/>
  <c r="AQ29" i="1"/>
  <c r="L20" i="4" s="1"/>
  <c r="AF20" i="4" s="1"/>
  <c r="AS29" i="1"/>
  <c r="AG20" i="4" s="1"/>
  <c r="AD30" i="1"/>
  <c r="AQ30" i="1"/>
  <c r="L21" i="4" s="1"/>
  <c r="AF21" i="4" s="1"/>
  <c r="AS30" i="1"/>
  <c r="AG21" i="4" s="1"/>
  <c r="AD31" i="1"/>
  <c r="AD32" i="1"/>
  <c r="B6" i="4" l="1"/>
  <c r="AC3" i="1"/>
  <c r="AD3" i="1"/>
  <c r="AE3" i="1"/>
  <c r="AF3" i="1"/>
  <c r="F6" i="4"/>
  <c r="F27" i="4"/>
  <c r="F5" i="4"/>
  <c r="F26" i="4"/>
  <c r="F13" i="4"/>
  <c r="AG13" i="1"/>
  <c r="B4" i="4" s="1"/>
  <c r="F11" i="4"/>
  <c r="F32" i="4"/>
  <c r="F24" i="4"/>
  <c r="F33" i="4"/>
  <c r="F10" i="4"/>
  <c r="F31" i="4"/>
  <c r="F23" i="4"/>
  <c r="F9" i="4"/>
  <c r="F30" i="4"/>
  <c r="F22" i="4"/>
  <c r="F4" i="4"/>
  <c r="F25" i="4"/>
  <c r="F12" i="4"/>
  <c r="F8" i="4"/>
  <c r="F29" i="4"/>
  <c r="F7" i="4"/>
  <c r="F28" i="4"/>
  <c r="AD2" i="1"/>
  <c r="AC2" i="1"/>
  <c r="AP17" i="1"/>
  <c r="L8" i="4"/>
  <c r="AF8" i="4" s="1"/>
  <c r="R18" i="1"/>
  <c r="C40" i="1"/>
  <c r="AQ31" i="1"/>
  <c r="AS31" i="1"/>
  <c r="AE21" i="1"/>
  <c r="AH14" i="1"/>
  <c r="C5" i="4" s="1"/>
  <c r="AE20" i="1"/>
  <c r="AG15" i="1"/>
  <c r="AI13" i="1"/>
  <c r="D4" i="4" s="1"/>
  <c r="AH13" i="1"/>
  <c r="C4" i="4" s="1"/>
  <c r="M29" i="2"/>
  <c r="M30" i="2" s="1"/>
  <c r="M31" i="2" s="1"/>
  <c r="M32" i="2" s="1"/>
  <c r="M33" i="2" s="1"/>
  <c r="AS32" i="1" l="1"/>
  <c r="AG22" i="4"/>
  <c r="E4" i="4"/>
  <c r="E6" i="4"/>
  <c r="M34" i="2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S17" i="1"/>
  <c r="R19" i="1"/>
  <c r="AQ32" i="1"/>
  <c r="AQ34" i="1" s="1"/>
  <c r="L22" i="4"/>
  <c r="AF22" i="4" s="1"/>
  <c r="C41" i="1"/>
  <c r="A32" i="1"/>
  <c r="AG14" i="1"/>
  <c r="B5" i="4" s="1"/>
  <c r="AI14" i="1"/>
  <c r="D5" i="4" s="1"/>
  <c r="AF23" i="1"/>
  <c r="AE22" i="1"/>
  <c r="AI15" i="1"/>
  <c r="D6" i="4" s="1"/>
  <c r="AH15" i="1"/>
  <c r="C6" i="4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AS34" i="1" l="1"/>
  <c r="AG23" i="4"/>
  <c r="AG35" i="4" s="1"/>
  <c r="E5" i="4"/>
  <c r="F14" i="4"/>
  <c r="S18" i="1"/>
  <c r="AP18" i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L23" i="4"/>
  <c r="AF23" i="4" s="1"/>
  <c r="AF35" i="4" s="1"/>
  <c r="R20" i="1"/>
  <c r="S19" i="1"/>
  <c r="C42" i="1"/>
  <c r="A31" i="1"/>
  <c r="AI16" i="1"/>
  <c r="D7" i="4" s="1"/>
  <c r="AH17" i="1"/>
  <c r="C8" i="4" s="1"/>
  <c r="AH16" i="1"/>
  <c r="C7" i="4" s="1"/>
  <c r="AG16" i="1"/>
  <c r="B7" i="4" s="1"/>
  <c r="AE23" i="1"/>
  <c r="AG17" i="1"/>
  <c r="AF24" i="1"/>
  <c r="AK8" i="4" l="1"/>
  <c r="AG36" i="4"/>
  <c r="AG37" i="4" s="1"/>
  <c r="AF36" i="4"/>
  <c r="AF37" i="4" s="1"/>
  <c r="E7" i="4"/>
  <c r="F15" i="4"/>
  <c r="L24" i="4"/>
  <c r="L25" i="4" s="1"/>
  <c r="L35" i="4"/>
  <c r="L36" i="4"/>
  <c r="S20" i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A30" i="1"/>
  <c r="AI17" i="1"/>
  <c r="D8" i="4" s="1"/>
  <c r="AF25" i="1"/>
  <c r="AE24" i="1"/>
  <c r="AO8" i="4" l="1"/>
  <c r="F16" i="4"/>
  <c r="T33" i="1"/>
  <c r="S33" i="1"/>
  <c r="AG33" i="1"/>
  <c r="AH33" i="1"/>
  <c r="C24" i="4" s="1"/>
  <c r="AI33" i="1"/>
  <c r="D24" i="4" s="1"/>
  <c r="R34" i="1"/>
  <c r="L37" i="4"/>
  <c r="L40" i="4" s="1"/>
  <c r="L39" i="4"/>
  <c r="A29" i="1"/>
  <c r="AF26" i="1"/>
  <c r="AG19" i="1"/>
  <c r="AI18" i="1"/>
  <c r="D9" i="4" s="1"/>
  <c r="AG18" i="1"/>
  <c r="AE25" i="1"/>
  <c r="AH18" i="1"/>
  <c r="C9" i="4" s="1"/>
  <c r="B24" i="4" l="1"/>
  <c r="AK24" i="4"/>
  <c r="E24" i="4"/>
  <c r="AK9" i="4"/>
  <c r="F17" i="4"/>
  <c r="AG34" i="1"/>
  <c r="AH34" i="1"/>
  <c r="C25" i="4" s="1"/>
  <c r="R35" i="1"/>
  <c r="S34" i="1"/>
  <c r="S3" i="1" s="1"/>
  <c r="T34" i="1"/>
  <c r="AI34" i="1"/>
  <c r="D25" i="4" s="1"/>
  <c r="A28" i="1"/>
  <c r="AG20" i="1"/>
  <c r="AI19" i="1"/>
  <c r="D10" i="4" s="1"/>
  <c r="AF27" i="1"/>
  <c r="AE26" i="1"/>
  <c r="AE27" i="1"/>
  <c r="AH19" i="1"/>
  <c r="C10" i="4" s="1"/>
  <c r="B25" i="4" l="1"/>
  <c r="AK10" i="4"/>
  <c r="AK25" i="4"/>
  <c r="AE2" i="1"/>
  <c r="AH3" i="1"/>
  <c r="AI3" i="1"/>
  <c r="E25" i="4"/>
  <c r="AG3" i="1"/>
  <c r="F18" i="4"/>
  <c r="R36" i="1"/>
  <c r="T35" i="1"/>
  <c r="S35" i="1"/>
  <c r="AH35" i="1"/>
  <c r="C26" i="4" s="1"/>
  <c r="AG35" i="1"/>
  <c r="AI35" i="1"/>
  <c r="D26" i="4" s="1"/>
  <c r="A27" i="1"/>
  <c r="AI20" i="1"/>
  <c r="D11" i="4" s="1"/>
  <c r="AH20" i="1"/>
  <c r="C11" i="4" s="1"/>
  <c r="AF28" i="1"/>
  <c r="B26" i="4" l="1"/>
  <c r="AK11" i="4"/>
  <c r="F19" i="4"/>
  <c r="E26" i="4"/>
  <c r="R37" i="1"/>
  <c r="T36" i="1"/>
  <c r="S36" i="1"/>
  <c r="AG36" i="1"/>
  <c r="B27" i="4" s="1"/>
  <c r="AH36" i="1"/>
  <c r="C27" i="4" s="1"/>
  <c r="AI36" i="1"/>
  <c r="D27" i="4" s="1"/>
  <c r="A26" i="1"/>
  <c r="S21" i="1"/>
  <c r="AI21" i="1"/>
  <c r="D12" i="4" s="1"/>
  <c r="AH21" i="1"/>
  <c r="C12" i="4" s="1"/>
  <c r="AH22" i="1"/>
  <c r="C13" i="4" s="1"/>
  <c r="AF30" i="1"/>
  <c r="AF29" i="1"/>
  <c r="AG21" i="1"/>
  <c r="AK12" i="4" l="1"/>
  <c r="AK13" i="4"/>
  <c r="E27" i="4"/>
  <c r="F20" i="4"/>
  <c r="AF2" i="1"/>
  <c r="F21" i="4"/>
  <c r="R38" i="1"/>
  <c r="T37" i="1"/>
  <c r="S37" i="1"/>
  <c r="AG37" i="1"/>
  <c r="B28" i="4" s="1"/>
  <c r="AI37" i="1"/>
  <c r="D28" i="4" s="1"/>
  <c r="AH37" i="1"/>
  <c r="C28" i="4" s="1"/>
  <c r="A25" i="1"/>
  <c r="AG23" i="1"/>
  <c r="S22" i="1"/>
  <c r="AI22" i="1"/>
  <c r="D13" i="4" s="1"/>
  <c r="AH23" i="1"/>
  <c r="C14" i="4" s="1"/>
  <c r="AG22" i="1"/>
  <c r="AK14" i="4" l="1"/>
  <c r="E28" i="4"/>
  <c r="T38" i="1"/>
  <c r="R39" i="1"/>
  <c r="S38" i="1"/>
  <c r="AG38" i="1"/>
  <c r="AI38" i="1"/>
  <c r="D29" i="4" s="1"/>
  <c r="AH38" i="1"/>
  <c r="C29" i="4" s="1"/>
  <c r="A24" i="1"/>
  <c r="S23" i="1"/>
  <c r="AG24" i="1"/>
  <c r="T23" i="1"/>
  <c r="B14" i="4" s="1"/>
  <c r="AI23" i="1"/>
  <c r="D14" i="4" s="1"/>
  <c r="B29" i="4" l="1"/>
  <c r="E14" i="4"/>
  <c r="E29" i="4"/>
  <c r="R40" i="1"/>
  <c r="S39" i="1"/>
  <c r="T39" i="1"/>
  <c r="AH39" i="1"/>
  <c r="C30" i="4" s="1"/>
  <c r="AI39" i="1"/>
  <c r="D30" i="4" s="1"/>
  <c r="AG39" i="1"/>
  <c r="A23" i="1"/>
  <c r="D21" i="1" s="1"/>
  <c r="T22" i="1"/>
  <c r="B13" i="4" s="1"/>
  <c r="T24" i="1"/>
  <c r="B15" i="4" s="1"/>
  <c r="S24" i="1"/>
  <c r="AI24" i="1"/>
  <c r="D15" i="4" s="1"/>
  <c r="AH24" i="1"/>
  <c r="C15" i="4" s="1"/>
  <c r="B30" i="4" l="1"/>
  <c r="AK15" i="4"/>
  <c r="E13" i="4"/>
  <c r="E30" i="4"/>
  <c r="E15" i="4"/>
  <c r="T40" i="1"/>
  <c r="AG40" i="1"/>
  <c r="S40" i="1"/>
  <c r="AI40" i="1"/>
  <c r="D31" i="4" s="1"/>
  <c r="AH40" i="1"/>
  <c r="C31" i="4" s="1"/>
  <c r="R41" i="1"/>
  <c r="A22" i="1"/>
  <c r="D20" i="1" s="1"/>
  <c r="T21" i="1"/>
  <c r="B12" i="4" s="1"/>
  <c r="S25" i="1"/>
  <c r="T25" i="1"/>
  <c r="AI25" i="1"/>
  <c r="D16" i="4" s="1"/>
  <c r="AG25" i="1"/>
  <c r="B16" i="4" s="1"/>
  <c r="AH25" i="1"/>
  <c r="C16" i="4" s="1"/>
  <c r="B31" i="4" l="1"/>
  <c r="AK16" i="4"/>
  <c r="E16" i="4"/>
  <c r="E31" i="4"/>
  <c r="E12" i="4"/>
  <c r="S41" i="1"/>
  <c r="R42" i="1"/>
  <c r="T41" i="1"/>
  <c r="AI41" i="1"/>
  <c r="D32" i="4" s="1"/>
  <c r="AG41" i="1"/>
  <c r="AH41" i="1"/>
  <c r="C32" i="4" s="1"/>
  <c r="A21" i="1"/>
  <c r="D19" i="1" s="1"/>
  <c r="T20" i="1"/>
  <c r="B11" i="4" s="1"/>
  <c r="S26" i="1"/>
  <c r="T26" i="1"/>
  <c r="AH27" i="1"/>
  <c r="C18" i="4" s="1"/>
  <c r="AI26" i="1"/>
  <c r="D17" i="4" s="1"/>
  <c r="AG26" i="1"/>
  <c r="AH26" i="1"/>
  <c r="C17" i="4" s="1"/>
  <c r="B17" i="4" l="1"/>
  <c r="B32" i="4"/>
  <c r="AK17" i="4"/>
  <c r="AK18" i="4"/>
  <c r="E11" i="4"/>
  <c r="E17" i="4"/>
  <c r="E32" i="4"/>
  <c r="AI42" i="1"/>
  <c r="D33" i="4" s="1"/>
  <c r="AH42" i="1"/>
  <c r="C33" i="4" s="1"/>
  <c r="T42" i="1"/>
  <c r="AG42" i="1"/>
  <c r="B33" i="4" s="1"/>
  <c r="S42" i="1"/>
  <c r="T19" i="1"/>
  <c r="B10" i="4" s="1"/>
  <c r="A20" i="1"/>
  <c r="D18" i="1" s="1"/>
  <c r="S27" i="1"/>
  <c r="T27" i="1"/>
  <c r="AI27" i="1"/>
  <c r="D18" i="4" s="1"/>
  <c r="AG27" i="1"/>
  <c r="B18" i="4" l="1"/>
  <c r="E33" i="4"/>
  <c r="K10" i="4"/>
  <c r="M10" i="4" s="1"/>
  <c r="AJ10" i="4" s="1"/>
  <c r="E10" i="4"/>
  <c r="E18" i="4"/>
  <c r="T18" i="1"/>
  <c r="B9" i="4" s="1"/>
  <c r="A19" i="1"/>
  <c r="D17" i="1" s="1"/>
  <c r="S28" i="1"/>
  <c r="T28" i="1"/>
  <c r="AI28" i="1"/>
  <c r="D19" i="4" s="1"/>
  <c r="AH28" i="1"/>
  <c r="C19" i="4" s="1"/>
  <c r="AG28" i="1"/>
  <c r="AH29" i="1"/>
  <c r="C20" i="4" s="1"/>
  <c r="B19" i="4" l="1"/>
  <c r="AK20" i="4"/>
  <c r="AK19" i="4"/>
  <c r="K9" i="4"/>
  <c r="M9" i="4" s="1"/>
  <c r="AJ9" i="4" s="1"/>
  <c r="E9" i="4"/>
  <c r="E19" i="4"/>
  <c r="T17" i="1"/>
  <c r="B8" i="4" s="1"/>
  <c r="A17" i="1"/>
  <c r="A18" i="1"/>
  <c r="T29" i="1"/>
  <c r="S29" i="1"/>
  <c r="AH30" i="1"/>
  <c r="C21" i="4" s="1"/>
  <c r="AI29" i="1"/>
  <c r="D20" i="4" s="1"/>
  <c r="AG29" i="1"/>
  <c r="B20" i="4" s="1"/>
  <c r="AK21" i="4" l="1"/>
  <c r="T3" i="1"/>
  <c r="E8" i="4"/>
  <c r="E20" i="4"/>
  <c r="K8" i="4"/>
  <c r="M8" i="4" s="1"/>
  <c r="AJ8" i="4" s="1"/>
  <c r="AN8" i="4" s="1"/>
  <c r="T30" i="1"/>
  <c r="AH31" i="1"/>
  <c r="C22" i="4" s="1"/>
  <c r="S30" i="1"/>
  <c r="AI30" i="1"/>
  <c r="D21" i="4" s="1"/>
  <c r="AG30" i="1"/>
  <c r="B21" i="4" l="1"/>
  <c r="AK22" i="4"/>
  <c r="E21" i="4"/>
  <c r="O8" i="4"/>
  <c r="P8" i="4" s="1"/>
  <c r="S31" i="1"/>
  <c r="AH32" i="1"/>
  <c r="C23" i="4" s="1"/>
  <c r="T31" i="1"/>
  <c r="AI31" i="1"/>
  <c r="D22" i="4" s="1"/>
  <c r="AG31" i="1"/>
  <c r="B22" i="4" l="1"/>
  <c r="AH2" i="1"/>
  <c r="AK23" i="4"/>
  <c r="AK36" i="4" s="1"/>
  <c r="E22" i="4"/>
  <c r="S32" i="1"/>
  <c r="S2" i="1" s="1"/>
  <c r="T32" i="1"/>
  <c r="AI32" i="1"/>
  <c r="AG32" i="1"/>
  <c r="B23" i="4" l="1"/>
  <c r="AK37" i="4"/>
  <c r="AK40" i="4" s="1"/>
  <c r="AK39" i="4"/>
  <c r="AI2" i="1"/>
  <c r="D23" i="4"/>
  <c r="AK35" i="4"/>
  <c r="AO35" i="4" s="1"/>
  <c r="AG2" i="1"/>
  <c r="E23" i="4"/>
  <c r="T2" i="1"/>
  <c r="AH4" i="1" l="1"/>
  <c r="AB4" i="1"/>
  <c r="AE4" i="1"/>
  <c r="T4" i="1"/>
  <c r="AA4" i="1"/>
  <c r="AD4" i="1"/>
  <c r="AC4" i="1"/>
  <c r="Y4" i="1"/>
  <c r="Z4" i="1"/>
  <c r="S4" i="1"/>
  <c r="AI4" i="1"/>
  <c r="X4" i="1"/>
  <c r="AF4" i="1"/>
  <c r="AG4" i="1"/>
  <c r="K11" i="4" l="1"/>
  <c r="M11" i="4" l="1"/>
  <c r="K12" i="4"/>
  <c r="M12" i="4" s="1"/>
  <c r="AJ12" i="4" s="1"/>
  <c r="K13" i="4" l="1"/>
  <c r="M13" i="4" s="1"/>
  <c r="AJ13" i="4" s="1"/>
  <c r="AJ11" i="4"/>
  <c r="K14" i="4" l="1"/>
  <c r="K15" i="4" l="1"/>
  <c r="K16" i="4" l="1"/>
  <c r="K17" i="4" l="1"/>
  <c r="K18" i="4" l="1"/>
  <c r="K19" i="4" l="1"/>
  <c r="K20" i="4" l="1"/>
  <c r="K21" i="4" l="1"/>
  <c r="K22" i="4" l="1"/>
  <c r="K23" i="4" l="1"/>
  <c r="K35" i="4" l="1"/>
  <c r="K36" i="4"/>
  <c r="K24" i="4"/>
  <c r="K25" i="4" l="1"/>
  <c r="K37" i="4"/>
  <c r="K40" i="4" s="1"/>
  <c r="K39" i="4"/>
  <c r="M35" i="4"/>
  <c r="M14" i="4" s="1"/>
  <c r="O35" i="4"/>
  <c r="AJ14" i="4" l="1"/>
  <c r="M15" i="4"/>
  <c r="M16" i="4" l="1"/>
  <c r="AJ15" i="4"/>
  <c r="M17" i="4" l="1"/>
  <c r="AJ16" i="4"/>
  <c r="M18" i="4" l="1"/>
  <c r="AJ17" i="4"/>
  <c r="M19" i="4" l="1"/>
  <c r="AJ18" i="4"/>
  <c r="M20" i="4" l="1"/>
  <c r="AJ19" i="4"/>
  <c r="M21" i="4" l="1"/>
  <c r="AJ20" i="4"/>
  <c r="U47" i="1"/>
  <c r="M22" i="4" l="1"/>
  <c r="AJ21" i="4"/>
  <c r="AJ22" i="4" l="1"/>
  <c r="M23" i="4"/>
  <c r="AJ23" i="4" l="1"/>
  <c r="M24" i="4"/>
  <c r="M36" i="4"/>
  <c r="AJ35" i="4" l="1"/>
  <c r="AJ36" i="4"/>
  <c r="M25" i="4"/>
  <c r="AJ24" i="4"/>
  <c r="M37" i="4"/>
  <c r="M40" i="4" s="1"/>
  <c r="M39" i="4"/>
  <c r="AJ25" i="4" l="1"/>
  <c r="O25" i="4"/>
  <c r="AJ37" i="4"/>
  <c r="AJ40" i="4" s="1"/>
  <c r="AJ39" i="4"/>
  <c r="AL4" i="4"/>
  <c r="AL6" i="4" l="1"/>
  <c r="AL5" i="4" l="1"/>
  <c r="AL8" i="4"/>
  <c r="AL21" i="4"/>
  <c r="AL13" i="4"/>
  <c r="AL15" i="4"/>
  <c r="AL23" i="4"/>
  <c r="AL7" i="4"/>
  <c r="AL10" i="4"/>
  <c r="AL19" i="4"/>
  <c r="AL25" i="4"/>
  <c r="AL35" i="4" s="1"/>
  <c r="AL17" i="4"/>
  <c r="AL20" i="4"/>
  <c r="AL9" i="4"/>
  <c r="AL22" i="4"/>
  <c r="AL11" i="4"/>
  <c r="AL16" i="4"/>
  <c r="AL18" i="4"/>
  <c r="AL14" i="4"/>
  <c r="AL12" i="4"/>
  <c r="AL24" i="4"/>
  <c r="AL36" i="4" l="1"/>
  <c r="AL3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Link, Rick</author>
    <author>tc={D920BC2A-B831-4B04-96B5-E406E45FB8C7}</author>
  </authors>
  <commentList>
    <comment ref="L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Link, Rick:</t>
        </r>
        <r>
          <rPr>
            <sz val="9"/>
            <color indexed="81"/>
            <rFont val="Tahoma"/>
            <family val="2"/>
          </rPr>
          <t xml:space="preserve">
Figure 7-2, $20 growing at inflation, which APS assumes is 2.5% per year.</t>
        </r>
      </text>
    </comment>
    <comment ref="M10" authorId="0" shapeId="0" xr:uid="{9C7341C6-B18D-4569-96F8-E5970D4D5224}">
      <text>
        <r>
          <rPr>
            <b/>
            <sz val="9"/>
            <color indexed="81"/>
            <rFont val="Tahoma"/>
            <family val="2"/>
          </rPr>
          <t>Link, Rick:</t>
        </r>
        <r>
          <rPr>
            <sz val="9"/>
            <color indexed="81"/>
            <rFont val="Tahoma"/>
            <family val="2"/>
          </rPr>
          <t xml:space="preserve">
Figure 7-2, $20 growing at inflation, which APS assumes is 2.5% per year.</t>
        </r>
      </text>
    </comment>
    <comment ref="AC10" authorId="1" shapeId="0" xr:uid="{D920BC2A-B831-4B04-96B5-E406E45FB8C7}">
      <text>
        <t>[Threaded comment]
Your version of Excel allows you to read this threaded comment; however, any edits to it will get removed if the file is opened in a newer version of Excel. Learn more: https://go.microsoft.com/fwlink/?linkid=870924
Comment:
    Same as column V</t>
      </text>
    </comment>
    <comment ref="AE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Link, Rick:</t>
        </r>
        <r>
          <rPr>
            <sz val="9"/>
            <color indexed="81"/>
            <rFont val="Tahoma"/>
            <family val="2"/>
          </rPr>
          <t xml:space="preserve">
Figure 7-2, $20 growing at inflation, which APS assumes is 2.5% per year.</t>
        </r>
      </text>
    </comment>
  </commentList>
</comments>
</file>

<file path=xl/sharedStrings.xml><?xml version="1.0" encoding="utf-8"?>
<sst xmlns="http://schemas.openxmlformats.org/spreadsheetml/2006/main" count="398" uniqueCount="113">
  <si>
    <t>Wood Mackenzie</t>
  </si>
  <si>
    <t>HH 2020$</t>
  </si>
  <si>
    <t>IHS CERA</t>
  </si>
  <si>
    <t>EIA AEO 2020</t>
  </si>
  <si>
    <t>Inflation Forecast</t>
  </si>
  <si>
    <t>GDP-CPI</t>
  </si>
  <si>
    <t>Annual</t>
  </si>
  <si>
    <t>GDP Deflator</t>
  </si>
  <si>
    <t>CPI</t>
  </si>
  <si>
    <t>Average</t>
  </si>
  <si>
    <t>Calendar Year</t>
  </si>
  <si>
    <t>2001</t>
  </si>
  <si>
    <t>2002</t>
  </si>
  <si>
    <t>2003</t>
  </si>
  <si>
    <t>2004</t>
  </si>
  <si>
    <t>2005</t>
  </si>
  <si>
    <t xml:space="preserve">The GDP Deflator and the Consumer Price Index history and forecast are proprietary to IHS Global Insight.  </t>
  </si>
  <si>
    <t>Do not distribute outside of the Company prior to receiving permission to release from IHS Global Insight.</t>
  </si>
  <si>
    <t>REAL</t>
  </si>
  <si>
    <t>NOMINAL</t>
  </si>
  <si>
    <t>WM Fed CO2</t>
  </si>
  <si>
    <t>CERA CO2</t>
  </si>
  <si>
    <t>EIA $15 CO2</t>
  </si>
  <si>
    <t>Nominal</t>
  </si>
  <si>
    <t>2021 IRP (M)</t>
  </si>
  <si>
    <t>2021 IRP (H)</t>
  </si>
  <si>
    <t>2019 IRP (M)</t>
  </si>
  <si>
    <t>2019 IRP (H)</t>
  </si>
  <si>
    <t>CA IEPR January 2020</t>
  </si>
  <si>
    <t>Nom. Metric</t>
  </si>
  <si>
    <t>IEPR Base</t>
  </si>
  <si>
    <t>IEPR Low</t>
  </si>
  <si>
    <t>IEPR High</t>
  </si>
  <si>
    <t>Other</t>
  </si>
  <si>
    <t>2021 IRP (SC-GHG)</t>
  </si>
  <si>
    <t>2019 IRP (SCC)</t>
  </si>
  <si>
    <t>USA CO2  Price</t>
  </si>
  <si>
    <t>CA CO2 Price</t>
  </si>
  <si>
    <t>Siemens</t>
  </si>
  <si>
    <t>Real</t>
  </si>
  <si>
    <t>High</t>
  </si>
  <si>
    <t>Plan</t>
  </si>
  <si>
    <t>Domionion 2021 IRP</t>
  </si>
  <si>
    <t>IPC 2021 IRP (Planning-IEPR Low)</t>
  </si>
  <si>
    <t>EIA AEO 2021</t>
  </si>
  <si>
    <t>EIA $50 CO2</t>
  </si>
  <si>
    <t>EIA $75 CO2</t>
  </si>
  <si>
    <t>IPC 2021 IRP (High-EIA 50)</t>
  </si>
  <si>
    <t>Medium</t>
  </si>
  <si>
    <t>SCG</t>
  </si>
  <si>
    <t>CAGR</t>
  </si>
  <si>
    <t>check</t>
  </si>
  <si>
    <t>2021 IRP</t>
  </si>
  <si>
    <t>Update Recommended</t>
  </si>
  <si>
    <t>escalate at average 21 IRP and Update inflation</t>
  </si>
  <si>
    <t>PMT</t>
  </si>
  <si>
    <t>NPV</t>
  </si>
  <si>
    <t>Update Avg 6 Forecasts</t>
  </si>
  <si>
    <t>Percent from 2021 IRP</t>
  </si>
  <si>
    <t>M</t>
  </si>
  <si>
    <t>H</t>
  </si>
  <si>
    <t>SC</t>
  </si>
  <si>
    <t>Avg</t>
  </si>
  <si>
    <t>Rank</t>
  </si>
  <si>
    <t>Median</t>
  </si>
  <si>
    <t>Medium Curves</t>
  </si>
  <si>
    <t>Mean no hi/lo</t>
  </si>
  <si>
    <t>Curve</t>
  </si>
  <si>
    <t>Weight</t>
  </si>
  <si>
    <t>Older vintage</t>
  </si>
  <si>
    <t>Chart to 2042</t>
  </si>
  <si>
    <t>CO2 price</t>
  </si>
  <si>
    <t>21 IRP Low</t>
  </si>
  <si>
    <t>23 IRP Low</t>
  </si>
  <si>
    <t>23 IRP High</t>
  </si>
  <si>
    <t>21 IRP Med</t>
  </si>
  <si>
    <t>21 IRP High</t>
  </si>
  <si>
    <t>23 IRP Med</t>
  </si>
  <si>
    <t>21 IRP SC-GHG</t>
  </si>
  <si>
    <t>Nevada Power</t>
  </si>
  <si>
    <t>NV Low</t>
  </si>
  <si>
    <t>NV Med</t>
  </si>
  <si>
    <t>NV High</t>
  </si>
  <si>
    <t>2022 2nd Quarter</t>
  </si>
  <si>
    <t>2042 to 2051</t>
  </si>
  <si>
    <t>2027 to 2051</t>
  </si>
  <si>
    <t>23 IRP SC-GHG</t>
  </si>
  <si>
    <t>Emissions</t>
  </si>
  <si>
    <t>System</t>
  </si>
  <si>
    <t>CO2 WA Emission Market</t>
  </si>
  <si>
    <t>Shadow Price</t>
  </si>
  <si>
    <t>$/lb</t>
  </si>
  <si>
    <t>=</t>
  </si>
  <si>
    <t>Co2</t>
  </si>
  <si>
    <t>Collection</t>
  </si>
  <si>
    <t>Parent Object</t>
  </si>
  <si>
    <t>Child Object</t>
  </si>
  <si>
    <t>Property</t>
  </si>
  <si>
    <t>Value</t>
  </si>
  <si>
    <t>Data File</t>
  </si>
  <si>
    <t>Units</t>
  </si>
  <si>
    <t>Band</t>
  </si>
  <si>
    <t>Date From</t>
  </si>
  <si>
    <t>Date To</t>
  </si>
  <si>
    <t>Timeslice</t>
  </si>
  <si>
    <t>Action</t>
  </si>
  <si>
    <t>Expression</t>
  </si>
  <si>
    <t>Scenario</t>
  </si>
  <si>
    <t>Memo</t>
  </si>
  <si>
    <t>Category</t>
  </si>
  <si>
    <t>H:\2023 IRP\3 - Assumptions\9 - Prices\CO2 Source Data\CO2 Sensitivity Projections-6-24-2022 DS.xlsx</t>
  </si>
  <si>
    <t>$/ton</t>
  </si>
  <si>
    <r>
      <t>Figure 8.4 – CO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Prices Modeled by Price-Policy Scenario, 2021 and 2023 IRP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</si>
</sst>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[$-409]mmmm\-yy;@"/>
    <numFmt numFmtId="167" formatCode="0.0%"/>
    <numFmt numFmtId="168" formatCode="0_);[Red]\(0\)"/>
    <numFmt numFmtId="169" formatCode="m/d/yyyy\ h:mm:ss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  <charset val="238"/>
    </font>
    <font>
      <b/>
      <sz val="14"/>
      <name val="Geneva"/>
      <family val="2"/>
    </font>
    <font>
      <b/>
      <sz val="10"/>
      <name val="Geneva"/>
      <family val="2"/>
    </font>
    <font>
      <b/>
      <u/>
      <sz val="10"/>
      <name val="Geneva"/>
      <family val="2"/>
    </font>
    <font>
      <sz val="10"/>
      <name val="Geneva"/>
      <family val="2"/>
    </font>
    <font>
      <sz val="10"/>
      <color indexed="12"/>
      <name val="Geneva"/>
      <family val="2"/>
    </font>
    <font>
      <sz val="10"/>
      <name val="Arial"/>
      <family val="2"/>
    </font>
    <font>
      <sz val="10"/>
      <name val="Geneva"/>
    </font>
    <font>
      <sz val="11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0" tint="-0.34998626667073579"/>
      <name val="Calibri"/>
      <family val="2"/>
      <scheme val="minor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>
      <alignment horizontal="left" vertical="top" wrapText="1" indent="1"/>
    </xf>
    <xf numFmtId="0" fontId="25" fillId="0" borderId="0"/>
  </cellStyleXfs>
  <cellXfs count="120">
    <xf numFmtId="0" fontId="0" fillId="0" borderId="0" xfId="0"/>
    <xf numFmtId="165" fontId="0" fillId="0" borderId="0" xfId="0" applyNumberFormat="1"/>
    <xf numFmtId="0" fontId="0" fillId="33" borderId="0" xfId="0" applyFill="1" applyAlignment="1">
      <alignment horizontal="centerContinuous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36" borderId="12" xfId="0" applyFont="1" applyFill="1" applyBorder="1" applyAlignment="1"/>
    <xf numFmtId="0" fontId="0" fillId="34" borderId="0" xfId="0" applyFill="1" applyAlignment="1">
      <alignment horizontal="centerContinuous"/>
    </xf>
    <xf numFmtId="0" fontId="19" fillId="36" borderId="11" xfId="0" applyFont="1" applyFill="1" applyBorder="1" applyAlignment="1">
      <alignment horizontal="center"/>
    </xf>
    <xf numFmtId="0" fontId="19" fillId="36" borderId="11" xfId="0" applyFont="1" applyFill="1" applyBorder="1" applyAlignment="1"/>
    <xf numFmtId="0" fontId="19" fillId="36" borderId="10" xfId="0" applyFont="1" applyFill="1" applyBorder="1" applyAlignment="1"/>
    <xf numFmtId="0" fontId="0" fillId="35" borderId="0" xfId="0" applyFill="1" applyAlignment="1">
      <alignment horizontal="centerContinuous"/>
    </xf>
    <xf numFmtId="0" fontId="0" fillId="0" borderId="0" xfId="0"/>
    <xf numFmtId="2" fontId="0" fillId="0" borderId="0" xfId="0" applyNumberFormat="1"/>
    <xf numFmtId="166" fontId="19" fillId="36" borderId="13" xfId="0" applyNumberFormat="1" applyFont="1" applyFill="1" applyBorder="1" applyAlignment="1"/>
    <xf numFmtId="166" fontId="19" fillId="36" borderId="14" xfId="0" applyNumberFormat="1" applyFont="1" applyFill="1" applyBorder="1" applyAlignment="1"/>
    <xf numFmtId="166" fontId="19" fillId="36" borderId="14" xfId="0" applyNumberFormat="1" applyFont="1" applyFill="1" applyBorder="1" applyAlignment="1">
      <alignment horizontal="center"/>
    </xf>
    <xf numFmtId="166" fontId="19" fillId="36" borderId="15" xfId="0" applyNumberFormat="1" applyFont="1" applyFill="1" applyBorder="1" applyAlignment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20" fillId="0" borderId="0" xfId="0" applyFont="1" applyBorder="1" applyAlignment="1">
      <alignment horizontal="centerContinuous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43" fontId="23" fillId="0" borderId="0" xfId="1" applyFont="1" applyBorder="1"/>
    <xf numFmtId="167" fontId="1" fillId="0" borderId="0" xfId="2" applyNumberFormat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64" fontId="0" fillId="0" borderId="0" xfId="0" applyNumberFormat="1" applyBorder="1"/>
    <xf numFmtId="167" fontId="1" fillId="0" borderId="0" xfId="2" applyNumberFormat="1" applyFill="1" applyBorder="1"/>
    <xf numFmtId="167" fontId="22" fillId="0" borderId="0" xfId="2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/>
    <xf numFmtId="43" fontId="1" fillId="0" borderId="0" xfId="1" applyFill="1" applyBorder="1"/>
    <xf numFmtId="0" fontId="0" fillId="0" borderId="0" xfId="0" applyFill="1" applyBorder="1"/>
    <xf numFmtId="167" fontId="0" fillId="0" borderId="0" xfId="0" applyNumberFormat="1" applyFill="1" applyBorder="1"/>
    <xf numFmtId="164" fontId="25" fillId="0" borderId="0" xfId="45" applyNumberFormat="1" applyFill="1" applyBorder="1"/>
    <xf numFmtId="164" fontId="0" fillId="0" borderId="0" xfId="0" applyNumberFormat="1" applyFill="1" applyBorder="1"/>
    <xf numFmtId="43" fontId="1" fillId="0" borderId="17" xfId="1" applyFill="1" applyBorder="1"/>
    <xf numFmtId="43" fontId="1" fillId="37" borderId="17" xfId="1" applyFill="1" applyBorder="1"/>
    <xf numFmtId="164" fontId="0" fillId="38" borderId="0" xfId="0" applyNumberFormat="1" applyFill="1" applyBorder="1"/>
    <xf numFmtId="164" fontId="0" fillId="39" borderId="0" xfId="0" applyNumberFormat="1" applyFill="1" applyBorder="1"/>
    <xf numFmtId="164" fontId="0" fillId="40" borderId="0" xfId="0" applyNumberFormat="1" applyFill="1" applyBorder="1"/>
    <xf numFmtId="0" fontId="0" fillId="0" borderId="13" xfId="0" applyBorder="1"/>
    <xf numFmtId="0" fontId="22" fillId="0" borderId="14" xfId="0" applyFont="1" applyFill="1" applyBorder="1" applyAlignment="1">
      <alignment horizontal="left"/>
    </xf>
    <xf numFmtId="164" fontId="0" fillId="0" borderId="14" xfId="0" applyNumberFormat="1" applyFill="1" applyBorder="1"/>
    <xf numFmtId="167" fontId="1" fillId="0" borderId="14" xfId="2" applyNumberFormat="1" applyFill="1" applyBorder="1"/>
    <xf numFmtId="43" fontId="1" fillId="0" borderId="14" xfId="1" applyFill="1" applyBorder="1"/>
    <xf numFmtId="167" fontId="22" fillId="0" borderId="14" xfId="2" applyNumberFormat="1" applyFont="1" applyFill="1" applyBorder="1" applyAlignment="1">
      <alignment horizontal="center"/>
    </xf>
    <xf numFmtId="43" fontId="1" fillId="37" borderId="15" xfId="1" applyFill="1" applyBorder="1"/>
    <xf numFmtId="0" fontId="22" fillId="0" borderId="0" xfId="0" applyFont="1" applyAlignment="1">
      <alignment horizontal="left"/>
    </xf>
    <xf numFmtId="167" fontId="1" fillId="0" borderId="0" xfId="2" applyNumberFormat="1"/>
    <xf numFmtId="43" fontId="1" fillId="0" borderId="0" xfId="1"/>
    <xf numFmtId="167" fontId="22" fillId="0" borderId="0" xfId="2" applyNumberFormat="1" applyFont="1" applyFill="1" applyAlignment="1">
      <alignment horizontal="center"/>
    </xf>
    <xf numFmtId="0" fontId="26" fillId="0" borderId="0" xfId="0" applyFont="1"/>
    <xf numFmtId="0" fontId="27" fillId="0" borderId="0" xfId="0" applyFont="1"/>
    <xf numFmtId="44" fontId="0" fillId="0" borderId="0" xfId="0" applyNumberFormat="1"/>
    <xf numFmtId="0" fontId="0" fillId="41" borderId="0" xfId="0" applyFill="1" applyAlignment="1">
      <alignment horizontal="centerContinuous"/>
    </xf>
    <xf numFmtId="0" fontId="0" fillId="42" borderId="0" xfId="0" applyFill="1" applyAlignment="1"/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0" fillId="44" borderId="0" xfId="0" applyFill="1" applyAlignment="1">
      <alignment horizontal="center" wrapText="1"/>
    </xf>
    <xf numFmtId="8" fontId="0" fillId="44" borderId="0" xfId="0" applyNumberFormat="1" applyFill="1"/>
    <xf numFmtId="0" fontId="15" fillId="0" borderId="0" xfId="0" applyFont="1"/>
    <xf numFmtId="38" fontId="0" fillId="0" borderId="0" xfId="0" applyNumberFormat="1"/>
    <xf numFmtId="168" fontId="0" fillId="0" borderId="0" xfId="0" applyNumberFormat="1"/>
    <xf numFmtId="8" fontId="0" fillId="45" borderId="0" xfId="0" applyNumberFormat="1" applyFill="1"/>
    <xf numFmtId="168" fontId="0" fillId="46" borderId="0" xfId="0" applyNumberFormat="1" applyFill="1"/>
    <xf numFmtId="8" fontId="0" fillId="46" borderId="0" xfId="0" applyNumberFormat="1" applyFill="1"/>
    <xf numFmtId="165" fontId="0" fillId="46" borderId="0" xfId="0" applyNumberFormat="1" applyFill="1"/>
    <xf numFmtId="167" fontId="0" fillId="0" borderId="0" xfId="0" applyNumberFormat="1"/>
    <xf numFmtId="0" fontId="0" fillId="0" borderId="0" xfId="0" applyAlignment="1">
      <alignment horizontal="center"/>
    </xf>
    <xf numFmtId="8" fontId="0" fillId="0" borderId="19" xfId="0" applyNumberFormat="1" applyBorder="1"/>
    <xf numFmtId="8" fontId="0" fillId="0" borderId="16" xfId="0" applyNumberFormat="1" applyBorder="1"/>
    <xf numFmtId="8" fontId="0" fillId="0" borderId="17" xfId="0" applyNumberFormat="1" applyBorder="1"/>
    <xf numFmtId="8" fontId="0" fillId="0" borderId="13" xfId="0" applyNumberFormat="1" applyBorder="1"/>
    <xf numFmtId="8" fontId="0" fillId="0" borderId="15" xfId="0" applyNumberFormat="1" applyBorder="1"/>
    <xf numFmtId="8" fontId="0" fillId="0" borderId="10" xfId="0" applyNumberFormat="1" applyBorder="1"/>
    <xf numFmtId="8" fontId="0" fillId="0" borderId="12" xfId="0" applyNumberFormat="1" applyBorder="1"/>
    <xf numFmtId="0" fontId="0" fillId="0" borderId="0" xfId="0" applyAlignment="1">
      <alignment horizontal="center"/>
    </xf>
    <xf numFmtId="0" fontId="0" fillId="44" borderId="0" xfId="0" applyFill="1" applyAlignment="1">
      <alignment horizontal="center"/>
    </xf>
    <xf numFmtId="0" fontId="0" fillId="38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167" fontId="0" fillId="0" borderId="0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47" borderId="0" xfId="0" applyFill="1" applyAlignment="1">
      <alignment horizontal="center" wrapText="1"/>
    </xf>
    <xf numFmtId="17" fontId="0" fillId="0" borderId="0" xfId="0" applyNumberFormat="1" applyBorder="1"/>
    <xf numFmtId="0" fontId="0" fillId="0" borderId="0" xfId="0" applyFill="1" applyAlignment="1">
      <alignment horizontal="center" wrapText="1"/>
    </xf>
    <xf numFmtId="0" fontId="0" fillId="34" borderId="0" xfId="0" applyFill="1" applyAlignment="1">
      <alignment horizontal="left"/>
    </xf>
    <xf numFmtId="0" fontId="0" fillId="48" borderId="0" xfId="0" applyFill="1" applyAlignment="1">
      <alignment horizontal="centerContinuous"/>
    </xf>
    <xf numFmtId="8" fontId="0" fillId="49" borderId="0" xfId="0" applyNumberFormat="1" applyFill="1" applyAlignment="1">
      <alignment horizontal="center"/>
    </xf>
    <xf numFmtId="0" fontId="0" fillId="48" borderId="0" xfId="0" applyFill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left" wrapText="1"/>
    </xf>
    <xf numFmtId="0" fontId="31" fillId="50" borderId="0" xfId="0" applyFont="1" applyFill="1" applyAlignment="1">
      <alignment vertical="center"/>
    </xf>
    <xf numFmtId="0" fontId="31" fillId="0" borderId="0" xfId="0" applyFont="1" applyAlignment="1">
      <alignment horizontal="right" vertical="center"/>
    </xf>
    <xf numFmtId="8" fontId="31" fillId="0" borderId="0" xfId="0" applyNumberFormat="1" applyFont="1" applyAlignment="1">
      <alignment horizontal="right" vertical="center"/>
    </xf>
    <xf numFmtId="8" fontId="0" fillId="44" borderId="0" xfId="0" applyNumberFormat="1" applyFill="1" applyAlignment="1">
      <alignment horizontal="center"/>
    </xf>
    <xf numFmtId="0" fontId="32" fillId="0" borderId="0" xfId="0" applyFont="1"/>
    <xf numFmtId="10" fontId="32" fillId="0" borderId="0" xfId="0" applyNumberFormat="1" applyFont="1"/>
    <xf numFmtId="9" fontId="0" fillId="0" borderId="0" xfId="2" applyFont="1"/>
    <xf numFmtId="169" fontId="0" fillId="0" borderId="0" xfId="0" applyNumberFormat="1"/>
    <xf numFmtId="0" fontId="33" fillId="0" borderId="0" xfId="0" applyFont="1"/>
    <xf numFmtId="0" fontId="0" fillId="0" borderId="0" xfId="0" applyAlignment="1">
      <alignment horizontal="center"/>
    </xf>
    <xf numFmtId="0" fontId="0" fillId="41" borderId="0" xfId="0" applyFill="1" applyAlignment="1">
      <alignment horizontal="center"/>
    </xf>
    <xf numFmtId="0" fontId="0" fillId="43" borderId="18" xfId="0" applyFill="1" applyBorder="1" applyAlignment="1">
      <alignment horizontal="center"/>
    </xf>
  </cellXfs>
  <cellStyles count="46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 2" xfId="37" xr:uid="{00000000-0005-0000-0000-000025000000}"/>
    <cellStyle name="Normal" xfId="0" builtinId="0"/>
    <cellStyle name="Normal 4" xfId="45" xr:uid="{00000000-0005-0000-0000-000027000000}"/>
    <cellStyle name="Note" xfId="16" builtinId="10" customBuiltin="1"/>
    <cellStyle name="Output" xfId="11" builtinId="21" customBuiltin="1"/>
    <cellStyle name="Percent" xfId="2" builtinId="5"/>
    <cellStyle name="phx-level1" xfId="44" xr:uid="{00000000-0005-0000-0000-00002B000000}"/>
    <cellStyle name="Title" xfId="3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99FF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</a:t>
            </a:r>
            <a:r>
              <a:rPr lang="en-US" b="1" baseline="-25000"/>
              <a:t>2</a:t>
            </a:r>
            <a:r>
              <a:rPr lang="en-US" b="1"/>
              <a:t> Price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8.4 Average CO2 Price'!$K$3</c:f>
              <c:strCache>
                <c:ptCount val="1"/>
                <c:pt idx="0">
                  <c:v>Update Avg 6 Forecasts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8.4 Average CO2 Price'!$J$4:$J$25</c15:sqref>
                  </c15:fullRef>
                </c:ext>
              </c:extLst>
              <c:f>'Fig 8.4 Average CO2 Price'!$J$4:$J$23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8.4 Average CO2 Price'!$K$4:$K$25</c15:sqref>
                  </c15:fullRef>
                </c:ext>
              </c:extLst>
              <c:f>'Fig 8.4 Average CO2 Price'!$K$4:$K$23</c:f>
              <c:numCache>
                <c:formatCode>General</c:formatCode>
                <c:ptCount val="20"/>
                <c:pt idx="4" formatCode="&quot;$&quot;#,##0.00_);[Red]\(&quot;$&quot;#,##0.00\)">
                  <c:v>12.10257387377286</c:v>
                </c:pt>
                <c:pt idx="5" formatCode="&quot;$&quot;#,##0.00_);[Red]\(&quot;$&quot;#,##0.00\)">
                  <c:v>13.060994243066467</c:v>
                </c:pt>
                <c:pt idx="6" formatCode="&quot;$&quot;#,##0.00_);[Red]\(&quot;$&quot;#,##0.00\)">
                  <c:v>14.134783365263745</c:v>
                </c:pt>
                <c:pt idx="7" formatCode="&quot;$&quot;#,##0.00_);[Red]\(&quot;$&quot;#,##0.00\)">
                  <c:v>15.359314123755444</c:v>
                </c:pt>
                <c:pt idx="8" formatCode="&quot;$&quot;#,##0.00_);[Red]\(&quot;$&quot;#,##0.00\)">
                  <c:v>16.91711075587537</c:v>
                </c:pt>
                <c:pt idx="9" formatCode="&quot;$&quot;#,##0.00_);[Red]\(&quot;$&quot;#,##0.00\)">
                  <c:v>18.581356789505488</c:v>
                </c:pt>
                <c:pt idx="10" formatCode="&quot;$&quot;#,##0.00_);[Red]\(&quot;$&quot;#,##0.00\)">
                  <c:v>20.380264870338547</c:v>
                </c:pt>
                <c:pt idx="11" formatCode="&quot;$&quot;#,##0.00_);[Red]\(&quot;$&quot;#,##0.00\)">
                  <c:v>22.306603726330437</c:v>
                </c:pt>
                <c:pt idx="12" formatCode="&quot;$&quot;#,##0.00_);[Red]\(&quot;$&quot;#,##0.00\)">
                  <c:v>24.362043642300758</c:v>
                </c:pt>
                <c:pt idx="13" formatCode="&quot;$&quot;#,##0.00_);[Red]\(&quot;$&quot;#,##0.00\)">
                  <c:v>26.566118911523457</c:v>
                </c:pt>
                <c:pt idx="14" formatCode="&quot;$&quot;#,##0.00_);[Red]\(&quot;$&quot;#,##0.00\)">
                  <c:v>28.929213751916425</c:v>
                </c:pt>
                <c:pt idx="15" formatCode="&quot;$&quot;#,##0.00_);[Red]\(&quot;$&quot;#,##0.00\)">
                  <c:v>31.464337188343283</c:v>
                </c:pt>
                <c:pt idx="16" formatCode="&quot;$&quot;#,##0.00_);[Red]\(&quot;$&quot;#,##0.00\)">
                  <c:v>34.225699145951609</c:v>
                </c:pt>
                <c:pt idx="17" formatCode="&quot;$&quot;#,##0.00_);[Red]\(&quot;$&quot;#,##0.00\)">
                  <c:v>37.152395544649877</c:v>
                </c:pt>
                <c:pt idx="18" formatCode="&quot;$&quot;#,##0.00_);[Red]\(&quot;$&quot;#,##0.00\)">
                  <c:v>40.30074817081573</c:v>
                </c:pt>
                <c:pt idx="19" formatCode="&quot;$&quot;#,##0.00_);[Red]\(&quot;$&quot;#,##0.00\)">
                  <c:v>43.732022380869914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2-48CC-9B84-7D35EBBB2A96}"/>
            </c:ext>
          </c:extLst>
        </c:ser>
        <c:ser>
          <c:idx val="1"/>
          <c:order val="1"/>
          <c:tx>
            <c:strRef>
              <c:f>'Fig 8.4 Average CO2 Price'!$L$3</c:f>
              <c:strCache>
                <c:ptCount val="1"/>
                <c:pt idx="0">
                  <c:v>2021 IRP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8.4 Average CO2 Price'!$J$4:$J$25</c15:sqref>
                  </c15:fullRef>
                </c:ext>
              </c:extLst>
              <c:f>'Fig 8.4 Average CO2 Price'!$J$4:$J$23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8.4 Average CO2 Price'!$L$4:$L$25</c15:sqref>
                  </c15:fullRef>
                </c:ext>
              </c:extLst>
              <c:f>'Fig 8.4 Average CO2 Price'!$L$4:$L$23</c:f>
              <c:numCache>
                <c:formatCode>General</c:formatCode>
                <c:ptCount val="20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2-48CC-9B84-7D35EBBB2A96}"/>
            </c:ext>
          </c:extLst>
        </c:ser>
        <c:ser>
          <c:idx val="2"/>
          <c:order val="2"/>
          <c:tx>
            <c:strRef>
              <c:f>'Fig 8.4 Average CO2 Price'!$M$3</c:f>
              <c:strCache>
                <c:ptCount val="1"/>
                <c:pt idx="0">
                  <c:v>Update Recommended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8.4 Average CO2 Price'!$J$4:$J$25</c15:sqref>
                  </c15:fullRef>
                </c:ext>
              </c:extLst>
              <c:f>'Fig 8.4 Average CO2 Price'!$J$4:$J$23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8.4 Average CO2 Price'!$M$4:$M$25</c15:sqref>
                  </c15:fullRef>
                </c:ext>
              </c:extLst>
              <c:f>'Fig 8.4 Average CO2 Price'!$M$4:$M$23</c:f>
              <c:numCache>
                <c:formatCode>"$"#,##0.00_);[Red]\("$"#,##0.00\)</c:formatCode>
                <c:ptCount val="20"/>
                <c:pt idx="4">
                  <c:v>12.10257387377286</c:v>
                </c:pt>
                <c:pt idx="5">
                  <c:v>13.060994243066467</c:v>
                </c:pt>
                <c:pt idx="6">
                  <c:v>14.134783365263745</c:v>
                </c:pt>
                <c:pt idx="7">
                  <c:v>15.359314123755444</c:v>
                </c:pt>
                <c:pt idx="8">
                  <c:v>16.91711075587537</c:v>
                </c:pt>
                <c:pt idx="9">
                  <c:v>18.581356789505488</c:v>
                </c:pt>
                <c:pt idx="10">
                  <c:v>20.571467170954676</c:v>
                </c:pt>
                <c:pt idx="11">
                  <c:v>22.774723415497601</c:v>
                </c:pt>
                <c:pt idx="12">
                  <c:v>25.213953985001233</c:v>
                </c:pt>
                <c:pt idx="13">
                  <c:v>27.914432327426329</c:v>
                </c:pt>
                <c:pt idx="14">
                  <c:v>30.904138741031577</c:v>
                </c:pt>
                <c:pt idx="15">
                  <c:v>34.214050284897354</c:v>
                </c:pt>
                <c:pt idx="16">
                  <c:v>37.878461739600972</c:v>
                </c:pt>
                <c:pt idx="17">
                  <c:v>41.93534094359326</c:v>
                </c:pt>
                <c:pt idx="18">
                  <c:v>46.426722187001225</c:v>
                </c:pt>
                <c:pt idx="19">
                  <c:v>51.399141738903467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2-48CC-9B84-7D35EBBB2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36"/>
        <c:axId val="118707296"/>
      </c:lineChart>
      <c:catAx>
        <c:axId val="118713536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7296"/>
        <c:crosses val="autoZero"/>
        <c:auto val="1"/>
        <c:lblAlgn val="ctr"/>
        <c:lblOffset val="100"/>
        <c:noMultiLvlLbl val="0"/>
      </c:catAx>
      <c:valAx>
        <c:axId val="1187072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$ 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13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Medium CO</a:t>
            </a:r>
            <a:r>
              <a:rPr lang="en-US" b="1" baseline="-25000"/>
              <a:t>2</a:t>
            </a:r>
            <a:r>
              <a:rPr lang="en-US" b="1"/>
              <a:t> Price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8.4 Average CO2 Price'!$K$3</c:f>
              <c:strCache>
                <c:ptCount val="1"/>
                <c:pt idx="0">
                  <c:v>Update Avg 6 Forecasts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8.4 Average CO2 Price'!$J$4:$J$25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Price'!$K$4:$K$25</c:f>
              <c:numCache>
                <c:formatCode>General</c:formatCode>
                <c:ptCount val="22"/>
                <c:pt idx="4" formatCode="&quot;$&quot;#,##0.00_);[Red]\(&quot;$&quot;#,##0.00\)">
                  <c:v>12.10257387377286</c:v>
                </c:pt>
                <c:pt idx="5" formatCode="&quot;$&quot;#,##0.00_);[Red]\(&quot;$&quot;#,##0.00\)">
                  <c:v>13.060994243066467</c:v>
                </c:pt>
                <c:pt idx="6" formatCode="&quot;$&quot;#,##0.00_);[Red]\(&quot;$&quot;#,##0.00\)">
                  <c:v>14.134783365263745</c:v>
                </c:pt>
                <c:pt idx="7" formatCode="&quot;$&quot;#,##0.00_);[Red]\(&quot;$&quot;#,##0.00\)">
                  <c:v>15.359314123755444</c:v>
                </c:pt>
                <c:pt idx="8" formatCode="&quot;$&quot;#,##0.00_);[Red]\(&quot;$&quot;#,##0.00\)">
                  <c:v>16.91711075587537</c:v>
                </c:pt>
                <c:pt idx="9" formatCode="&quot;$&quot;#,##0.00_);[Red]\(&quot;$&quot;#,##0.00\)">
                  <c:v>18.581356789505488</c:v>
                </c:pt>
                <c:pt idx="10" formatCode="&quot;$&quot;#,##0.00_);[Red]\(&quot;$&quot;#,##0.00\)">
                  <c:v>20.380264870338547</c:v>
                </c:pt>
                <c:pt idx="11" formatCode="&quot;$&quot;#,##0.00_);[Red]\(&quot;$&quot;#,##0.00\)">
                  <c:v>22.306603726330437</c:v>
                </c:pt>
                <c:pt idx="12" formatCode="&quot;$&quot;#,##0.00_);[Red]\(&quot;$&quot;#,##0.00\)">
                  <c:v>24.362043642300758</c:v>
                </c:pt>
                <c:pt idx="13" formatCode="&quot;$&quot;#,##0.00_);[Red]\(&quot;$&quot;#,##0.00\)">
                  <c:v>26.566118911523457</c:v>
                </c:pt>
                <c:pt idx="14" formatCode="&quot;$&quot;#,##0.00_);[Red]\(&quot;$&quot;#,##0.00\)">
                  <c:v>28.929213751916425</c:v>
                </c:pt>
                <c:pt idx="15" formatCode="&quot;$&quot;#,##0.00_);[Red]\(&quot;$&quot;#,##0.00\)">
                  <c:v>31.464337188343283</c:v>
                </c:pt>
                <c:pt idx="16" formatCode="&quot;$&quot;#,##0.00_);[Red]\(&quot;$&quot;#,##0.00\)">
                  <c:v>34.225699145951609</c:v>
                </c:pt>
                <c:pt idx="17" formatCode="&quot;$&quot;#,##0.00_);[Red]\(&quot;$&quot;#,##0.00\)">
                  <c:v>37.152395544649877</c:v>
                </c:pt>
                <c:pt idx="18" formatCode="&quot;$&quot;#,##0.00_);[Red]\(&quot;$&quot;#,##0.00\)">
                  <c:v>40.30074817081573</c:v>
                </c:pt>
                <c:pt idx="19" formatCode="&quot;$&quot;#,##0.00_);[Red]\(&quot;$&quot;#,##0.00\)">
                  <c:v>43.732022380869914</c:v>
                </c:pt>
                <c:pt idx="20" formatCode="&quot;$&quot;#,##0.00_);[Red]\(&quot;$&quot;#,##0.00\)">
                  <c:v>47.56649592840045</c:v>
                </c:pt>
                <c:pt idx="21" formatCode="&quot;$&quot;#,##0.00_);[Red]\(&quot;$&quot;#,##0.00\)">
                  <c:v>51.810287022533565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F-4A7B-8F9C-FB3F1116E72E}"/>
            </c:ext>
          </c:extLst>
        </c:ser>
        <c:ser>
          <c:idx val="1"/>
          <c:order val="1"/>
          <c:tx>
            <c:strRef>
              <c:f>'Fig 8.4 Average CO2 Price'!$L$3</c:f>
              <c:strCache>
                <c:ptCount val="1"/>
                <c:pt idx="0">
                  <c:v>2021 IRP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8.4 Average CO2 Price'!$J$4:$J$25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Price'!$L$4:$L$25</c:f>
              <c:numCache>
                <c:formatCode>General</c:formatCode>
                <c:ptCount val="22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  <c:pt idx="20" formatCode="&quot;$&quot;#,##0.00">
                  <c:v>65.202483516033041</c:v>
                </c:pt>
                <c:pt idx="21" formatCode="&quot;$&quot;#,##0.00">
                  <c:v>73.372354700591984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F-4A7B-8F9C-FB3F1116E72E}"/>
            </c:ext>
          </c:extLst>
        </c:ser>
        <c:ser>
          <c:idx val="2"/>
          <c:order val="2"/>
          <c:tx>
            <c:strRef>
              <c:f>'Fig 8.4 Average CO2 Price'!$M$3</c:f>
              <c:strCache>
                <c:ptCount val="1"/>
                <c:pt idx="0">
                  <c:v>Update Recommended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 8.4 Average CO2 Price'!$J$4:$J$25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Price'!$M$4:$M$25</c:f>
              <c:numCache>
                <c:formatCode>"$"#,##0.00_);[Red]\("$"#,##0.00\)</c:formatCode>
                <c:ptCount val="22"/>
                <c:pt idx="4">
                  <c:v>12.10257387377286</c:v>
                </c:pt>
                <c:pt idx="5">
                  <c:v>13.060994243066467</c:v>
                </c:pt>
                <c:pt idx="6">
                  <c:v>14.134783365263745</c:v>
                </c:pt>
                <c:pt idx="7">
                  <c:v>15.359314123755444</c:v>
                </c:pt>
                <c:pt idx="8">
                  <c:v>16.91711075587537</c:v>
                </c:pt>
                <c:pt idx="9">
                  <c:v>18.581356789505488</c:v>
                </c:pt>
                <c:pt idx="10">
                  <c:v>20.571467170954676</c:v>
                </c:pt>
                <c:pt idx="11">
                  <c:v>22.774723415497601</c:v>
                </c:pt>
                <c:pt idx="12">
                  <c:v>25.213953985001233</c:v>
                </c:pt>
                <c:pt idx="13">
                  <c:v>27.914432327426329</c:v>
                </c:pt>
                <c:pt idx="14">
                  <c:v>30.904138741031577</c:v>
                </c:pt>
                <c:pt idx="15">
                  <c:v>34.214050284897354</c:v>
                </c:pt>
                <c:pt idx="16">
                  <c:v>37.878461739600972</c:v>
                </c:pt>
                <c:pt idx="17">
                  <c:v>41.93534094359326</c:v>
                </c:pt>
                <c:pt idx="18">
                  <c:v>46.426722187001225</c:v>
                </c:pt>
                <c:pt idx="19">
                  <c:v>51.399141738903467</c:v>
                </c:pt>
                <c:pt idx="20">
                  <c:v>56.904120020680075</c:v>
                </c:pt>
                <c:pt idx="21">
                  <c:v>62.998695421349716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F-4A7B-8F9C-FB3F1116E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36"/>
        <c:axId val="118707296"/>
      </c:lineChart>
      <c:catAx>
        <c:axId val="118713536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7296"/>
        <c:crosses val="autoZero"/>
        <c:auto val="1"/>
        <c:lblAlgn val="ctr"/>
        <c:lblOffset val="100"/>
        <c:noMultiLvlLbl val="0"/>
      </c:catAx>
      <c:valAx>
        <c:axId val="118707296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$ 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13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 8.4 Average CO2 Price'!$AF$3</c:f>
              <c:strCache>
                <c:ptCount val="1"/>
                <c:pt idx="0">
                  <c:v>21 IRP Med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 8.4 Average CO2 Price'!$AD$4:$AD$25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Price'!$AF$4:$AF$25</c:f>
              <c:numCache>
                <c:formatCode>General</c:formatCode>
                <c:ptCount val="22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8-402D-9EA7-77CBA94BB51E}"/>
            </c:ext>
          </c:extLst>
        </c:ser>
        <c:ser>
          <c:idx val="2"/>
          <c:order val="2"/>
          <c:tx>
            <c:strRef>
              <c:f>'Fig 8.4 Average CO2 Price'!$AG$3</c:f>
              <c:strCache>
                <c:ptCount val="1"/>
                <c:pt idx="0">
                  <c:v>21 IRP High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 8.4 Average CO2 Price'!$AD$4:$AD$25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Price'!$AG$4:$AG$25</c:f>
              <c:numCache>
                <c:formatCode>General</c:formatCode>
                <c:ptCount val="22"/>
                <c:pt idx="4" formatCode="&quot;$&quot;#,##0.00">
                  <c:v>22.573976139511714</c:v>
                </c:pt>
                <c:pt idx="5" formatCode="&quot;$&quot;#,##0.00">
                  <c:v>24.932128762521273</c:v>
                </c:pt>
                <c:pt idx="6" formatCode="&quot;$&quot;#,##0.00">
                  <c:v>27.5635920978354</c:v>
                </c:pt>
                <c:pt idx="7" formatCode="&quot;$&quot;#,##0.00">
                  <c:v>30.472793421391895</c:v>
                </c:pt>
                <c:pt idx="8" formatCode="&quot;$&quot;#,##0.00">
                  <c:v>33.689046609267905</c:v>
                </c:pt>
                <c:pt idx="9" formatCode="&quot;$&quot;#,##0.00">
                  <c:v>37.281202485896131</c:v>
                </c:pt>
                <c:pt idx="10" formatCode="&quot;$&quot;#,##0.00">
                  <c:v>41.256378517165501</c:v>
                </c:pt>
                <c:pt idx="11" formatCode="&quot;$&quot;#,##0.00">
                  <c:v>45.655414923795789</c:v>
                </c:pt>
                <c:pt idx="12" formatCode="&quot;$&quot;#,##0.00">
                  <c:v>50.523506589331248</c:v>
                </c:pt>
                <c:pt idx="13" formatCode="&quot;$&quot;#,##0.00">
                  <c:v>55.910667383985597</c:v>
                </c:pt>
                <c:pt idx="14" formatCode="&quot;$&quot;#,##0.00">
                  <c:v>61.811762820933083</c:v>
                </c:pt>
                <c:pt idx="15" formatCode="&quot;$&quot;#,##0.00">
                  <c:v>68.335689803009572</c:v>
                </c:pt>
                <c:pt idx="16" formatCode="&quot;$&quot;#,##0.00">
                  <c:v>75.622107033997466</c:v>
                </c:pt>
                <c:pt idx="17" formatCode="&quot;$&quot;#,##0.00">
                  <c:v>83.685451756565342</c:v>
                </c:pt>
                <c:pt idx="18" formatCode="&quot;$&quot;#,##0.00">
                  <c:v>92.608565277769472</c:v>
                </c:pt>
                <c:pt idx="19" formatCode="&quot;$&quot;#,##0.00">
                  <c:v>102.48312200972319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78-402D-9EA7-77CBA94BB51E}"/>
            </c:ext>
          </c:extLst>
        </c:ser>
        <c:ser>
          <c:idx val="3"/>
          <c:order val="3"/>
          <c:tx>
            <c:strRef>
              <c:f>'Fig 8.4 Average CO2 Price'!$AH$3</c:f>
              <c:strCache>
                <c:ptCount val="1"/>
                <c:pt idx="0">
                  <c:v>21 IRP SC-GHG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 8.4 Average CO2 Price'!$AD$4:$AD$25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Price'!$AH$4:$AH$25</c:f>
              <c:numCache>
                <c:formatCode>"$"#,##0.00</c:formatCode>
                <c:ptCount val="22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78-402D-9EA7-77CBA94BB51E}"/>
            </c:ext>
          </c:extLst>
        </c:ser>
        <c:ser>
          <c:idx val="5"/>
          <c:order val="5"/>
          <c:tx>
            <c:strRef>
              <c:f>'Fig 8.4 Average CO2 Price'!$AJ$3</c:f>
              <c:strCache>
                <c:ptCount val="1"/>
                <c:pt idx="0">
                  <c:v>23 IRP Med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 8.4 Average CO2 Price'!$AD$4:$AD$25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Price'!$AJ$4:$AJ$25</c:f>
              <c:numCache>
                <c:formatCode>General</c:formatCode>
                <c:ptCount val="22"/>
                <c:pt idx="4" formatCode="&quot;$&quot;#,##0.00_);[Red]\(&quot;$&quot;#,##0.00\)">
                  <c:v>12.10257387377286</c:v>
                </c:pt>
                <c:pt idx="5" formatCode="&quot;$&quot;#,##0.00_);[Red]\(&quot;$&quot;#,##0.00\)">
                  <c:v>13.060994243066467</c:v>
                </c:pt>
                <c:pt idx="6" formatCode="&quot;$&quot;#,##0.00_);[Red]\(&quot;$&quot;#,##0.00\)">
                  <c:v>14.134783365263745</c:v>
                </c:pt>
                <c:pt idx="7" formatCode="&quot;$&quot;#,##0.00_);[Red]\(&quot;$&quot;#,##0.00\)">
                  <c:v>15.359314123755444</c:v>
                </c:pt>
                <c:pt idx="8" formatCode="&quot;$&quot;#,##0.00_);[Red]\(&quot;$&quot;#,##0.00\)">
                  <c:v>16.91711075587537</c:v>
                </c:pt>
                <c:pt idx="9" formatCode="&quot;$&quot;#,##0.00_);[Red]\(&quot;$&quot;#,##0.00\)">
                  <c:v>18.581356789505488</c:v>
                </c:pt>
                <c:pt idx="10" formatCode="&quot;$&quot;#,##0.00_);[Red]\(&quot;$&quot;#,##0.00\)">
                  <c:v>20.571467170954676</c:v>
                </c:pt>
                <c:pt idx="11" formatCode="&quot;$&quot;#,##0.00_);[Red]\(&quot;$&quot;#,##0.00\)">
                  <c:v>22.774723415497601</c:v>
                </c:pt>
                <c:pt idx="12" formatCode="&quot;$&quot;#,##0.00_);[Red]\(&quot;$&quot;#,##0.00\)">
                  <c:v>25.213953985001233</c:v>
                </c:pt>
                <c:pt idx="13" formatCode="&quot;$&quot;#,##0.00_);[Red]\(&quot;$&quot;#,##0.00\)">
                  <c:v>27.914432327426329</c:v>
                </c:pt>
                <c:pt idx="14" formatCode="&quot;$&quot;#,##0.00_);[Red]\(&quot;$&quot;#,##0.00\)">
                  <c:v>30.904138741031577</c:v>
                </c:pt>
                <c:pt idx="15" formatCode="&quot;$&quot;#,##0.00_);[Red]\(&quot;$&quot;#,##0.00\)">
                  <c:v>34.214050284897354</c:v>
                </c:pt>
                <c:pt idx="16" formatCode="&quot;$&quot;#,##0.00_);[Red]\(&quot;$&quot;#,##0.00\)">
                  <c:v>37.878461739600972</c:v>
                </c:pt>
                <c:pt idx="17" formatCode="&quot;$&quot;#,##0.00_);[Red]\(&quot;$&quot;#,##0.00\)">
                  <c:v>41.93534094359326</c:v>
                </c:pt>
                <c:pt idx="18" formatCode="&quot;$&quot;#,##0.00_);[Red]\(&quot;$&quot;#,##0.00\)">
                  <c:v>46.426722187001225</c:v>
                </c:pt>
                <c:pt idx="19" formatCode="&quot;$&quot;#,##0.00_);[Red]\(&quot;$&quot;#,##0.00\)">
                  <c:v>51.399141738903467</c:v>
                </c:pt>
                <c:pt idx="20" formatCode="&quot;$&quot;#,##0.00_);[Red]\(&quot;$&quot;#,##0.00\)">
                  <c:v>56.904120020680075</c:v>
                </c:pt>
                <c:pt idx="21" formatCode="&quot;$&quot;#,##0.00_);[Red]\(&quot;$&quot;#,##0.00\)">
                  <c:v>62.998695421349716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78-402D-9EA7-77CBA94BB51E}"/>
            </c:ext>
          </c:extLst>
        </c:ser>
        <c:ser>
          <c:idx val="6"/>
          <c:order val="6"/>
          <c:tx>
            <c:strRef>
              <c:f>'Fig 8.4 Average CO2 Price'!$AK$3</c:f>
              <c:strCache>
                <c:ptCount val="1"/>
                <c:pt idx="0">
                  <c:v>23 IRP High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 8.4 Average CO2 Price'!$AD$4:$AD$25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Price'!$AK$4:$AK$25</c:f>
              <c:numCache>
                <c:formatCode>General</c:formatCode>
                <c:ptCount val="22"/>
                <c:pt idx="4" formatCode="&quot;$&quot;#,##0.00_);[Red]\(&quot;$&quot;#,##0.00\)">
                  <c:v>44.34269041382138</c:v>
                </c:pt>
                <c:pt idx="5" formatCode="&quot;$&quot;#,##0.00_);[Red]\(&quot;$&quot;#,##0.00\)">
                  <c:v>47.70780155674759</c:v>
                </c:pt>
                <c:pt idx="6" formatCode="&quot;$&quot;#,##0.00_);[Red]\(&quot;$&quot;#,##0.00\)">
                  <c:v>51.399119279834252</c:v>
                </c:pt>
                <c:pt idx="7" formatCode="&quot;$&quot;#,##0.00_);[Red]\(&quot;$&quot;#,##0.00\)">
                  <c:v>55.353885917941334</c:v>
                </c:pt>
                <c:pt idx="8" formatCode="&quot;$&quot;#,##0.00_);[Red]\(&quot;$&quot;#,##0.00\)">
                  <c:v>59.809288222627252</c:v>
                </c:pt>
                <c:pt idx="9" formatCode="&quot;$&quot;#,##0.00_);[Red]\(&quot;$&quot;#,##0.00\)">
                  <c:v>64.71167946432854</c:v>
                </c:pt>
                <c:pt idx="10" formatCode="&quot;$&quot;#,##0.00_);[Red]\(&quot;$&quot;#,##0.00\)">
                  <c:v>69.633042632079039</c:v>
                </c:pt>
                <c:pt idx="11" formatCode="&quot;$&quot;#,##0.00_);[Red]\(&quot;$&quot;#,##0.00\)">
                  <c:v>75.043852280611375</c:v>
                </c:pt>
                <c:pt idx="12" formatCode="&quot;$&quot;#,##0.00_);[Red]\(&quot;$&quot;#,##0.00\)">
                  <c:v>80.995518763554884</c:v>
                </c:pt>
                <c:pt idx="13" formatCode="&quot;$&quot;#,##0.00_);[Red]\(&quot;$&quot;#,##0.00\)">
                  <c:v>87.553255511065615</c:v>
                </c:pt>
                <c:pt idx="14" formatCode="&quot;$&quot;#,##0.00_);[Red]\(&quot;$&quot;#,##0.00\)">
                  <c:v>94.792824998618286</c:v>
                </c:pt>
                <c:pt idx="15" formatCode="&quot;$&quot;#,##0.00_);[Red]\(&quot;$&quot;#,##0.00\)">
                  <c:v>99.392797390118389</c:v>
                </c:pt>
                <c:pt idx="16" formatCode="&quot;$&quot;#,##0.00_);[Red]\(&quot;$&quot;#,##0.00\)">
                  <c:v>104.33945704746002</c:v>
                </c:pt>
                <c:pt idx="17" formatCode="&quot;$&quot;#,##0.00_);[Red]\(&quot;$&quot;#,##0.00\)">
                  <c:v>109.41564583267863</c:v>
                </c:pt>
                <c:pt idx="18" formatCode="&quot;$&quot;#,##0.00_);[Red]\(&quot;$&quot;#,##0.00\)">
                  <c:v>114.74921797140554</c:v>
                </c:pt>
                <c:pt idx="19" formatCode="&quot;$&quot;#,##0.00_);[Red]\(&quot;$&quot;#,##0.00\)">
                  <c:v>120.47705154422327</c:v>
                </c:pt>
                <c:pt idx="20" formatCode="&quot;$&quot;#,##0.00_);[Red]\(&quot;$&quot;#,##0.00\)">
                  <c:v>126.37361306533496</c:v>
                </c:pt>
                <c:pt idx="21" formatCode="&quot;$&quot;#,##0.00_);[Red]\(&quot;$&quot;#,##0.00\)">
                  <c:v>132.70058911652021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78-402D-9EA7-77CBA94BB51E}"/>
            </c:ext>
          </c:extLst>
        </c:ser>
        <c:ser>
          <c:idx val="7"/>
          <c:order val="7"/>
          <c:tx>
            <c:strRef>
              <c:f>'Fig 8.4 Average CO2 Price'!$AL$3</c:f>
              <c:strCache>
                <c:ptCount val="1"/>
                <c:pt idx="0">
                  <c:v>23 IRP SC-GHG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 8.4 Average CO2 Price'!$AD$4:$AD$25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8.4 Average CO2 Price'!$AL$4:$AL$25</c:f>
              <c:numCache>
                <c:formatCode>"$"#,##0.00</c:formatCode>
                <c:ptCount val="22"/>
                <c:pt idx="0">
                  <c:v>73.139745916515409</c:v>
                </c:pt>
                <c:pt idx="1">
                  <c:v>80.584128795353806</c:v>
                </c:pt>
                <c:pt idx="2">
                  <c:v>84.026832267061991</c:v>
                </c:pt>
                <c:pt idx="3">
                  <c:v>87.584674161330597</c:v>
                </c:pt>
                <c:pt idx="4">
                  <c:v>91.2611160936288</c:v>
                </c:pt>
                <c:pt idx="5">
                  <c:v>94.845135941878752</c:v>
                </c:pt>
                <c:pt idx="6">
                  <c:v>98.545185240189227</c:v>
                </c:pt>
                <c:pt idx="7">
                  <c:v>102.36469271195416</c:v>
                </c:pt>
                <c:pt idx="8">
                  <c:v>106.30718313408209</c:v>
                </c:pt>
                <c:pt idx="9">
                  <c:v>110.37627993511623</c:v>
                </c:pt>
                <c:pt idx="10">
                  <c:v>114.33550721649391</c:v>
                </c:pt>
                <c:pt idx="11">
                  <c:v>118.41793499050965</c:v>
                </c:pt>
                <c:pt idx="12">
                  <c:v>122.62712389599274</c:v>
                </c:pt>
                <c:pt idx="13">
                  <c:v>126.96673291200845</c:v>
                </c:pt>
                <c:pt idx="14">
                  <c:v>131.44052199165861</c:v>
                </c:pt>
                <c:pt idx="15">
                  <c:v>136.59011110781677</c:v>
                </c:pt>
                <c:pt idx="16">
                  <c:v>141.90624975971565</c:v>
                </c:pt>
                <c:pt idx="17">
                  <c:v>147.3938569288203</c:v>
                </c:pt>
                <c:pt idx="18">
                  <c:v>153.05798935236405</c:v>
                </c:pt>
                <c:pt idx="19">
                  <c:v>158.90384524859741</c:v>
                </c:pt>
                <c:pt idx="20">
                  <c:v>164.33480913250133</c:v>
                </c:pt>
                <c:pt idx="21">
                  <c:v>169.93086768005833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78-402D-9EA7-77CBA94BB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80751"/>
        <c:axId val="6778283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 8.4 Average CO2 Price'!$AE$3</c15:sqref>
                        </c15:formulaRef>
                      </c:ext>
                    </c:extLst>
                    <c:strCache>
                      <c:ptCount val="1"/>
                      <c:pt idx="0">
                        <c:v>21 IRP Low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 8.4 Average CO2 Price'!$AD$4:$AD$25</c15:sqref>
                        </c15:formulaRef>
                      </c:ext>
                    </c:extLst>
                    <c:numCache>
                      <c:formatCode>0_);[Red]\(0\)</c:formatCode>
                      <c:ptCount val="22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  <c:pt idx="20">
                        <c:v>2041</c:v>
                      </c:pt>
                      <c:pt idx="21">
                        <c:v>2042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 8.4 Average CO2 Price'!$AE$4:$AE$25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D78-402D-9EA7-77CBA94BB51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8.4 Average CO2 Price'!$AI$3</c15:sqref>
                        </c15:formulaRef>
                      </c:ext>
                    </c:extLst>
                    <c:strCache>
                      <c:ptCount val="1"/>
                      <c:pt idx="0">
                        <c:v>23 IRP Low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8.4 Average CO2 Price'!$AD$4:$AD$25</c15:sqref>
                        </c15:formulaRef>
                      </c:ext>
                    </c:extLst>
                    <c:numCache>
                      <c:formatCode>0_);[Red]\(0\)</c:formatCode>
                      <c:ptCount val="22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  <c:pt idx="20">
                        <c:v>2041</c:v>
                      </c:pt>
                      <c:pt idx="21">
                        <c:v>2042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8.4 Average CO2 Price'!$AI$4:$AI$25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D78-402D-9EA7-77CBA94BB51E}"/>
                  </c:ext>
                </c:extLst>
              </c15:ser>
            </c15:filteredLineSeries>
          </c:ext>
        </c:extLst>
      </c:lineChart>
      <c:catAx>
        <c:axId val="67780751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782831"/>
        <c:crosses val="autoZero"/>
        <c:auto val="1"/>
        <c:lblAlgn val="ctr"/>
        <c:lblOffset val="100"/>
        <c:noMultiLvlLbl val="0"/>
      </c:catAx>
      <c:valAx>
        <c:axId val="6778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CO2 Cost $/Ton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78075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Range</a:t>
            </a:r>
            <a:r>
              <a:rPr lang="en-US" baseline="0"/>
              <a:t> of Third-Party </a:t>
            </a:r>
            <a:r>
              <a:rPr lang="en-US"/>
              <a:t>CO2 Price Forecasts</a:t>
            </a:r>
          </a:p>
          <a:p>
            <a:pPr>
              <a:defRPr/>
            </a:pPr>
            <a:r>
              <a:rPr lang="en-US"/>
              <a:t>Nominal</a:t>
            </a:r>
            <a:r>
              <a:rPr lang="en-US" baseline="0"/>
              <a:t> $/Ton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9"/>
          <c:order val="0"/>
          <c:tx>
            <c:strRef>
              <c:f>'CO2 Price Forecasts'!$AQ$10</c:f>
              <c:strCache>
                <c:ptCount val="1"/>
                <c:pt idx="0">
                  <c:v>2021 IRP (M)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Forecasts'!$AQ$13:$AQ$32</c:f>
              <c:numCache>
                <c:formatCode>_("$"* #,##0.00_);_("$"* \(#,##0.00\);_("$"* "-"??_);_(@_)</c:formatCode>
                <c:ptCount val="20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675A-438C-9172-7B240476DD87}"/>
            </c:ext>
          </c:extLst>
        </c:ser>
        <c:ser>
          <c:idx val="21"/>
          <c:order val="1"/>
          <c:tx>
            <c:strRef>
              <c:f>'CO2 Price Forecasts'!$AS$10</c:f>
              <c:strCache>
                <c:ptCount val="1"/>
                <c:pt idx="0">
                  <c:v>2021 IRP (H)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'CO2 Price Forecasts'!$AS$13:$AS$32</c:f>
              <c:numCache>
                <c:formatCode>"$"#,##0.00</c:formatCode>
                <c:ptCount val="20"/>
                <c:pt idx="4">
                  <c:v>22.573976139511714</c:v>
                </c:pt>
                <c:pt idx="5">
                  <c:v>24.932128762521273</c:v>
                </c:pt>
                <c:pt idx="6">
                  <c:v>27.5635920978354</c:v>
                </c:pt>
                <c:pt idx="7">
                  <c:v>30.472793421391895</c:v>
                </c:pt>
                <c:pt idx="8">
                  <c:v>33.689046609267905</c:v>
                </c:pt>
                <c:pt idx="9">
                  <c:v>37.281202485896131</c:v>
                </c:pt>
                <c:pt idx="10">
                  <c:v>41.256378517165501</c:v>
                </c:pt>
                <c:pt idx="11">
                  <c:v>45.655414923795789</c:v>
                </c:pt>
                <c:pt idx="12">
                  <c:v>50.523506589331248</c:v>
                </c:pt>
                <c:pt idx="13">
                  <c:v>55.910667383985597</c:v>
                </c:pt>
                <c:pt idx="14">
                  <c:v>61.811762820933083</c:v>
                </c:pt>
                <c:pt idx="15">
                  <c:v>68.335689803009572</c:v>
                </c:pt>
                <c:pt idx="16">
                  <c:v>75.622107033997466</c:v>
                </c:pt>
                <c:pt idx="17">
                  <c:v>83.685451756565342</c:v>
                </c:pt>
                <c:pt idx="18">
                  <c:v>92.608565277769472</c:v>
                </c:pt>
                <c:pt idx="19">
                  <c:v>102.48312200972319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675A-438C-9172-7B240476DD87}"/>
            </c:ext>
          </c:extLst>
        </c:ser>
        <c:ser>
          <c:idx val="20"/>
          <c:order val="2"/>
          <c:tx>
            <c:strRef>
              <c:f>'CO2 Price Forecasts'!$AR$10</c:f>
              <c:strCache>
                <c:ptCount val="1"/>
                <c:pt idx="0">
                  <c:v>2021 IRP (SC-GHG)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'CO2 Price Forecasts'!$AR$13:$AR$32</c:f>
              <c:numCache>
                <c:formatCode>"$"#,##0.00</c:formatCode>
                <c:ptCount val="20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5-675A-438C-9172-7B240476DD87}"/>
            </c:ext>
          </c:extLst>
        </c:ser>
        <c:ser>
          <c:idx val="0"/>
          <c:order val="3"/>
          <c:tx>
            <c:strRef>
              <c:f>'CO2 Price Forecasts'!$S$10</c:f>
              <c:strCache>
                <c:ptCount val="1"/>
                <c:pt idx="0">
                  <c:v>WM Fed CO2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Forecasts'!$S$13:$S$32</c:f>
              <c:numCache>
                <c:formatCode>"$"#,##0.00_);[Red]\("$"#,##0.00\)</c:formatCode>
                <c:ptCount val="20"/>
                <c:pt idx="4">
                  <c:v>0.29225905525737894</c:v>
                </c:pt>
                <c:pt idx="5">
                  <c:v>0.59737750894608255</c:v>
                </c:pt>
                <c:pt idx="6">
                  <c:v>1.2210396282857927</c:v>
                </c:pt>
                <c:pt idx="7">
                  <c:v>2.4958050002161603</c:v>
                </c:pt>
                <c:pt idx="8">
                  <c:v>5.1064170304422642</c:v>
                </c:pt>
                <c:pt idx="9">
                  <c:v>7.8357969332136532</c:v>
                </c:pt>
                <c:pt idx="10">
                  <c:v>10.688027016903423</c:v>
                </c:pt>
                <c:pt idx="11">
                  <c:v>13.667314547865249</c:v>
                </c:pt>
                <c:pt idx="12">
                  <c:v>16.747194566174194</c:v>
                </c:pt>
                <c:pt idx="13">
                  <c:v>19.970691120272523</c:v>
                </c:pt>
                <c:pt idx="14">
                  <c:v>23.327915880581148</c:v>
                </c:pt>
                <c:pt idx="15">
                  <c:v>26.823192715841145</c:v>
                </c:pt>
                <c:pt idx="16">
                  <c:v>30.460971020566383</c:v>
                </c:pt>
                <c:pt idx="17">
                  <c:v>34.245829145425056</c:v>
                </c:pt>
                <c:pt idx="18">
                  <c:v>38.182477917803567</c:v>
                </c:pt>
                <c:pt idx="19">
                  <c:v>42.275764254860341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675A-438C-9172-7B240476DD87}"/>
            </c:ext>
          </c:extLst>
        </c:ser>
        <c:ser>
          <c:idx val="1"/>
          <c:order val="4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75A-438C-9172-7B240476DD87}"/>
            </c:ext>
          </c:extLst>
        </c:ser>
        <c:ser>
          <c:idx val="2"/>
          <c:order val="5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675A-438C-9172-7B240476DD87}"/>
            </c:ext>
          </c:extLst>
        </c:ser>
        <c:ser>
          <c:idx val="3"/>
          <c:order val="6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675A-438C-9172-7B240476DD87}"/>
            </c:ext>
          </c:extLst>
        </c:ser>
        <c:ser>
          <c:idx val="4"/>
          <c:order val="7"/>
          <c:tx>
            <c:strRef>
              <c:f>'CO2 Price Forecasts'!$T$10</c:f>
              <c:strCache>
                <c:ptCount val="1"/>
                <c:pt idx="0">
                  <c:v>CERA CO2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Forecasts'!$T$13:$T$32</c:f>
              <c:numCache>
                <c:formatCode>"$"#,##0.00_);[Red]\("$"#,##0.00\)</c:formatCode>
                <c:ptCount val="20"/>
                <c:pt idx="4">
                  <c:v>7.0682478514036262</c:v>
                </c:pt>
                <c:pt idx="5">
                  <c:v>7.9461242345479599</c:v>
                </c:pt>
                <c:pt idx="6">
                  <c:v>8.9330328644788199</c:v>
                </c:pt>
                <c:pt idx="7">
                  <c:v>10.042515546247095</c:v>
                </c:pt>
                <c:pt idx="8">
                  <c:v>11.30084274419186</c:v>
                </c:pt>
                <c:pt idx="9">
                  <c:v>12.716838340039102</c:v>
                </c:pt>
                <c:pt idx="10">
                  <c:v>14.310258184046008</c:v>
                </c:pt>
                <c:pt idx="11">
                  <c:v>16.103333534506966</c:v>
                </c:pt>
                <c:pt idx="12">
                  <c:v>18.103367559492735</c:v>
                </c:pt>
                <c:pt idx="13">
                  <c:v>20.351805810381737</c:v>
                </c:pt>
                <c:pt idx="14">
                  <c:v>22.879500092031147</c:v>
                </c:pt>
                <c:pt idx="15">
                  <c:v>25.721134003461426</c:v>
                </c:pt>
                <c:pt idx="16">
                  <c:v>28.915698846691324</c:v>
                </c:pt>
                <c:pt idx="17">
                  <c:v>32.50702864345039</c:v>
                </c:pt>
                <c:pt idx="18">
                  <c:v>36.544401600966935</c:v>
                </c:pt>
                <c:pt idx="19">
                  <c:v>41.08321627980704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6-675A-438C-9172-7B240476DD87}"/>
            </c:ext>
          </c:extLst>
        </c:ser>
        <c:ser>
          <c:idx val="5"/>
          <c:order val="8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675A-438C-9172-7B240476DD87}"/>
            </c:ext>
          </c:extLst>
        </c:ser>
        <c:ser>
          <c:idx val="6"/>
          <c:order val="9"/>
          <c:tx>
            <c:strRef>
              <c:f>'CO2 Price Forecasts'!$X$10</c:f>
              <c:strCache>
                <c:ptCount val="1"/>
                <c:pt idx="0">
                  <c:v>IEPR Base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Forecasts'!$X$13:$X$32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24.921458143615091</c:v>
                </c:pt>
                <c:pt idx="2">
                  <c:v>27.931700303789</c:v>
                </c:pt>
                <c:pt idx="3">
                  <c:v>31.305547105820903</c:v>
                </c:pt>
                <c:pt idx="4">
                  <c:v>35.086918051380763</c:v>
                </c:pt>
                <c:pt idx="5">
                  <c:v>39.32503764214367</c:v>
                </c:pt>
                <c:pt idx="6">
                  <c:v>44.075076166319469</c:v>
                </c:pt>
                <c:pt idx="7">
                  <c:v>49.398867885253182</c:v>
                </c:pt>
                <c:pt idx="8">
                  <c:v>55.36571596918634</c:v>
                </c:pt>
                <c:pt idx="9">
                  <c:v>62.053294660538185</c:v>
                </c:pt>
                <c:pt idx="10">
                  <c:v>69.548660408737945</c:v>
                </c:pt>
                <c:pt idx="11">
                  <c:v>77.949385139190312</c:v>
                </c:pt>
                <c:pt idx="12">
                  <c:v>87.364826408855308</c:v>
                </c:pt>
                <c:pt idx="13">
                  <c:v>97.917550982862195</c:v>
                </c:pt>
                <c:pt idx="14">
                  <c:v>109.74493036375556</c:v>
                </c:pt>
                <c:pt idx="15">
                  <c:v>115.43565896258509</c:v>
                </c:pt>
                <c:pt idx="16">
                  <c:v>121.42147537894022</c:v>
                </c:pt>
                <c:pt idx="17">
                  <c:v>127.71768113678918</c:v>
                </c:pt>
                <c:pt idx="18">
                  <c:v>134.34037120741274</c:v>
                </c:pt>
                <c:pt idx="19">
                  <c:v>141.30647515292932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8-675A-438C-9172-7B240476DD87}"/>
            </c:ext>
          </c:extLst>
        </c:ser>
        <c:ser>
          <c:idx val="7"/>
          <c:order val="10"/>
          <c:tx>
            <c:strRef>
              <c:f>'CO2 Price Forecasts'!$Y$10</c:f>
              <c:strCache>
                <c:ptCount val="1"/>
                <c:pt idx="0">
                  <c:v>IEPR Low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Forecasts'!$Y$13:$Y$32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19.7</c:v>
                </c:pt>
                <c:pt idx="2">
                  <c:v>21.143110671720596</c:v>
                </c:pt>
                <c:pt idx="3">
                  <c:v>22.69337986203864</c:v>
                </c:pt>
                <c:pt idx="4">
                  <c:v>24.358771840123431</c:v>
                </c:pt>
                <c:pt idx="5">
                  <c:v>26.139707251707026</c:v>
                </c:pt>
                <c:pt idx="6">
                  <c:v>28.008752677176531</c:v>
                </c:pt>
                <c:pt idx="7">
                  <c:v>30.003411706766986</c:v>
                </c:pt>
                <c:pt idx="8">
                  <c:v>32.135230801363271</c:v>
                </c:pt>
                <c:pt idx="9">
                  <c:v>34.417181963460926</c:v>
                </c:pt>
                <c:pt idx="10">
                  <c:v>36.86194114089038</c:v>
                </c:pt>
                <c:pt idx="11">
                  <c:v>39.488131682875967</c:v>
                </c:pt>
                <c:pt idx="12">
                  <c:v>42.311402064234287</c:v>
                </c:pt>
                <c:pt idx="13">
                  <c:v>45.346567846547899</c:v>
                </c:pt>
                <c:pt idx="14">
                  <c:v>48.606109105059041</c:v>
                </c:pt>
                <c:pt idx="15">
                  <c:v>52.109606424827341</c:v>
                </c:pt>
                <c:pt idx="16">
                  <c:v>55.874070824161258</c:v>
                </c:pt>
                <c:pt idx="17">
                  <c:v>59.921459597898043</c:v>
                </c:pt>
                <c:pt idx="18">
                  <c:v>64.272478941502243</c:v>
                </c:pt>
                <c:pt idx="19">
                  <c:v>68.948511190269485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9-675A-438C-9172-7B240476DD87}"/>
            </c:ext>
          </c:extLst>
        </c:ser>
        <c:ser>
          <c:idx val="8"/>
          <c:order val="11"/>
          <c:tx>
            <c:strRef>
              <c:f>'CO2 Price Forecasts'!$Z$10</c:f>
              <c:strCache>
                <c:ptCount val="1"/>
                <c:pt idx="0">
                  <c:v>IEPR High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Forecasts'!$Z$13:$Z$32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25.371890421148485</c:v>
                </c:pt>
                <c:pt idx="2">
                  <c:v>28.950504046273515</c:v>
                </c:pt>
                <c:pt idx="3">
                  <c:v>33.0338682148289</c:v>
                </c:pt>
                <c:pt idx="4">
                  <c:v>37.693176170283174</c:v>
                </c:pt>
                <c:pt idx="5">
                  <c:v>43.009662706295394</c:v>
                </c:pt>
                <c:pt idx="6">
                  <c:v>49.076020491148753</c:v>
                </c:pt>
                <c:pt idx="7">
                  <c:v>55.99801615963667</c:v>
                </c:pt>
                <c:pt idx="8">
                  <c:v>63.896334348880032</c:v>
                </c:pt>
                <c:pt idx="9">
                  <c:v>72.908681828744989</c:v>
                </c:pt>
                <c:pt idx="10">
                  <c:v>83.192188412265892</c:v>
                </c:pt>
                <c:pt idx="11">
                  <c:v>94.926146505823979</c:v>
                </c:pt>
                <c:pt idx="12">
                  <c:v>108.31513706299579</c:v>
                </c:pt>
                <c:pt idx="13">
                  <c:v>123.59259644291748</c:v>
                </c:pt>
                <c:pt idx="14">
                  <c:v>141.02488636115464</c:v>
                </c:pt>
                <c:pt idx="15">
                  <c:v>148.0645845572256</c:v>
                </c:pt>
                <c:pt idx="16">
                  <c:v>155.45569130231601</c:v>
                </c:pt>
                <c:pt idx="17">
                  <c:v>163.21574825302554</c:v>
                </c:pt>
                <c:pt idx="18">
                  <c:v>171.36317271259742</c:v>
                </c:pt>
                <c:pt idx="19">
                  <c:v>179.91730134155833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A-675A-438C-9172-7B240476DD87}"/>
            </c:ext>
          </c:extLst>
        </c:ser>
        <c:ser>
          <c:idx val="9"/>
          <c:order val="12"/>
          <c:tx>
            <c:strRef>
              <c:f>'CO2 Price Forecasts'!$AC$10</c:f>
              <c:strCache>
                <c:ptCount val="1"/>
                <c:pt idx="0">
                  <c:v>IPC 2021 IRP (Planning-IEPR Low)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Forecasts'!$AC$13:$AC$32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19.7</c:v>
                </c:pt>
                <c:pt idx="2">
                  <c:v>21.143110671720596</c:v>
                </c:pt>
                <c:pt idx="3">
                  <c:v>22.69337986203864</c:v>
                </c:pt>
                <c:pt idx="4">
                  <c:v>24.358771840123431</c:v>
                </c:pt>
                <c:pt idx="5">
                  <c:v>26.139707251707026</c:v>
                </c:pt>
                <c:pt idx="6">
                  <c:v>28.008752677176531</c:v>
                </c:pt>
                <c:pt idx="7">
                  <c:v>30.00341170676699</c:v>
                </c:pt>
                <c:pt idx="8">
                  <c:v>32.135230801363271</c:v>
                </c:pt>
                <c:pt idx="9">
                  <c:v>34.417181963460926</c:v>
                </c:pt>
                <c:pt idx="10">
                  <c:v>36.86194114089038</c:v>
                </c:pt>
                <c:pt idx="11">
                  <c:v>39.488131682875967</c:v>
                </c:pt>
                <c:pt idx="12">
                  <c:v>42.311402064234287</c:v>
                </c:pt>
                <c:pt idx="13">
                  <c:v>45.346567846547899</c:v>
                </c:pt>
                <c:pt idx="14">
                  <c:v>48.606109105059041</c:v>
                </c:pt>
                <c:pt idx="15">
                  <c:v>52.109606424827341</c:v>
                </c:pt>
                <c:pt idx="16">
                  <c:v>55.874070824161258</c:v>
                </c:pt>
                <c:pt idx="17">
                  <c:v>59.921459597898043</c:v>
                </c:pt>
                <c:pt idx="18">
                  <c:v>64.272478941502243</c:v>
                </c:pt>
                <c:pt idx="19">
                  <c:v>68.948511190269485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B-675A-438C-9172-7B240476DD87}"/>
            </c:ext>
          </c:extLst>
        </c:ser>
        <c:ser>
          <c:idx val="10"/>
          <c:order val="13"/>
          <c:tx>
            <c:strRef>
              <c:f>'CO2 Price Forecasts'!$AD$10</c:f>
              <c:strCache>
                <c:ptCount val="1"/>
                <c:pt idx="0">
                  <c:v>IPC 2021 IRP (High-EIA 50)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Forecasts'!$AD$13:$AD$32</c:f>
              <c:numCache>
                <c:formatCode>"$"#,##0.00_);[Red]\("$"#,##0.00\)</c:formatCode>
                <c:ptCount val="20"/>
                <c:pt idx="0">
                  <c:v>47.310169645287125</c:v>
                </c:pt>
                <c:pt idx="1">
                  <c:v>48.279960083461852</c:v>
                </c:pt>
                <c:pt idx="2">
                  <c:v>49.248843327587771</c:v>
                </c:pt>
                <c:pt idx="3">
                  <c:v>50.217726571713683</c:v>
                </c:pt>
                <c:pt idx="4">
                  <c:v>51.18660981583961</c:v>
                </c:pt>
                <c:pt idx="5">
                  <c:v>52.155493059965522</c:v>
                </c:pt>
                <c:pt idx="6">
                  <c:v>53.125283498140249</c:v>
                </c:pt>
                <c:pt idx="7">
                  <c:v>54.094166742266168</c:v>
                </c:pt>
                <c:pt idx="8">
                  <c:v>55.063049986392087</c:v>
                </c:pt>
                <c:pt idx="9">
                  <c:v>56.031933230518007</c:v>
                </c:pt>
                <c:pt idx="10">
                  <c:v>57.069763222353259</c:v>
                </c:pt>
                <c:pt idx="11">
                  <c:v>58.107593214188519</c:v>
                </c:pt>
                <c:pt idx="12">
                  <c:v>59.145423206023764</c:v>
                </c:pt>
                <c:pt idx="13">
                  <c:v>60.183253197859024</c:v>
                </c:pt>
                <c:pt idx="14">
                  <c:v>61.221083189694269</c:v>
                </c:pt>
                <c:pt idx="15">
                  <c:v>62.258913181529529</c:v>
                </c:pt>
                <c:pt idx="16">
                  <c:v>63.296743173364781</c:v>
                </c:pt>
                <c:pt idx="17">
                  <c:v>64.334573165200027</c:v>
                </c:pt>
                <c:pt idx="18">
                  <c:v>65.372403157035293</c:v>
                </c:pt>
                <c:pt idx="19">
                  <c:v>66.410233148870532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C-675A-438C-9172-7B240476DD87}"/>
            </c:ext>
          </c:extLst>
        </c:ser>
        <c:ser>
          <c:idx val="11"/>
          <c:order val="14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D-675A-438C-9172-7B240476DD87}"/>
            </c:ext>
          </c:extLst>
        </c:ser>
        <c:ser>
          <c:idx val="12"/>
          <c:order val="15"/>
          <c:tx>
            <c:strRef>
              <c:f>'CO2 Price Forecasts'!$AE$10</c:f>
              <c:strCache>
                <c:ptCount val="1"/>
                <c:pt idx="0">
                  <c:v>Domionion 2021 IRP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Forecasts'!$AE$13:$AE$32</c:f>
              <c:numCache>
                <c:formatCode>"$"#,##0.00</c:formatCode>
                <c:ptCount val="20"/>
                <c:pt idx="0">
                  <c:v>31.751791708246394</c:v>
                </c:pt>
                <c:pt idx="1">
                  <c:v>34.13317608636487</c:v>
                </c:pt>
                <c:pt idx="2">
                  <c:v>36.693164292842233</c:v>
                </c:pt>
                <c:pt idx="3">
                  <c:v>39.445151614805404</c:v>
                </c:pt>
                <c:pt idx="4">
                  <c:v>42.403537985915804</c:v>
                </c:pt>
                <c:pt idx="5">
                  <c:v>45.583803334859489</c:v>
                </c:pt>
                <c:pt idx="6">
                  <c:v>49.00258858497395</c:v>
                </c:pt>
                <c:pt idx="7">
                  <c:v>52.677782728846992</c:v>
                </c:pt>
                <c:pt idx="8">
                  <c:v>56.628616433510508</c:v>
                </c:pt>
                <c:pt idx="9">
                  <c:v>60.875762666023803</c:v>
                </c:pt>
                <c:pt idx="10">
                  <c:v>65.441444865975598</c:v>
                </c:pt>
                <c:pt idx="11">
                  <c:v>70.34955323092376</c:v>
                </c:pt>
                <c:pt idx="12">
                  <c:v>75.625769723243039</c:v>
                </c:pt>
                <c:pt idx="13">
                  <c:v>81.297702452486263</c:v>
                </c:pt>
                <c:pt idx="14">
                  <c:v>87.395030136422733</c:v>
                </c:pt>
                <c:pt idx="15">
                  <c:v>93.94965739665443</c:v>
                </c:pt>
                <c:pt idx="16">
                  <c:v>100.9958817014035</c:v>
                </c:pt>
                <c:pt idx="17">
                  <c:v>108.57057282900877</c:v>
                </c:pt>
                <c:pt idx="18">
                  <c:v>116.71336579118443</c:v>
                </c:pt>
                <c:pt idx="19">
                  <c:v>125.46686822552326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E-675A-438C-9172-7B240476DD87}"/>
            </c:ext>
          </c:extLst>
        </c:ser>
        <c:ser>
          <c:idx val="13"/>
          <c:order val="16"/>
          <c:tx>
            <c:strRef>
              <c:f>'CO2 Price Forecasts'!$AF$10</c:f>
              <c:strCache>
                <c:ptCount val="1"/>
                <c:pt idx="0">
                  <c:v>Domionion 2021 IRP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Forecasts'!$AF$13:$AF$32</c:f>
              <c:numCache>
                <c:formatCode>"$"#,##0.00</c:formatCode>
                <c:ptCount val="20"/>
                <c:pt idx="0">
                  <c:v>10.886328585684478</c:v>
                </c:pt>
                <c:pt idx="1">
                  <c:v>11.626598929511022</c:v>
                </c:pt>
                <c:pt idx="2">
                  <c:v>12.417207656717773</c:v>
                </c:pt>
                <c:pt idx="3">
                  <c:v>13.261577777374583</c:v>
                </c:pt>
                <c:pt idx="4">
                  <c:v>14.163365066236056</c:v>
                </c:pt>
                <c:pt idx="5">
                  <c:v>15.126473890740108</c:v>
                </c:pt>
                <c:pt idx="6">
                  <c:v>16.155074115310434</c:v>
                </c:pt>
                <c:pt idx="7">
                  <c:v>17.253619155151547</c:v>
                </c:pt>
                <c:pt idx="8">
                  <c:v>18.426865257701852</c:v>
                </c:pt>
                <c:pt idx="9">
                  <c:v>19.679892095225579</c:v>
                </c:pt>
                <c:pt idx="10">
                  <c:v>21.018124757700921</c:v>
                </c:pt>
                <c:pt idx="11">
                  <c:v>22.447357241224584</c:v>
                </c:pt>
                <c:pt idx="12">
                  <c:v>23.97377753362786</c:v>
                </c:pt>
                <c:pt idx="13">
                  <c:v>25.603994405914555</c:v>
                </c:pt>
                <c:pt idx="14">
                  <c:v>27.345066025516743</c:v>
                </c:pt>
                <c:pt idx="15">
                  <c:v>29.204530515251886</c:v>
                </c:pt>
                <c:pt idx="16">
                  <c:v>31.190438590289013</c:v>
                </c:pt>
                <c:pt idx="17">
                  <c:v>33.31138841442867</c:v>
                </c:pt>
                <c:pt idx="18">
                  <c:v>35.576562826609816</c:v>
                </c:pt>
                <c:pt idx="19">
                  <c:v>37.995769098819288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F-675A-438C-9172-7B240476DD87}"/>
            </c:ext>
          </c:extLst>
        </c:ser>
        <c:ser>
          <c:idx val="14"/>
          <c:order val="17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675A-438C-9172-7B240476DD87}"/>
            </c:ext>
          </c:extLst>
        </c:ser>
        <c:ser>
          <c:idx val="15"/>
          <c:order val="18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675A-438C-9172-7B240476DD87}"/>
            </c:ext>
          </c:extLst>
        </c:ser>
        <c:ser>
          <c:idx val="16"/>
          <c:order val="19"/>
          <c:tx>
            <c:strRef>
              <c:f>'CO2 Price Forecasts'!$AG$10</c:f>
              <c:strCache>
                <c:ptCount val="1"/>
                <c:pt idx="0">
                  <c:v>EIA $15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Forecasts'!$AG$13:$AG$32</c:f>
              <c:numCache>
                <c:formatCode>"$"#,##0.00</c:formatCode>
                <c:ptCount val="20"/>
                <c:pt idx="0">
                  <c:v>14.964</c:v>
                </c:pt>
                <c:pt idx="1">
                  <c:v>16.53471</c:v>
                </c:pt>
                <c:pt idx="2">
                  <c:v>17.695620000000002</c:v>
                </c:pt>
                <c:pt idx="3">
                  <c:v>18.567029999999999</c:v>
                </c:pt>
                <c:pt idx="4">
                  <c:v>19.456849999999999</c:v>
                </c:pt>
                <c:pt idx="5">
                  <c:v>20.541440000000001</c:v>
                </c:pt>
                <c:pt idx="6">
                  <c:v>21.655369999999998</c:v>
                </c:pt>
                <c:pt idx="7">
                  <c:v>22.61478</c:v>
                </c:pt>
                <c:pt idx="8">
                  <c:v>23.78124</c:v>
                </c:pt>
                <c:pt idx="9">
                  <c:v>24.978269999999998</c:v>
                </c:pt>
                <c:pt idx="10">
                  <c:v>26.33004</c:v>
                </c:pt>
                <c:pt idx="11">
                  <c:v>27.715500000000002</c:v>
                </c:pt>
                <c:pt idx="12">
                  <c:v>29.137319999999999</c:v>
                </c:pt>
                <c:pt idx="13">
                  <c:v>30.592769999999998</c:v>
                </c:pt>
                <c:pt idx="14">
                  <c:v>32.08464</c:v>
                </c:pt>
                <c:pt idx="15">
                  <c:v>33.610080000000004</c:v>
                </c:pt>
                <c:pt idx="16">
                  <c:v>35.406480000000002</c:v>
                </c:pt>
                <c:pt idx="17">
                  <c:v>37.007739999999998</c:v>
                </c:pt>
                <c:pt idx="18">
                  <c:v>38.64555</c:v>
                </c:pt>
                <c:pt idx="19">
                  <c:v>40.570390000000003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2-675A-438C-9172-7B240476DD87}"/>
            </c:ext>
          </c:extLst>
        </c:ser>
        <c:ser>
          <c:idx val="17"/>
          <c:order val="20"/>
          <c:tx>
            <c:strRef>
              <c:f>'CO2 Price Forecasts'!$AH$10</c:f>
              <c:strCache>
                <c:ptCount val="1"/>
                <c:pt idx="0">
                  <c:v>EIA $50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Forecasts'!$AH$13:$AH$32</c:f>
              <c:numCache>
                <c:formatCode>"$"#,##0.00</c:formatCode>
                <c:ptCount val="20"/>
                <c:pt idx="0">
                  <c:v>52.15</c:v>
                </c:pt>
                <c:pt idx="1">
                  <c:v>56.944330000000008</c:v>
                </c:pt>
                <c:pt idx="2">
                  <c:v>60.258570000000006</c:v>
                </c:pt>
                <c:pt idx="3">
                  <c:v>62.551149999999993</c:v>
                </c:pt>
                <c:pt idx="4">
                  <c:v>64.886449999999996</c:v>
                </c:pt>
                <c:pt idx="5">
                  <c:v>67.839379999999991</c:v>
                </c:pt>
                <c:pt idx="6">
                  <c:v>70.857600000000005</c:v>
                </c:pt>
                <c:pt idx="7">
                  <c:v>73.342439999999996</c:v>
                </c:pt>
                <c:pt idx="8">
                  <c:v>76.476959999999991</c:v>
                </c:pt>
                <c:pt idx="9">
                  <c:v>79.675560000000004</c:v>
                </c:pt>
                <c:pt idx="10">
                  <c:v>83.038560000000004</c:v>
                </c:pt>
                <c:pt idx="11">
                  <c:v>86.47020000000002</c:v>
                </c:pt>
                <c:pt idx="12">
                  <c:v>89.970479999999995</c:v>
                </c:pt>
                <c:pt idx="13">
                  <c:v>93.539400000000001</c:v>
                </c:pt>
                <c:pt idx="14">
                  <c:v>97.176959999999994</c:v>
                </c:pt>
                <c:pt idx="15">
                  <c:v>100.88316</c:v>
                </c:pt>
                <c:pt idx="16">
                  <c:v>105.35572000000001</c:v>
                </c:pt>
                <c:pt idx="17">
                  <c:v>109.21064</c:v>
                </c:pt>
                <c:pt idx="18">
                  <c:v>113.13420000000001</c:v>
                </c:pt>
                <c:pt idx="19">
                  <c:v>117.85844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3-675A-438C-9172-7B240476DD87}"/>
            </c:ext>
          </c:extLst>
        </c:ser>
        <c:ser>
          <c:idx val="18"/>
          <c:order val="21"/>
          <c:tx>
            <c:strRef>
              <c:f>'CO2 Price Forecasts'!$AI$10</c:f>
              <c:strCache>
                <c:ptCount val="1"/>
                <c:pt idx="0">
                  <c:v>EIA $75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Forecasts'!$AI$13:$AI$32</c:f>
              <c:numCache>
                <c:formatCode>"$"#,##0.00</c:formatCode>
                <c:ptCount val="20"/>
                <c:pt idx="0">
                  <c:v>77.727000000000004</c:v>
                </c:pt>
                <c:pt idx="1">
                  <c:v>84.565310000000011</c:v>
                </c:pt>
                <c:pt idx="2">
                  <c:v>89.176290000000009</c:v>
                </c:pt>
                <c:pt idx="3">
                  <c:v>92.258849999999981</c:v>
                </c:pt>
                <c:pt idx="4">
                  <c:v>95.39364999999998</c:v>
                </c:pt>
                <c:pt idx="5">
                  <c:v>99.423259999999999</c:v>
                </c:pt>
                <c:pt idx="6">
                  <c:v>103.53122999999999</c:v>
                </c:pt>
                <c:pt idx="7">
                  <c:v>106.84887000000001</c:v>
                </c:pt>
                <c:pt idx="8">
                  <c:v>111.1005</c:v>
                </c:pt>
                <c:pt idx="9">
                  <c:v>115.43048999999999</c:v>
                </c:pt>
                <c:pt idx="10">
                  <c:v>119.91408</c:v>
                </c:pt>
                <c:pt idx="11">
                  <c:v>124.47945</c:v>
                </c:pt>
                <c:pt idx="12">
                  <c:v>129.12659999999997</c:v>
                </c:pt>
                <c:pt idx="13">
                  <c:v>133.85693999999998</c:v>
                </c:pt>
                <c:pt idx="14">
                  <c:v>138.66767999999999</c:v>
                </c:pt>
                <c:pt idx="15">
                  <c:v>143.56019999999998</c:v>
                </c:pt>
                <c:pt idx="16">
                  <c:v>149.52473000000001</c:v>
                </c:pt>
                <c:pt idx="17">
                  <c:v>154.59598</c:v>
                </c:pt>
                <c:pt idx="18">
                  <c:v>159.7475</c:v>
                </c:pt>
                <c:pt idx="19">
                  <c:v>166.01193000000001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4-675A-438C-9172-7B240476D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60024"/>
        <c:axId val="366555320"/>
        <c:extLst/>
      </c:lineChart>
      <c:catAx>
        <c:axId val="366560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55320"/>
        <c:crosses val="autoZero"/>
        <c:auto val="1"/>
        <c:lblAlgn val="ctr"/>
        <c:lblOffset val="100"/>
        <c:noMultiLvlLbl val="0"/>
      </c:catAx>
      <c:valAx>
        <c:axId val="3665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6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0"/>
        <c:delete val="1"/>
      </c:legendEntry>
      <c:layout>
        <c:manualLayout>
          <c:xMode val="edge"/>
          <c:yMode val="edge"/>
          <c:x val="0.82434513351120375"/>
          <c:y val="3.8541822543675254E-2"/>
          <c:w val="0.17565486648879633"/>
          <c:h val="0.95060866260495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CO2 Price Forecasts </a:t>
            </a:r>
          </a:p>
          <a:p>
            <a:pPr>
              <a:defRPr sz="1200"/>
            </a:pPr>
            <a:r>
              <a:rPr lang="en-US" sz="1200"/>
              <a:t>Nominal</a:t>
            </a:r>
            <a:r>
              <a:rPr lang="en-US" sz="1200" baseline="0"/>
              <a:t> $/Ton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9"/>
          <c:order val="0"/>
          <c:tx>
            <c:strRef>
              <c:f>'CO2 Price Forecasts'!$AQ$10</c:f>
              <c:strCache>
                <c:ptCount val="1"/>
                <c:pt idx="0">
                  <c:v>2021 IRP (M)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'CO2 Price Forecasts'!$R$12:$R$32</c15:sqref>
                  </c15:fullRef>
                </c:ext>
              </c:extLst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 Price Forecasts'!$AQ$12:$AQ$32</c15:sqref>
                  </c15:fullRef>
                </c:ext>
              </c:extLst>
              <c:f>'CO2 Price Forecasts'!$AQ$13:$AQ$32</c:f>
              <c:numCache>
                <c:formatCode>_("$"* #,##0.00_);_("$"* \(#,##0.00\);_("$"* "-"??_);_(@_)</c:formatCode>
                <c:ptCount val="20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0-4B3B-9CEC-EC315C4A3AC0}"/>
            </c:ext>
          </c:extLst>
        </c:ser>
        <c:ser>
          <c:idx val="21"/>
          <c:order val="1"/>
          <c:tx>
            <c:strRef>
              <c:f>'CO2 Price Forecasts'!$AS$10</c:f>
              <c:strCache>
                <c:ptCount val="1"/>
                <c:pt idx="0">
                  <c:v>2021 IRP (H)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2021</c:v>
              </c:pt>
              <c:pt idx="1">
                <c:v>2022</c:v>
              </c:pt>
              <c:pt idx="2">
                <c:v>2023</c:v>
              </c:pt>
              <c:pt idx="3">
                <c:v>2024</c:v>
              </c:pt>
              <c:pt idx="4">
                <c:v>2025</c:v>
              </c:pt>
              <c:pt idx="5">
                <c:v>2026</c:v>
              </c:pt>
              <c:pt idx="6">
                <c:v>2027</c:v>
              </c:pt>
              <c:pt idx="7">
                <c:v>2028</c:v>
              </c:pt>
              <c:pt idx="8">
                <c:v>2029</c:v>
              </c:pt>
              <c:pt idx="9">
                <c:v>2030</c:v>
              </c:pt>
              <c:pt idx="10">
                <c:v>2031</c:v>
              </c:pt>
              <c:pt idx="11">
                <c:v>2032</c:v>
              </c:pt>
              <c:pt idx="12">
                <c:v>2033</c:v>
              </c:pt>
              <c:pt idx="13">
                <c:v>2034</c:v>
              </c:pt>
              <c:pt idx="14">
                <c:v>2035</c:v>
              </c:pt>
              <c:pt idx="15">
                <c:v>2036</c:v>
              </c:pt>
              <c:pt idx="16">
                <c:v>2037</c:v>
              </c:pt>
              <c:pt idx="17">
                <c:v>2038</c:v>
              </c:pt>
              <c:pt idx="18">
                <c:v>2039</c:v>
              </c:pt>
              <c:pt idx="19">
                <c:v>2040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 Price Forecasts'!$AS$12:$AS$32</c15:sqref>
                  </c15:fullRef>
                </c:ext>
              </c:extLst>
              <c:f>'CO2 Price Forecasts'!$AS$13:$AS$32</c:f>
              <c:numCache>
                <c:formatCode>"$"#,##0.00</c:formatCode>
                <c:ptCount val="20"/>
                <c:pt idx="4">
                  <c:v>22.573976139511714</c:v>
                </c:pt>
                <c:pt idx="5">
                  <c:v>24.932128762521273</c:v>
                </c:pt>
                <c:pt idx="6">
                  <c:v>27.5635920978354</c:v>
                </c:pt>
                <c:pt idx="7">
                  <c:v>30.472793421391895</c:v>
                </c:pt>
                <c:pt idx="8">
                  <c:v>33.689046609267905</c:v>
                </c:pt>
                <c:pt idx="9">
                  <c:v>37.281202485896131</c:v>
                </c:pt>
                <c:pt idx="10">
                  <c:v>41.256378517165501</c:v>
                </c:pt>
                <c:pt idx="11">
                  <c:v>45.655414923795789</c:v>
                </c:pt>
                <c:pt idx="12">
                  <c:v>50.523506589331248</c:v>
                </c:pt>
                <c:pt idx="13">
                  <c:v>55.910667383985597</c:v>
                </c:pt>
                <c:pt idx="14">
                  <c:v>61.811762820933083</c:v>
                </c:pt>
                <c:pt idx="15">
                  <c:v>68.335689803009572</c:v>
                </c:pt>
                <c:pt idx="16">
                  <c:v>75.622107033997466</c:v>
                </c:pt>
                <c:pt idx="17">
                  <c:v>83.685451756565342</c:v>
                </c:pt>
                <c:pt idx="18">
                  <c:v>92.608565277769472</c:v>
                </c:pt>
                <c:pt idx="19">
                  <c:v>102.48312200972319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0-4B3B-9CEC-EC315C4A3AC0}"/>
            </c:ext>
          </c:extLst>
        </c:ser>
        <c:ser>
          <c:idx val="1"/>
          <c:order val="2"/>
          <c:tx>
            <c:strRef>
              <c:f>'CO2 Price Forecasts'!$AR$10</c:f>
              <c:strCache>
                <c:ptCount val="1"/>
                <c:pt idx="0">
                  <c:v>2021 IRP (SC-GHG)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2021</c:v>
              </c:pt>
              <c:pt idx="1">
                <c:v>2022</c:v>
              </c:pt>
              <c:pt idx="2">
                <c:v>2023</c:v>
              </c:pt>
              <c:pt idx="3">
                <c:v>2024</c:v>
              </c:pt>
              <c:pt idx="4">
                <c:v>2025</c:v>
              </c:pt>
              <c:pt idx="5">
                <c:v>2026</c:v>
              </c:pt>
              <c:pt idx="6">
                <c:v>2027</c:v>
              </c:pt>
              <c:pt idx="7">
                <c:v>2028</c:v>
              </c:pt>
              <c:pt idx="8">
                <c:v>2029</c:v>
              </c:pt>
              <c:pt idx="9">
                <c:v>2030</c:v>
              </c:pt>
              <c:pt idx="10">
                <c:v>2031</c:v>
              </c:pt>
              <c:pt idx="11">
                <c:v>2032</c:v>
              </c:pt>
              <c:pt idx="12">
                <c:v>2033</c:v>
              </c:pt>
              <c:pt idx="13">
                <c:v>2034</c:v>
              </c:pt>
              <c:pt idx="14">
                <c:v>2035</c:v>
              </c:pt>
              <c:pt idx="15">
                <c:v>2036</c:v>
              </c:pt>
              <c:pt idx="16">
                <c:v>2037</c:v>
              </c:pt>
              <c:pt idx="17">
                <c:v>2038</c:v>
              </c:pt>
              <c:pt idx="18">
                <c:v>2039</c:v>
              </c:pt>
              <c:pt idx="19">
                <c:v>2040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'CO2 Price Forecasts'!$AR$12:$AR$32</c15:sqref>
                  </c15:fullRef>
                </c:ext>
              </c:extLst>
              <c:f>'CO2 Price Forecasts'!$AR$13:$AR$32</c:f>
              <c:numCache>
                <c:formatCode>"$"#,##0.00</c:formatCode>
                <c:ptCount val="20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60-4B3B-9CEC-EC315C4A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58848"/>
        <c:axId val="366556104"/>
      </c:lineChart>
      <c:catAx>
        <c:axId val="366558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56104"/>
        <c:crosses val="autoZero"/>
        <c:auto val="1"/>
        <c:lblAlgn val="ctr"/>
        <c:lblOffset val="100"/>
        <c:noMultiLvlLbl val="0"/>
      </c:catAx>
      <c:valAx>
        <c:axId val="36655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588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171449</xdr:colOff>
      <xdr:row>0</xdr:row>
      <xdr:rowOff>109537</xdr:rowOff>
    </xdr:from>
    <xdr:to>
      <xdr:col>27</xdr:col>
      <xdr:colOff>257174</xdr:colOff>
      <xdr:row>16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306A31-88C0-4673-BAE8-F26086BD6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104775</xdr:colOff>
      <xdr:row>19</xdr:row>
      <xdr:rowOff>66675</xdr:rowOff>
    </xdr:from>
    <xdr:to>
      <xdr:col>27</xdr:col>
      <xdr:colOff>190500</xdr:colOff>
      <xdr:row>36</xdr:row>
      <xdr:rowOff>61913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1517E9-A5AF-457D-99BA-BC161AF8F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447674</xdr:colOff>
      <xdr:row>45</xdr:row>
      <xdr:rowOff>23812</xdr:rowOff>
    </xdr:from>
    <xdr:to>
      <xdr:col>30</xdr:col>
      <xdr:colOff>495300</xdr:colOff>
      <xdr:row>63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3C5D25-D206-4D84-8422-D1B2BDF7A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136071</xdr:colOff>
      <xdr:row>1</xdr:row>
      <xdr:rowOff>47171</xdr:rowOff>
    </xdr:from>
    <xdr:to>
      <xdr:col>31</xdr:col>
      <xdr:colOff>107497</xdr:colOff>
      <xdr:row>24</xdr:row>
      <xdr:rowOff>40821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1470F-1579-44F1-99EC-C93B2524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237671"/>
          <a:ext cx="5482318" cy="437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76200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28575</xdr:rowOff>
    </xdr:from>
    <xdr:to>
      <xdr:col>9</xdr:col>
      <xdr:colOff>533400</xdr:colOff>
      <xdr:row>41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3%20IRP\3%20-%20Assumptions\9%20-%20Prices\SCGHG%20Update%207.28.22\SocialCostofGHG_Formulas%202023%20IRP%20Q32022%20Updat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 Forecast (ST)"/>
      <sheetName val="EIA Forecast (ST) "/>
      <sheetName val="2017 IRP Update Med_ CO2"/>
      <sheetName val="Sheet1"/>
      <sheetName val="SCC Update 2023 IRP"/>
      <sheetName val="Inflation Q22022 HICONF"/>
      <sheetName val="2022 Inflation"/>
      <sheetName val="Prior &gt;&gt;&gt;&gt;&gt;"/>
      <sheetName val="Inflation Q32020"/>
      <sheetName val="SCC Update 2021 IRP"/>
      <sheetName val="Inflation Q32018"/>
      <sheetName val="SCC 2019 IRP"/>
    </sheetNames>
    <sheetDataSet>
      <sheetData sheetId="0"/>
      <sheetData sheetId="1"/>
      <sheetData sheetId="2"/>
      <sheetData sheetId="3"/>
      <sheetData sheetId="4">
        <row r="8">
          <cell r="I8">
            <v>73.139745916515409</v>
          </cell>
        </row>
        <row r="9">
          <cell r="I9">
            <v>80.584128795353806</v>
          </cell>
        </row>
        <row r="10">
          <cell r="I10">
            <v>84.026832267061991</v>
          </cell>
        </row>
        <row r="11">
          <cell r="I11">
            <v>87.584674161330597</v>
          </cell>
        </row>
        <row r="12">
          <cell r="I12">
            <v>91.2611160936288</v>
          </cell>
        </row>
        <row r="13">
          <cell r="I13">
            <v>94.845135941878752</v>
          </cell>
        </row>
        <row r="14">
          <cell r="I14">
            <v>98.545185240189227</v>
          </cell>
        </row>
        <row r="15">
          <cell r="I15">
            <v>102.36469271195416</v>
          </cell>
        </row>
        <row r="16">
          <cell r="I16">
            <v>106.30718313408209</v>
          </cell>
        </row>
        <row r="17">
          <cell r="I17">
            <v>110.37627993511623</v>
          </cell>
        </row>
        <row r="18">
          <cell r="I18">
            <v>114.33550721649391</v>
          </cell>
        </row>
        <row r="19">
          <cell r="I19">
            <v>118.41793499050965</v>
          </cell>
        </row>
        <row r="20">
          <cell r="I20">
            <v>122.62712389599274</v>
          </cell>
        </row>
        <row r="21">
          <cell r="I21">
            <v>126.96673291200845</v>
          </cell>
        </row>
        <row r="22">
          <cell r="I22">
            <v>131.44052199165861</v>
          </cell>
        </row>
        <row r="23">
          <cell r="I23">
            <v>136.59011110781677</v>
          </cell>
        </row>
        <row r="24">
          <cell r="I24">
            <v>141.90624975971565</v>
          </cell>
        </row>
        <row r="25">
          <cell r="I25">
            <v>147.3938569288203</v>
          </cell>
        </row>
        <row r="26">
          <cell r="I26">
            <v>153.05798935236405</v>
          </cell>
        </row>
        <row r="27">
          <cell r="I27">
            <v>158.90384524859741</v>
          </cell>
        </row>
        <row r="28">
          <cell r="I28">
            <v>164.33480913250133</v>
          </cell>
        </row>
        <row r="29">
          <cell r="I29">
            <v>169.93086768005833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ker, Randy (PacifiCorp)" id="{8C4C52B2-F8FD-4312-A66C-C65957C56682}" userId="S::Randy.Baker@pacificorp.com::49fc44bc-71fc-4ea5-beec-81b33567205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10" dT="2022-07-01T07:33:34.49" personId="{8C4C52B2-F8FD-4312-A66C-C65957C56682}" id="{D920BC2A-B831-4B04-96B5-E406E45FB8C7}">
    <text>Same as column V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4CDC-3A69-438B-A574-27C842656DBC}">
  <sheetPr codeName="Sheet1"/>
  <dimension ref="A1:AO44"/>
  <sheetViews>
    <sheetView topLeftCell="V7" workbookViewId="0">
      <selection activeCell="H1" sqref="H1"/>
    </sheetView>
  </sheetViews>
  <sheetFormatPr defaultRowHeight="15"/>
  <cols>
    <col min="5" max="5" width="15" style="61" bestFit="1" customWidth="1"/>
    <col min="6" max="7" width="12" style="61" customWidth="1"/>
    <col min="8" max="8" width="19" style="61" customWidth="1"/>
    <col min="9" max="9" width="9.140625" style="61"/>
    <col min="10" max="10" width="9.85546875" style="61" bestFit="1" customWidth="1"/>
    <col min="11" max="11" width="15.42578125" customWidth="1"/>
    <col min="12" max="12" width="12.28515625" customWidth="1"/>
    <col min="31" max="31" width="10.42578125" customWidth="1"/>
    <col min="32" max="32" width="11" customWidth="1"/>
    <col min="33" max="33" width="12.140625" customWidth="1"/>
    <col min="34" max="34" width="10.42578125" customWidth="1"/>
    <col min="35" max="35" width="12" customWidth="1"/>
    <col min="37" max="37" width="10.5703125" customWidth="1"/>
    <col min="38" max="38" width="9.85546875" bestFit="1" customWidth="1"/>
    <col min="40" max="40" width="9.140625" style="61"/>
  </cols>
  <sheetData>
    <row r="1" spans="1:41">
      <c r="B1" s="117" t="s">
        <v>23</v>
      </c>
      <c r="C1" s="117"/>
      <c r="D1" s="117"/>
      <c r="E1" s="117" t="s">
        <v>65</v>
      </c>
      <c r="F1" s="117"/>
      <c r="G1" s="66"/>
      <c r="H1" s="107"/>
      <c r="I1" s="65"/>
      <c r="J1" s="65"/>
      <c r="L1" s="117"/>
      <c r="M1" s="117"/>
      <c r="N1" s="117"/>
    </row>
    <row r="2" spans="1:41" ht="30" customHeight="1">
      <c r="B2" t="s">
        <v>48</v>
      </c>
      <c r="C2" t="s">
        <v>40</v>
      </c>
      <c r="D2" t="s">
        <v>49</v>
      </c>
      <c r="E2" s="90" t="s">
        <v>66</v>
      </c>
      <c r="F2" s="91" t="s">
        <v>64</v>
      </c>
      <c r="G2" s="93"/>
      <c r="H2" s="89"/>
      <c r="N2" s="61"/>
      <c r="AE2" s="70" t="s">
        <v>71</v>
      </c>
    </row>
    <row r="3" spans="1:41">
      <c r="A3" s="6">
        <v>2020</v>
      </c>
      <c r="B3" s="64">
        <f>AVERAGE('CO2 Price Forecasts'!Y12,'CO2 Price Forecasts'!AA12,'CO2 Price Forecasts'!AF12,'CO2 Price Forecasts'!AG12,'CO2 Price Forecasts'!T12,'CO2 Price Forecasts'!S12)</f>
        <v>17.1180838726224</v>
      </c>
      <c r="C3" s="64">
        <f>AVERAGE('CO2 Price Forecasts'!X12,'CO2 Price Forecasts'!Z12,'CO2 Price Forecasts'!AB12,'CO2 Price Forecasts'!AD12,'CO2 Price Forecasts'!AE12,'CO2 Price Forecasts'!AH12)</f>
        <v>17.1180838726224</v>
      </c>
      <c r="D3" s="64">
        <f>AVERAGE('CO2 Price Forecasts'!Z12,'CO2 Price Forecasts'!AI12)</f>
        <v>17.1180838726224</v>
      </c>
      <c r="E3" s="80"/>
      <c r="F3" s="81">
        <f>'CO2 Price Forecasts'!AF12</f>
        <v>0</v>
      </c>
      <c r="G3" s="64"/>
      <c r="H3" s="64"/>
      <c r="I3" s="64"/>
      <c r="J3" s="72"/>
      <c r="K3" s="70" t="s">
        <v>57</v>
      </c>
      <c r="L3" s="70" t="s">
        <v>52</v>
      </c>
      <c r="M3" s="70" t="s">
        <v>53</v>
      </c>
      <c r="AE3" s="96" t="s">
        <v>72</v>
      </c>
      <c r="AF3" s="97" t="s">
        <v>75</v>
      </c>
      <c r="AG3" s="97" t="s">
        <v>76</v>
      </c>
      <c r="AH3" s="97" t="s">
        <v>78</v>
      </c>
      <c r="AI3" s="97" t="s">
        <v>73</v>
      </c>
      <c r="AJ3" s="97" t="s">
        <v>77</v>
      </c>
      <c r="AK3" s="97" t="s">
        <v>74</v>
      </c>
      <c r="AL3" s="98" t="s">
        <v>86</v>
      </c>
    </row>
    <row r="4" spans="1:41">
      <c r="A4" s="6">
        <v>2021</v>
      </c>
      <c r="B4" s="64">
        <f>AVERAGE('CO2 Price Forecasts'!Y13,'CO2 Price Forecasts'!AA13,'CO2 Price Forecasts'!AF13,'CO2 Price Forecasts'!AG13,'CO2 Price Forecasts'!T13,'CO2 Price Forecasts'!S13)</f>
        <v>12.021490745333985</v>
      </c>
      <c r="C4" s="64">
        <f>AVERAGE('CO2 Price Forecasts'!X13,'CO2 Price Forecasts'!Z13,'CO2 Price Forecasts'!AB13,'CO2 Price Forecasts'!AD13,'CO2 Price Forecasts'!AE13,'CO2 Price Forecasts'!AH13)</f>
        <v>32.541220530220095</v>
      </c>
      <c r="D4" s="64">
        <f>AVERAGE('CO2 Price Forecasts'!Z13,'CO2 Price Forecasts'!AI13)</f>
        <v>49.981317197825732</v>
      </c>
      <c r="E4" s="80">
        <f>AVERAGE('CO2 Price Forecasts'!AA13,'CO2 Price Forecasts'!AF13,'CO2 Price Forecasts'!AG13,'CO2 Price Forecasts'!T13)</f>
        <v>8.6167761952281605</v>
      </c>
      <c r="F4" s="81">
        <f>'CO2 Price Forecasts'!AF13</f>
        <v>10.886328585684478</v>
      </c>
      <c r="G4" s="64"/>
      <c r="H4" s="64"/>
      <c r="I4" s="64"/>
      <c r="J4" s="72">
        <f t="shared" ref="J4:J25" si="0">A4</f>
        <v>2021</v>
      </c>
      <c r="M4" s="64"/>
      <c r="AC4">
        <v>1</v>
      </c>
      <c r="AD4" s="72">
        <f>J4</f>
        <v>2021</v>
      </c>
      <c r="AH4" s="1">
        <f>'CO2 Price Forecasts'!AR13</f>
        <v>74.100308293260639</v>
      </c>
      <c r="AL4" s="1">
        <f>'[1]SCC Update 2023 IRP'!$I8</f>
        <v>73.139745916515409</v>
      </c>
    </row>
    <row r="5" spans="1:41">
      <c r="A5" s="6">
        <v>2022</v>
      </c>
      <c r="B5" s="64">
        <f>AVERAGE('CO2 Price Forecasts'!Y14,'CO2 Price Forecasts'!AA14,'CO2 Price Forecasts'!AF14,'CO2 Price Forecasts'!AG14,'CO2 Price Forecasts'!T14,'CO2 Price Forecasts'!S14)</f>
        <v>11.965327232377756</v>
      </c>
      <c r="C5" s="64">
        <f>AVERAGE('CO2 Price Forecasts'!X14,'CO2 Price Forecasts'!Z14,'CO2 Price Forecasts'!AB14,'CO2 Price Forecasts'!AD14,'CO2 Price Forecasts'!AE14,'CO2 Price Forecasts'!AH14)</f>
        <v>35.913259791085245</v>
      </c>
      <c r="D5" s="64">
        <f>AVERAGE('CO2 Price Forecasts'!Z14,'CO2 Price Forecasts'!AI14)</f>
        <v>54.968600210574252</v>
      </c>
      <c r="E5" s="80">
        <f>AVERAGE('CO2 Price Forecasts'!AA14,'CO2 Price Forecasts'!AF14,'CO2 Price Forecasts'!AG14,'CO2 Price Forecasts'!T14)</f>
        <v>9.3871029765036749</v>
      </c>
      <c r="F5" s="81">
        <f>'CO2 Price Forecasts'!AF14</f>
        <v>11.626598929511022</v>
      </c>
      <c r="G5" s="64"/>
      <c r="H5" s="64"/>
      <c r="I5" s="64"/>
      <c r="J5" s="72">
        <f t="shared" si="0"/>
        <v>2022</v>
      </c>
      <c r="M5" s="64"/>
      <c r="AC5">
        <f>AC4+1</f>
        <v>2</v>
      </c>
      <c r="AD5" s="72">
        <f t="shared" ref="AD5:AD25" si="1">J5</f>
        <v>2022</v>
      </c>
      <c r="AH5" s="1">
        <f>'CO2 Price Forecasts'!AR14</f>
        <v>77.319450800380523</v>
      </c>
      <c r="AL5" s="1">
        <f>'[1]SCC Update 2023 IRP'!$I9</f>
        <v>80.584128795353806</v>
      </c>
    </row>
    <row r="6" spans="1:41">
      <c r="A6" s="6">
        <v>2023</v>
      </c>
      <c r="B6" s="64">
        <f>AVERAGE('CO2 Price Forecasts'!Y15,'CO2 Price Forecasts'!AA15,'CO2 Price Forecasts'!AF15,'CO2 Price Forecasts'!AG15,'CO2 Price Forecasts'!T15,'CO2 Price Forecasts'!S15)</f>
        <v>12.813984582109594</v>
      </c>
      <c r="C6" s="64">
        <f>AVERAGE('CO2 Price Forecasts'!X15,'CO2 Price Forecasts'!Z15,'CO2 Price Forecasts'!AB15,'CO2 Price Forecasts'!AD15,'CO2 Price Forecasts'!AE15,'CO2 Price Forecasts'!AH15)</f>
        <v>38.619512060667795</v>
      </c>
      <c r="D6" s="64">
        <f>AVERAGE('CO2 Price Forecasts'!Z15,'CO2 Price Forecasts'!AI15)</f>
        <v>59.063397023136758</v>
      </c>
      <c r="E6" s="80">
        <f>AVERAGE('CO2 Price Forecasts'!AA15,'CO2 Price Forecasts'!AF15,'CO2 Price Forecasts'!AG15,'CO2 Price Forecasts'!T15)</f>
        <v>10.037609218905926</v>
      </c>
      <c r="F6" s="81">
        <f>'CO2 Price Forecasts'!AF15</f>
        <v>12.417207656717773</v>
      </c>
      <c r="G6" s="64"/>
      <c r="H6" s="64"/>
      <c r="I6" s="64"/>
      <c r="J6" s="72">
        <f t="shared" si="0"/>
        <v>2023</v>
      </c>
      <c r="M6" s="64"/>
      <c r="AC6" s="61">
        <f t="shared" ref="AC6:AC25" si="2">AC5+1</f>
        <v>3</v>
      </c>
      <c r="AD6" s="72">
        <f t="shared" si="1"/>
        <v>2023</v>
      </c>
      <c r="AH6" s="1">
        <f>'CO2 Price Forecasts'!AR15</f>
        <v>80.571670184356748</v>
      </c>
      <c r="AL6" s="1">
        <f>'[1]SCC Update 2023 IRP'!$I10</f>
        <v>84.026832267061991</v>
      </c>
    </row>
    <row r="7" spans="1:41">
      <c r="A7" s="6">
        <v>2024</v>
      </c>
      <c r="B7" s="64">
        <f>AVERAGE('CO2 Price Forecasts'!Y16,'CO2 Price Forecasts'!AA16,'CO2 Price Forecasts'!AF16,'CO2 Price Forecasts'!AG16,'CO2 Price Forecasts'!T16,'CO2 Price Forecasts'!S16)</f>
        <v>13.630496909853306</v>
      </c>
      <c r="C7" s="64">
        <f>AVERAGE('CO2 Price Forecasts'!X16,'CO2 Price Forecasts'!Z16,'CO2 Price Forecasts'!AB16,'CO2 Price Forecasts'!AD16,'CO2 Price Forecasts'!AE16,'CO2 Price Forecasts'!AH16)</f>
        <v>41.357451960231224</v>
      </c>
      <c r="D7" s="64">
        <f>AVERAGE('CO2 Price Forecasts'!Z16,'CO2 Price Forecasts'!AI16)</f>
        <v>62.64635910741444</v>
      </c>
      <c r="E7" s="80">
        <f>AVERAGE('CO2 Price Forecasts'!AA16,'CO2 Price Forecasts'!AF16,'CO2 Price Forecasts'!AG16,'CO2 Price Forecasts'!T16)</f>
        <v>10.609535925791528</v>
      </c>
      <c r="F7" s="81">
        <f>'CO2 Price Forecasts'!AF16</f>
        <v>13.261577777374583</v>
      </c>
      <c r="G7" s="64"/>
      <c r="H7" s="64"/>
      <c r="I7" s="64"/>
      <c r="J7" s="72">
        <f t="shared" si="0"/>
        <v>2024</v>
      </c>
      <c r="M7" s="64"/>
      <c r="AC7" s="61">
        <f t="shared" si="2"/>
        <v>4</v>
      </c>
      <c r="AD7" s="72">
        <f t="shared" si="1"/>
        <v>2024</v>
      </c>
      <c r="AH7" s="1">
        <f>'CO2 Price Forecasts'!AR16</f>
        <v>83.850544128322596</v>
      </c>
      <c r="AL7" s="1">
        <f>'[1]SCC Update 2023 IRP'!$I11</f>
        <v>87.584674161330597</v>
      </c>
    </row>
    <row r="8" spans="1:41">
      <c r="A8" s="6">
        <v>2025</v>
      </c>
      <c r="B8" s="64">
        <f>AVERAGE('CO2 Price Forecasts'!Y17,'CO2 Price Forecasts'!AA17,'CO2 Price Forecasts'!AF17,'CO2 Price Forecasts'!AG17,'CO2 Price Forecasts'!T17,'CO2 Price Forecasts'!S17)</f>
        <v>12.10257387377286</v>
      </c>
      <c r="C8" s="64">
        <f>AVERAGE('CO2 Price Forecasts'!X17,'CO2 Price Forecasts'!Z17,'CO2 Price Forecasts'!AB17,'CO2 Price Forecasts'!AD17,'CO2 Price Forecasts'!AE17,'CO2 Price Forecasts'!AH17)</f>
        <v>44.34269041382138</v>
      </c>
      <c r="D8" s="64">
        <f>AVERAGE('CO2 Price Forecasts'!Z17,'CO2 Price Forecasts'!AI17)</f>
        <v>66.54341308514158</v>
      </c>
      <c r="E8" s="84">
        <f>AVERAGE('CO2 Price Forecasts'!AA17,'CO2 Price Forecasts'!AF17,'CO2 Price Forecasts'!AG17,'CO2 Price Forecasts'!T17)</f>
        <v>11.991103086814089</v>
      </c>
      <c r="F8" s="85">
        <f>'CO2 Price Forecasts'!AF17</f>
        <v>14.163365066236056</v>
      </c>
      <c r="G8" s="64"/>
      <c r="H8" s="64"/>
      <c r="I8" s="71">
        <v>1</v>
      </c>
      <c r="J8" s="72">
        <f t="shared" si="0"/>
        <v>2025</v>
      </c>
      <c r="K8" s="69">
        <f t="shared" ref="K8:K25" si="3">B8</f>
        <v>12.10257387377286</v>
      </c>
      <c r="L8" s="1">
        <f>'CO2 Price Forecasts'!AQ17</f>
        <v>9.9298941093544322</v>
      </c>
      <c r="M8" s="69">
        <f>K8</f>
        <v>12.10257387377286</v>
      </c>
      <c r="O8" s="64">
        <f>K8-L8</f>
        <v>2.1726797644184277</v>
      </c>
      <c r="P8" s="114">
        <f>O8/L8</f>
        <v>0.21880190669623154</v>
      </c>
      <c r="AC8" s="61">
        <f t="shared" si="2"/>
        <v>5</v>
      </c>
      <c r="AD8" s="72">
        <f t="shared" si="1"/>
        <v>2025</v>
      </c>
      <c r="AE8">
        <v>0</v>
      </c>
      <c r="AF8" s="1">
        <f>L8</f>
        <v>9.9298941093544322</v>
      </c>
      <c r="AG8" s="1">
        <f>'CO2 Price Forecasts'!AS17</f>
        <v>22.573976139511714</v>
      </c>
      <c r="AH8" s="1">
        <f>'CO2 Price Forecasts'!AR17</f>
        <v>87.149334996125461</v>
      </c>
      <c r="AI8">
        <f>AE8</f>
        <v>0</v>
      </c>
      <c r="AJ8" s="64">
        <f>M8</f>
        <v>12.10257387377286</v>
      </c>
      <c r="AK8" s="64">
        <f>C8</f>
        <v>44.34269041382138</v>
      </c>
      <c r="AL8" s="1">
        <f>'[1]SCC Update 2023 IRP'!$I12</f>
        <v>91.2611160936288</v>
      </c>
      <c r="AN8" s="64">
        <f>AJ8-AF8</f>
        <v>2.1726797644184277</v>
      </c>
      <c r="AO8" s="64">
        <f>AK8-AG8</f>
        <v>21.768714274309666</v>
      </c>
    </row>
    <row r="9" spans="1:41">
      <c r="A9" s="6">
        <v>2026</v>
      </c>
      <c r="B9" s="64">
        <f>AVERAGE('CO2 Price Forecasts'!Y18,'CO2 Price Forecasts'!AA18,'CO2 Price Forecasts'!AF18,'CO2 Price Forecasts'!AG18,'CO2 Price Forecasts'!T18,'CO2 Price Forecasts'!S18)</f>
        <v>13.060994243066467</v>
      </c>
      <c r="C9" s="64">
        <f>AVERAGE('CO2 Price Forecasts'!X18,'CO2 Price Forecasts'!Z18,'CO2 Price Forecasts'!AB18,'CO2 Price Forecasts'!AD18,'CO2 Price Forecasts'!AE18,'CO2 Price Forecasts'!AH18)</f>
        <v>47.70780155674759</v>
      </c>
      <c r="D9" s="64">
        <f>AVERAGE('CO2 Price Forecasts'!Z18,'CO2 Price Forecasts'!AI18)</f>
        <v>71.216461353147693</v>
      </c>
      <c r="E9" s="80">
        <f>AVERAGE('CO2 Price Forecasts'!AA18,'CO2 Price Forecasts'!AF18,'CO2 Price Forecasts'!AG18,'CO2 Price Forecasts'!T18)</f>
        <v>12.907220174436421</v>
      </c>
      <c r="F9" s="81">
        <f>'CO2 Price Forecasts'!AF18</f>
        <v>15.126473890740108</v>
      </c>
      <c r="G9" s="64"/>
      <c r="H9" s="64"/>
      <c r="I9" s="71">
        <v>2</v>
      </c>
      <c r="J9" s="72">
        <f t="shared" si="0"/>
        <v>2026</v>
      </c>
      <c r="K9" s="69">
        <f t="shared" si="3"/>
        <v>13.060994243066467</v>
      </c>
      <c r="L9" s="1">
        <f>'CO2 Price Forecasts'!AQ18</f>
        <v>11.15226407421596</v>
      </c>
      <c r="M9" s="69">
        <f>K9</f>
        <v>13.060994243066467</v>
      </c>
      <c r="AC9" s="61">
        <f t="shared" si="2"/>
        <v>6</v>
      </c>
      <c r="AD9" s="72">
        <f t="shared" si="1"/>
        <v>2026</v>
      </c>
      <c r="AE9" s="61">
        <v>0</v>
      </c>
      <c r="AF9" s="1">
        <f t="shared" ref="AF9:AF23" si="4">L9</f>
        <v>11.15226407421596</v>
      </c>
      <c r="AG9" s="1">
        <f>'CO2 Price Forecasts'!AS18</f>
        <v>24.932128762521273</v>
      </c>
      <c r="AH9" s="1">
        <f>'CO2 Price Forecasts'!AR18</f>
        <v>90.287992663853572</v>
      </c>
      <c r="AI9" s="61">
        <f t="shared" ref="AI9:AI23" si="5">AE9</f>
        <v>0</v>
      </c>
      <c r="AJ9" s="64">
        <f t="shared" ref="AJ9:AJ25" si="6">M9</f>
        <v>13.060994243066467</v>
      </c>
      <c r="AK9" s="64">
        <f t="shared" ref="AK9:AK25" si="7">C9</f>
        <v>47.70780155674759</v>
      </c>
      <c r="AL9" s="1">
        <f>'[1]SCC Update 2023 IRP'!$I13</f>
        <v>94.845135941878752</v>
      </c>
    </row>
    <row r="10" spans="1:41">
      <c r="A10" s="6">
        <v>2027</v>
      </c>
      <c r="B10" s="64">
        <f>AVERAGE('CO2 Price Forecasts'!Y19,'CO2 Price Forecasts'!AA19,'CO2 Price Forecasts'!AF19,'CO2 Price Forecasts'!AG19,'CO2 Price Forecasts'!T19,'CO2 Price Forecasts'!S19)</f>
        <v>14.134783365263745</v>
      </c>
      <c r="C10" s="64">
        <f>AVERAGE('CO2 Price Forecasts'!X19,'CO2 Price Forecasts'!Z19,'CO2 Price Forecasts'!AB19,'CO2 Price Forecasts'!AD19,'CO2 Price Forecasts'!AE19,'CO2 Price Forecasts'!AH19)</f>
        <v>51.399119279834252</v>
      </c>
      <c r="D10" s="64">
        <f>AVERAGE('CO2 Price Forecasts'!Z19,'CO2 Price Forecasts'!AI19)</f>
        <v>76.303625245574381</v>
      </c>
      <c r="E10" s="80">
        <f>AVERAGE('CO2 Price Forecasts'!AA19,'CO2 Price Forecasts'!AF19,'CO2 Price Forecasts'!AG19,'CO2 Price Forecasts'!T19)</f>
        <v>13.894726971530037</v>
      </c>
      <c r="F10" s="81">
        <f>'CO2 Price Forecasts'!AF19</f>
        <v>16.155074115310434</v>
      </c>
      <c r="G10" s="64"/>
      <c r="H10" s="64"/>
      <c r="I10" s="71">
        <v>3</v>
      </c>
      <c r="J10" s="72">
        <f t="shared" si="0"/>
        <v>2027</v>
      </c>
      <c r="K10" s="69">
        <f t="shared" si="3"/>
        <v>14.134783365263745</v>
      </c>
      <c r="L10" s="1">
        <f>'CO2 Price Forecasts'!AQ19</f>
        <v>12.537375272233584</v>
      </c>
      <c r="M10" s="69">
        <f t="shared" ref="M10:M13" si="8">K10</f>
        <v>14.134783365263745</v>
      </c>
      <c r="AC10" s="61">
        <f t="shared" si="2"/>
        <v>7</v>
      </c>
      <c r="AD10" s="72">
        <f t="shared" si="1"/>
        <v>2027</v>
      </c>
      <c r="AE10" s="61">
        <v>0</v>
      </c>
      <c r="AF10" s="1">
        <f t="shared" si="4"/>
        <v>12.537375272233584</v>
      </c>
      <c r="AG10" s="1">
        <f>'CO2 Price Forecasts'!AS19</f>
        <v>27.5635920978354</v>
      </c>
      <c r="AH10" s="1">
        <f>'CO2 Price Forecasts'!AR19</f>
        <v>93.611637611189636</v>
      </c>
      <c r="AI10" s="61">
        <f t="shared" si="5"/>
        <v>0</v>
      </c>
      <c r="AJ10" s="64">
        <f t="shared" si="6"/>
        <v>14.134783365263745</v>
      </c>
      <c r="AK10" s="64">
        <f t="shared" si="7"/>
        <v>51.399119279834252</v>
      </c>
      <c r="AL10" s="1">
        <f>'[1]SCC Update 2023 IRP'!$I14</f>
        <v>98.545185240189227</v>
      </c>
    </row>
    <row r="11" spans="1:41">
      <c r="A11" s="6">
        <v>2028</v>
      </c>
      <c r="B11" s="64">
        <f>AVERAGE('CO2 Price Forecasts'!Y20,'CO2 Price Forecasts'!AA20,'CO2 Price Forecasts'!AF20,'CO2 Price Forecasts'!AG20,'CO2 Price Forecasts'!T20,'CO2 Price Forecasts'!S20)</f>
        <v>15.359314123755444</v>
      </c>
      <c r="C11" s="64">
        <f>AVERAGE('CO2 Price Forecasts'!X20,'CO2 Price Forecasts'!Z20,'CO2 Price Forecasts'!AB20,'CO2 Price Forecasts'!AD20,'CO2 Price Forecasts'!AE20,'CO2 Price Forecasts'!AH20)</f>
        <v>55.353885917941334</v>
      </c>
      <c r="D11" s="64">
        <f>AVERAGE('CO2 Price Forecasts'!Z20,'CO2 Price Forecasts'!AI20)</f>
        <v>81.423443079818341</v>
      </c>
      <c r="E11" s="80">
        <f>AVERAGE('CO2 Price Forecasts'!AA20,'CO2 Price Forecasts'!AF20,'CO2 Price Forecasts'!AG20,'CO2 Price Forecasts'!T20)</f>
        <v>14.914167008887377</v>
      </c>
      <c r="F11" s="81">
        <f>'CO2 Price Forecasts'!AF20</f>
        <v>17.253619155151547</v>
      </c>
      <c r="G11" s="64"/>
      <c r="H11" s="64"/>
      <c r="I11" s="71">
        <v>4</v>
      </c>
      <c r="J11" s="72">
        <f t="shared" si="0"/>
        <v>2028</v>
      </c>
      <c r="K11" s="69">
        <f t="shared" si="3"/>
        <v>15.359314123755444</v>
      </c>
      <c r="L11" s="1">
        <f>'CO2 Price Forecasts'!AQ20</f>
        <v>14.094517281044997</v>
      </c>
      <c r="M11" s="69">
        <f t="shared" si="8"/>
        <v>15.359314123755444</v>
      </c>
      <c r="AC11" s="61">
        <f t="shared" si="2"/>
        <v>8</v>
      </c>
      <c r="AD11" s="72">
        <f t="shared" si="1"/>
        <v>2028</v>
      </c>
      <c r="AE11" s="61">
        <v>0</v>
      </c>
      <c r="AF11" s="1">
        <f t="shared" si="4"/>
        <v>14.094517281044997</v>
      </c>
      <c r="AG11" s="1">
        <f>'CO2 Price Forecasts'!AS20</f>
        <v>30.472793421391895</v>
      </c>
      <c r="AH11" s="1">
        <f>'CO2 Price Forecasts'!AR20</f>
        <v>97.037823547759174</v>
      </c>
      <c r="AI11" s="61">
        <f t="shared" si="5"/>
        <v>0</v>
      </c>
      <c r="AJ11" s="64">
        <f t="shared" si="6"/>
        <v>15.359314123755444</v>
      </c>
      <c r="AK11" s="64">
        <f t="shared" si="7"/>
        <v>55.353885917941334</v>
      </c>
      <c r="AL11" s="1">
        <f>'[1]SCC Update 2023 IRP'!$I15</f>
        <v>102.36469271195416</v>
      </c>
    </row>
    <row r="12" spans="1:41">
      <c r="A12" s="6">
        <v>2029</v>
      </c>
      <c r="B12" s="64">
        <f>AVERAGE('CO2 Price Forecasts'!Y21,'CO2 Price Forecasts'!AA21,'CO2 Price Forecasts'!AF21,'CO2 Price Forecasts'!AG21,'CO2 Price Forecasts'!T21,'CO2 Price Forecasts'!S21)</f>
        <v>16.91711075587537</v>
      </c>
      <c r="C12" s="64">
        <f>AVERAGE('CO2 Price Forecasts'!X21,'CO2 Price Forecasts'!Z21,'CO2 Price Forecasts'!AB21,'CO2 Price Forecasts'!AD21,'CO2 Price Forecasts'!AE21,'CO2 Price Forecasts'!AH21)</f>
        <v>59.809288222627252</v>
      </c>
      <c r="D12" s="64">
        <f>AVERAGE('CO2 Price Forecasts'!Z21,'CO2 Price Forecasts'!AI21)</f>
        <v>87.498417174440021</v>
      </c>
      <c r="E12" s="80">
        <f>AVERAGE('CO2 Price Forecasts'!AA21,'CO2 Price Forecasts'!AF21,'CO2 Price Forecasts'!AG21,'CO2 Price Forecasts'!T21)</f>
        <v>16.065254175861675</v>
      </c>
      <c r="F12" s="81">
        <f>'CO2 Price Forecasts'!AF21</f>
        <v>18.426865257701852</v>
      </c>
      <c r="G12" s="64"/>
      <c r="H12" s="64"/>
      <c r="I12" s="71">
        <v>5</v>
      </c>
      <c r="J12" s="72">
        <f t="shared" si="0"/>
        <v>2029</v>
      </c>
      <c r="K12" s="69">
        <f t="shared" si="3"/>
        <v>16.91711075587537</v>
      </c>
      <c r="L12" s="1">
        <f>'CO2 Price Forecasts'!AQ21</f>
        <v>15.845056327350784</v>
      </c>
      <c r="M12" s="69">
        <f t="shared" si="8"/>
        <v>16.91711075587537</v>
      </c>
      <c r="AC12" s="61">
        <f t="shared" si="2"/>
        <v>9</v>
      </c>
      <c r="AD12" s="72">
        <f t="shared" si="1"/>
        <v>2029</v>
      </c>
      <c r="AE12" s="61">
        <v>0</v>
      </c>
      <c r="AF12" s="1">
        <f t="shared" si="4"/>
        <v>15.845056327350784</v>
      </c>
      <c r="AG12" s="1">
        <f>'CO2 Price Forecasts'!AS21</f>
        <v>33.689046609267905</v>
      </c>
      <c r="AH12" s="1">
        <f>'CO2 Price Forecasts'!AR21</f>
        <v>100.56945363293396</v>
      </c>
      <c r="AI12" s="61">
        <f t="shared" si="5"/>
        <v>0</v>
      </c>
      <c r="AJ12" s="64">
        <f t="shared" si="6"/>
        <v>16.91711075587537</v>
      </c>
      <c r="AK12" s="64">
        <f t="shared" si="7"/>
        <v>59.809288222627252</v>
      </c>
      <c r="AL12" s="1">
        <f>'[1]SCC Update 2023 IRP'!$I16</f>
        <v>106.30718313408209</v>
      </c>
    </row>
    <row r="13" spans="1:41">
      <c r="A13" s="6">
        <v>2030</v>
      </c>
      <c r="B13" s="64">
        <f>AVERAGE('CO2 Price Forecasts'!Y22,'CO2 Price Forecasts'!AA22,'CO2 Price Forecasts'!AF22,'CO2 Price Forecasts'!AG22,'CO2 Price Forecasts'!T22,'CO2 Price Forecasts'!S22)</f>
        <v>18.581356789505488</v>
      </c>
      <c r="C13" s="64">
        <f>AVERAGE('CO2 Price Forecasts'!X22,'CO2 Price Forecasts'!Z22,'CO2 Price Forecasts'!AB22,'CO2 Price Forecasts'!AD22,'CO2 Price Forecasts'!AE22,'CO2 Price Forecasts'!AH22)</f>
        <v>64.71167946432854</v>
      </c>
      <c r="D13" s="64">
        <f>AVERAGE('CO2 Price Forecasts'!Z22,'CO2 Price Forecasts'!AI22)</f>
        <v>94.16958591437249</v>
      </c>
      <c r="E13" s="80">
        <f>AVERAGE('CO2 Price Forecasts'!AA22,'CO2 Price Forecasts'!AF22,'CO2 Price Forecasts'!AG22,'CO2 Price Forecasts'!T22)</f>
        <v>17.30879046008959</v>
      </c>
      <c r="F13" s="81">
        <f>'CO2 Price Forecasts'!AF22</f>
        <v>19.679892095225579</v>
      </c>
      <c r="G13" s="64"/>
      <c r="H13" s="64"/>
      <c r="I13" s="71">
        <v>6</v>
      </c>
      <c r="J13" s="72">
        <f t="shared" si="0"/>
        <v>2030</v>
      </c>
      <c r="K13" s="69">
        <f t="shared" si="3"/>
        <v>18.581356789505488</v>
      </c>
      <c r="L13" s="1">
        <f>'CO2 Price Forecasts'!AQ22</f>
        <v>17.830441885167836</v>
      </c>
      <c r="M13" s="69">
        <f t="shared" si="8"/>
        <v>18.581356789505488</v>
      </c>
      <c r="AC13" s="61">
        <f t="shared" si="2"/>
        <v>10</v>
      </c>
      <c r="AD13" s="72">
        <f t="shared" si="1"/>
        <v>2030</v>
      </c>
      <c r="AE13" s="61">
        <v>0</v>
      </c>
      <c r="AF13" s="1">
        <f t="shared" si="4"/>
        <v>17.830441885167836</v>
      </c>
      <c r="AG13" s="1">
        <f>'CO2 Price Forecasts'!AS22</f>
        <v>37.281202485896131</v>
      </c>
      <c r="AH13" s="1">
        <f>'CO2 Price Forecasts'!AR22</f>
        <v>104.31147538685937</v>
      </c>
      <c r="AI13" s="61">
        <f t="shared" si="5"/>
        <v>0</v>
      </c>
      <c r="AJ13" s="64">
        <f t="shared" si="6"/>
        <v>18.581356789505488</v>
      </c>
      <c r="AK13" s="64">
        <f t="shared" si="7"/>
        <v>64.71167946432854</v>
      </c>
      <c r="AL13" s="1">
        <f>'[1]SCC Update 2023 IRP'!$I17</f>
        <v>110.37627993511623</v>
      </c>
    </row>
    <row r="14" spans="1:41">
      <c r="A14" s="6">
        <v>2031</v>
      </c>
      <c r="B14" s="64">
        <f>AVERAGE('CO2 Price Forecasts'!Y23,'CO2 Price Forecasts'!AA23,'CO2 Price Forecasts'!AF23,'CO2 Price Forecasts'!AG23,'CO2 Price Forecasts'!T23,'CO2 Price Forecasts'!S23)</f>
        <v>20.380264870338547</v>
      </c>
      <c r="C14" s="64">
        <f>AVERAGE('CO2 Price Forecasts'!X23,'CO2 Price Forecasts'!Z23,'CO2 Price Forecasts'!AB23,'CO2 Price Forecasts'!AD23,'CO2 Price Forecasts'!AE23,'CO2 Price Forecasts'!AH23)</f>
        <v>69.633042632079039</v>
      </c>
      <c r="D14" s="64">
        <f>AVERAGE('CO2 Price Forecasts'!Z23,'CO2 Price Forecasts'!AI23)</f>
        <v>101.55313420613294</v>
      </c>
      <c r="E14" s="80">
        <f>AVERAGE('CO2 Price Forecasts'!AA23,'CO2 Price Forecasts'!AF23,'CO2 Price Forecasts'!AG23,'CO2 Price Forecasts'!T23)</f>
        <v>18.682905266059372</v>
      </c>
      <c r="F14" s="81">
        <f>'CO2 Price Forecasts'!AF23</f>
        <v>21.018124757700921</v>
      </c>
      <c r="G14" s="64"/>
      <c r="H14" s="64"/>
      <c r="I14" s="71">
        <v>7</v>
      </c>
      <c r="J14" s="72">
        <f t="shared" si="0"/>
        <v>2031</v>
      </c>
      <c r="K14" s="64">
        <f t="shared" si="3"/>
        <v>20.380264870338547</v>
      </c>
      <c r="L14" s="1">
        <f>'CO2 Price Forecasts'!AQ23</f>
        <v>20.064596253379367</v>
      </c>
      <c r="M14" s="73">
        <f t="shared" ref="M14:M25" si="9">M13*(1+M$35)</f>
        <v>20.571467170954676</v>
      </c>
      <c r="N14" t="s">
        <v>54</v>
      </c>
      <c r="AC14" s="61">
        <f t="shared" si="2"/>
        <v>11</v>
      </c>
      <c r="AD14" s="72">
        <f t="shared" si="1"/>
        <v>2031</v>
      </c>
      <c r="AE14" s="61">
        <v>0</v>
      </c>
      <c r="AF14" s="1">
        <f t="shared" si="4"/>
        <v>20.064596253379367</v>
      </c>
      <c r="AG14" s="1">
        <f>'CO2 Price Forecasts'!AS23</f>
        <v>41.256378517165501</v>
      </c>
      <c r="AH14" s="1">
        <f>'CO2 Price Forecasts'!AR23</f>
        <v>108.17242890049356</v>
      </c>
      <c r="AI14" s="61">
        <f t="shared" si="5"/>
        <v>0</v>
      </c>
      <c r="AJ14" s="64">
        <f t="shared" si="6"/>
        <v>20.571467170954676</v>
      </c>
      <c r="AK14" s="64">
        <f t="shared" si="7"/>
        <v>69.633042632079039</v>
      </c>
      <c r="AL14" s="1">
        <f>'[1]SCC Update 2023 IRP'!$I18</f>
        <v>114.33550721649391</v>
      </c>
    </row>
    <row r="15" spans="1:41">
      <c r="A15" s="6">
        <v>2032</v>
      </c>
      <c r="B15" s="64">
        <f>AVERAGE('CO2 Price Forecasts'!Y24,'CO2 Price Forecasts'!AA24,'CO2 Price Forecasts'!AF24,'CO2 Price Forecasts'!AG24,'CO2 Price Forecasts'!T24,'CO2 Price Forecasts'!S24)</f>
        <v>22.306603726330437</v>
      </c>
      <c r="C15" s="64">
        <f>AVERAGE('CO2 Price Forecasts'!X24,'CO2 Price Forecasts'!Z24,'CO2 Price Forecasts'!AB24,'CO2 Price Forecasts'!AD24,'CO2 Price Forecasts'!AE24,'CO2 Price Forecasts'!AH24)</f>
        <v>75.043852280611375</v>
      </c>
      <c r="D15" s="64">
        <f>AVERAGE('CO2 Price Forecasts'!Z24,'CO2 Price Forecasts'!AI24)</f>
        <v>109.70279825291199</v>
      </c>
      <c r="E15" s="80">
        <f>AVERAGE('CO2 Price Forecasts'!AA24,'CO2 Price Forecasts'!AF24,'CO2 Price Forecasts'!AG24,'CO2 Price Forecasts'!T24)</f>
        <v>20.171044031810347</v>
      </c>
      <c r="F15" s="81">
        <f>'CO2 Price Forecasts'!AF24</f>
        <v>22.447357241224584</v>
      </c>
      <c r="G15" s="64"/>
      <c r="H15" s="64"/>
      <c r="I15" s="71">
        <v>8</v>
      </c>
      <c r="J15" s="72">
        <f t="shared" si="0"/>
        <v>2032</v>
      </c>
      <c r="K15" s="64">
        <f t="shared" si="3"/>
        <v>22.306603726330437</v>
      </c>
      <c r="L15" s="1">
        <f>'CO2 Price Forecasts'!AQ24</f>
        <v>22.578690163927799</v>
      </c>
      <c r="M15" s="73">
        <f t="shared" si="9"/>
        <v>22.774723415497601</v>
      </c>
      <c r="AC15" s="61">
        <f t="shared" si="2"/>
        <v>12</v>
      </c>
      <c r="AD15" s="72">
        <f t="shared" si="1"/>
        <v>2032</v>
      </c>
      <c r="AE15" s="61">
        <v>0</v>
      </c>
      <c r="AF15" s="1">
        <f t="shared" si="4"/>
        <v>22.578690163927799</v>
      </c>
      <c r="AG15" s="1">
        <f>'CO2 Price Forecasts'!AS24</f>
        <v>45.655414923795789</v>
      </c>
      <c r="AH15" s="1">
        <f>'CO2 Price Forecasts'!AR24</f>
        <v>112.15580550527523</v>
      </c>
      <c r="AI15" s="61">
        <f t="shared" si="5"/>
        <v>0</v>
      </c>
      <c r="AJ15" s="64">
        <f t="shared" si="6"/>
        <v>22.774723415497601</v>
      </c>
      <c r="AK15" s="64">
        <f t="shared" si="7"/>
        <v>75.043852280611375</v>
      </c>
      <c r="AL15" s="1">
        <f>'[1]SCC Update 2023 IRP'!$I19</f>
        <v>118.41793499050965</v>
      </c>
    </row>
    <row r="16" spans="1:41">
      <c r="A16" s="6">
        <v>2033</v>
      </c>
      <c r="B16" s="64">
        <f>AVERAGE('CO2 Price Forecasts'!Y25,'CO2 Price Forecasts'!AA25,'CO2 Price Forecasts'!AF25,'CO2 Price Forecasts'!AG25,'CO2 Price Forecasts'!T25,'CO2 Price Forecasts'!S25)</f>
        <v>24.362043642300758</v>
      </c>
      <c r="C16" s="64">
        <f>AVERAGE('CO2 Price Forecasts'!X25,'CO2 Price Forecasts'!Z25,'CO2 Price Forecasts'!AB25,'CO2 Price Forecasts'!AD25,'CO2 Price Forecasts'!AE25,'CO2 Price Forecasts'!AH25)</f>
        <v>80.995518763554884</v>
      </c>
      <c r="D16" s="64">
        <f>AVERAGE('CO2 Price Forecasts'!Z25,'CO2 Price Forecasts'!AI25)</f>
        <v>118.72086853149787</v>
      </c>
      <c r="E16" s="80">
        <f>AVERAGE('CO2 Price Forecasts'!AA25,'CO2 Price Forecasts'!AF25,'CO2 Price Forecasts'!AG25,'CO2 Price Forecasts'!T25)</f>
        <v>21.778416305849021</v>
      </c>
      <c r="F16" s="81">
        <f>'CO2 Price Forecasts'!AF25</f>
        <v>23.97377753362786</v>
      </c>
      <c r="G16" s="64"/>
      <c r="H16" s="64"/>
      <c r="I16" s="71">
        <v>9</v>
      </c>
      <c r="J16" s="72">
        <f t="shared" si="0"/>
        <v>2033</v>
      </c>
      <c r="K16" s="64">
        <f t="shared" si="3"/>
        <v>24.362043642300758</v>
      </c>
      <c r="L16" s="1">
        <f>'CO2 Price Forecasts'!AQ25</f>
        <v>25.407800041467951</v>
      </c>
      <c r="M16" s="73">
        <f t="shared" si="9"/>
        <v>25.213953985001233</v>
      </c>
      <c r="AC16" s="61">
        <f t="shared" si="2"/>
        <v>13</v>
      </c>
      <c r="AD16" s="72">
        <f t="shared" si="1"/>
        <v>2033</v>
      </c>
      <c r="AE16" s="61">
        <v>0</v>
      </c>
      <c r="AF16" s="1">
        <f t="shared" si="4"/>
        <v>25.407800041467951</v>
      </c>
      <c r="AG16" s="1">
        <f>'CO2 Price Forecasts'!AS25</f>
        <v>50.523506589331248</v>
      </c>
      <c r="AH16" s="1">
        <f>'CO2 Price Forecasts'!AR25</f>
        <v>116.2651942189885</v>
      </c>
      <c r="AI16" s="61">
        <f t="shared" si="5"/>
        <v>0</v>
      </c>
      <c r="AJ16" s="64">
        <f t="shared" si="6"/>
        <v>25.213953985001233</v>
      </c>
      <c r="AK16" s="64">
        <f t="shared" si="7"/>
        <v>80.995518763554884</v>
      </c>
      <c r="AL16" s="1">
        <f>'[1]SCC Update 2023 IRP'!$I20</f>
        <v>122.62712389599274</v>
      </c>
    </row>
    <row r="17" spans="1:38">
      <c r="A17" s="6">
        <v>2034</v>
      </c>
      <c r="B17" s="64">
        <f>AVERAGE('CO2 Price Forecasts'!Y26,'CO2 Price Forecasts'!AA26,'CO2 Price Forecasts'!AF26,'CO2 Price Forecasts'!AG26,'CO2 Price Forecasts'!T26,'CO2 Price Forecasts'!S26)</f>
        <v>26.566118911523457</v>
      </c>
      <c r="C17" s="64">
        <f>AVERAGE('CO2 Price Forecasts'!X26,'CO2 Price Forecasts'!Z26,'CO2 Price Forecasts'!AB26,'CO2 Price Forecasts'!AD26,'CO2 Price Forecasts'!AE26,'CO2 Price Forecasts'!AH26)</f>
        <v>87.553255511065615</v>
      </c>
      <c r="D17" s="64">
        <f>AVERAGE('CO2 Price Forecasts'!Z26,'CO2 Price Forecasts'!AI26)</f>
        <v>128.72476822145873</v>
      </c>
      <c r="E17" s="80">
        <f>AVERAGE('CO2 Price Forecasts'!AA26,'CO2 Price Forecasts'!AF26,'CO2 Price Forecasts'!AG26,'CO2 Price Forecasts'!T26)</f>
        <v>23.519863625580076</v>
      </c>
      <c r="F17" s="81">
        <f>'CO2 Price Forecasts'!AF26</f>
        <v>25.603994405914555</v>
      </c>
      <c r="G17" s="64"/>
      <c r="H17" s="64"/>
      <c r="I17" s="71">
        <v>10</v>
      </c>
      <c r="J17" s="72">
        <f t="shared" si="0"/>
        <v>2034</v>
      </c>
      <c r="K17" s="64">
        <f t="shared" si="3"/>
        <v>26.566118911523457</v>
      </c>
      <c r="L17" s="1">
        <f>'CO2 Price Forecasts'!AQ26</f>
        <v>28.591397386663886</v>
      </c>
      <c r="M17" s="73">
        <f t="shared" si="9"/>
        <v>27.914432327426329</v>
      </c>
      <c r="AC17" s="61">
        <f t="shared" si="2"/>
        <v>14</v>
      </c>
      <c r="AD17" s="72">
        <f t="shared" si="1"/>
        <v>2034</v>
      </c>
      <c r="AE17" s="61">
        <v>0</v>
      </c>
      <c r="AF17" s="1">
        <f t="shared" si="4"/>
        <v>28.591397386663886</v>
      </c>
      <c r="AG17" s="1">
        <f>'CO2 Price Forecasts'!AS26</f>
        <v>55.910667383985597</v>
      </c>
      <c r="AH17" s="1">
        <f>'CO2 Price Forecasts'!AR26</f>
        <v>120.50428439242027</v>
      </c>
      <c r="AI17" s="61">
        <f t="shared" si="5"/>
        <v>0</v>
      </c>
      <c r="AJ17" s="64">
        <f t="shared" si="6"/>
        <v>27.914432327426329</v>
      </c>
      <c r="AK17" s="64">
        <f t="shared" si="7"/>
        <v>87.553255511065615</v>
      </c>
      <c r="AL17" s="1">
        <f>'[1]SCC Update 2023 IRP'!$I21</f>
        <v>126.96673291200845</v>
      </c>
    </row>
    <row r="18" spans="1:38">
      <c r="A18" s="6">
        <v>2035</v>
      </c>
      <c r="B18" s="64">
        <f>AVERAGE('CO2 Price Forecasts'!Y27,'CO2 Price Forecasts'!AA27,'CO2 Price Forecasts'!AF27,'CO2 Price Forecasts'!AG27,'CO2 Price Forecasts'!T27,'CO2 Price Forecasts'!S27)</f>
        <v>28.929213751916425</v>
      </c>
      <c r="C18" s="64">
        <f>AVERAGE('CO2 Price Forecasts'!X27,'CO2 Price Forecasts'!Z27,'CO2 Price Forecasts'!AB27,'CO2 Price Forecasts'!AD27,'CO2 Price Forecasts'!AE27,'CO2 Price Forecasts'!AH27)</f>
        <v>94.792824998618286</v>
      </c>
      <c r="D18" s="64">
        <f>AVERAGE('CO2 Price Forecasts'!Z27,'CO2 Price Forecasts'!AI27)</f>
        <v>139.8462831805773</v>
      </c>
      <c r="E18" s="80">
        <f>AVERAGE('CO2 Price Forecasts'!AA27,'CO2 Price Forecasts'!AF27,'CO2 Price Forecasts'!AG27,'CO2 Price Forecasts'!T27)</f>
        <v>25.410314381464595</v>
      </c>
      <c r="F18" s="81">
        <f>'CO2 Price Forecasts'!AF27</f>
        <v>27.345066025516743</v>
      </c>
      <c r="G18" s="64"/>
      <c r="H18" s="64"/>
      <c r="I18" s="71">
        <v>11</v>
      </c>
      <c r="J18" s="72">
        <f t="shared" si="0"/>
        <v>2035</v>
      </c>
      <c r="K18" s="64">
        <f t="shared" si="3"/>
        <v>28.929213751916425</v>
      </c>
      <c r="L18" s="1">
        <f>'CO2 Price Forecasts'!AQ27</f>
        <v>32.14244894208754</v>
      </c>
      <c r="M18" s="73">
        <f t="shared" si="9"/>
        <v>30.904138741031577</v>
      </c>
      <c r="AC18" s="61">
        <f t="shared" si="2"/>
        <v>15</v>
      </c>
      <c r="AD18" s="72">
        <f t="shared" si="1"/>
        <v>2035</v>
      </c>
      <c r="AE18" s="61">
        <v>0</v>
      </c>
      <c r="AF18" s="1">
        <f t="shared" si="4"/>
        <v>32.14244894208754</v>
      </c>
      <c r="AG18" s="1">
        <f>'CO2 Price Forecasts'!AS27</f>
        <v>61.811762820933083</v>
      </c>
      <c r="AH18" s="1">
        <f>'CO2 Price Forecasts'!AR27</f>
        <v>124.7547991509893</v>
      </c>
      <c r="AI18" s="61">
        <f t="shared" si="5"/>
        <v>0</v>
      </c>
      <c r="AJ18" s="64">
        <f t="shared" si="6"/>
        <v>30.904138741031577</v>
      </c>
      <c r="AK18" s="64">
        <f t="shared" si="7"/>
        <v>94.792824998618286</v>
      </c>
      <c r="AL18" s="1">
        <f>'[1]SCC Update 2023 IRP'!$I22</f>
        <v>131.44052199165861</v>
      </c>
    </row>
    <row r="19" spans="1:38">
      <c r="A19" s="6">
        <v>2036</v>
      </c>
      <c r="B19" s="64">
        <f>AVERAGE('CO2 Price Forecasts'!Y28,'CO2 Price Forecasts'!AA28,'CO2 Price Forecasts'!AF28,'CO2 Price Forecasts'!AG28,'CO2 Price Forecasts'!T28,'CO2 Price Forecasts'!S28)</f>
        <v>31.464337188343283</v>
      </c>
      <c r="C19" s="64">
        <f>AVERAGE('CO2 Price Forecasts'!X28,'CO2 Price Forecasts'!Z28,'CO2 Price Forecasts'!AB28,'CO2 Price Forecasts'!AD28,'CO2 Price Forecasts'!AE28,'CO2 Price Forecasts'!AH28)</f>
        <v>99.392797390118389</v>
      </c>
      <c r="D19" s="64">
        <f>AVERAGE('CO2 Price Forecasts'!Z28,'CO2 Price Forecasts'!AI28)</f>
        <v>145.81239227861278</v>
      </c>
      <c r="E19" s="80">
        <f>AVERAGE('CO2 Price Forecasts'!AA28,'CO2 Price Forecasts'!AF28,'CO2 Price Forecasts'!AG28,'CO2 Price Forecasts'!T28)</f>
        <v>27.463305997347806</v>
      </c>
      <c r="F19" s="81">
        <f>'CO2 Price Forecasts'!AF28</f>
        <v>29.204530515251886</v>
      </c>
      <c r="G19" s="64"/>
      <c r="H19" s="64"/>
      <c r="I19" s="71">
        <v>12</v>
      </c>
      <c r="J19" s="72">
        <f t="shared" si="0"/>
        <v>2036</v>
      </c>
      <c r="K19" s="64">
        <f t="shared" si="3"/>
        <v>31.464337188343283</v>
      </c>
      <c r="L19" s="1">
        <f>'CO2 Price Forecasts'!AQ28</f>
        <v>36.134541100694811</v>
      </c>
      <c r="M19" s="73">
        <f t="shared" si="9"/>
        <v>34.214050284897354</v>
      </c>
      <c r="T19" t="s">
        <v>70</v>
      </c>
      <c r="AC19" s="61">
        <f t="shared" si="2"/>
        <v>16</v>
      </c>
      <c r="AD19" s="72">
        <f t="shared" si="1"/>
        <v>2036</v>
      </c>
      <c r="AE19" s="61">
        <v>0</v>
      </c>
      <c r="AF19" s="1">
        <f t="shared" si="4"/>
        <v>36.134541100694811</v>
      </c>
      <c r="AG19" s="1">
        <f>'CO2 Price Forecasts'!AS28</f>
        <v>68.335689803009572</v>
      </c>
      <c r="AH19" s="1">
        <f>'CO2 Price Forecasts'!AR28</f>
        <v>129.46093403588512</v>
      </c>
      <c r="AI19" s="61">
        <f t="shared" si="5"/>
        <v>0</v>
      </c>
      <c r="AJ19" s="64">
        <f t="shared" si="6"/>
        <v>34.214050284897354</v>
      </c>
      <c r="AK19" s="64">
        <f t="shared" si="7"/>
        <v>99.392797390118389</v>
      </c>
      <c r="AL19" s="1">
        <f>'[1]SCC Update 2023 IRP'!$I23</f>
        <v>136.59011110781677</v>
      </c>
    </row>
    <row r="20" spans="1:38">
      <c r="A20" s="6">
        <v>2037</v>
      </c>
      <c r="B20" s="64">
        <f>AVERAGE('CO2 Price Forecasts'!Y29,'CO2 Price Forecasts'!AA29,'CO2 Price Forecasts'!AF29,'CO2 Price Forecasts'!AG29,'CO2 Price Forecasts'!T29,'CO2 Price Forecasts'!S29)</f>
        <v>34.225699145951609</v>
      </c>
      <c r="C20" s="64">
        <f>AVERAGE('CO2 Price Forecasts'!X29,'CO2 Price Forecasts'!Z29,'CO2 Price Forecasts'!AB29,'CO2 Price Forecasts'!AD29,'CO2 Price Forecasts'!AE29,'CO2 Price Forecasts'!AH29)</f>
        <v>104.33945704746002</v>
      </c>
      <c r="D20" s="64">
        <f>AVERAGE('CO2 Price Forecasts'!Z29,'CO2 Price Forecasts'!AI29)</f>
        <v>152.49021065115801</v>
      </c>
      <c r="E20" s="80">
        <f>AVERAGE('CO2 Price Forecasts'!AA29,'CO2 Price Forecasts'!AF29,'CO2 Price Forecasts'!AG29,'CO2 Price Forecasts'!T29)</f>
        <v>29.754788257745503</v>
      </c>
      <c r="F20" s="81">
        <f>'CO2 Price Forecasts'!AF29</f>
        <v>31.190438590289013</v>
      </c>
      <c r="G20" s="64"/>
      <c r="H20" s="64"/>
      <c r="I20" s="71">
        <v>13</v>
      </c>
      <c r="J20" s="72">
        <f t="shared" si="0"/>
        <v>2037</v>
      </c>
      <c r="K20" s="64">
        <f t="shared" si="3"/>
        <v>34.225699145951609</v>
      </c>
      <c r="L20" s="1">
        <f>'CO2 Price Forecasts'!AQ29</f>
        <v>40.662199100611872</v>
      </c>
      <c r="M20" s="73">
        <f t="shared" si="9"/>
        <v>37.878461739600972</v>
      </c>
      <c r="AC20" s="61">
        <f t="shared" si="2"/>
        <v>17</v>
      </c>
      <c r="AD20" s="72">
        <f t="shared" si="1"/>
        <v>2037</v>
      </c>
      <c r="AE20" s="61">
        <v>0</v>
      </c>
      <c r="AF20" s="1">
        <f t="shared" si="4"/>
        <v>40.662199100611872</v>
      </c>
      <c r="AG20" s="1">
        <f>'CO2 Price Forecasts'!AS29</f>
        <v>75.622107033997466</v>
      </c>
      <c r="AH20" s="1">
        <f>'CO2 Price Forecasts'!AR29</f>
        <v>134.44517999626666</v>
      </c>
      <c r="AI20" s="61">
        <f t="shared" si="5"/>
        <v>0</v>
      </c>
      <c r="AJ20" s="64">
        <f t="shared" si="6"/>
        <v>37.878461739600972</v>
      </c>
      <c r="AK20" s="64">
        <f t="shared" si="7"/>
        <v>104.33945704746002</v>
      </c>
      <c r="AL20" s="1">
        <f>'[1]SCC Update 2023 IRP'!$I24</f>
        <v>141.90624975971565</v>
      </c>
    </row>
    <row r="21" spans="1:38">
      <c r="A21" s="6">
        <v>2038</v>
      </c>
      <c r="B21" s="64">
        <f>AVERAGE('CO2 Price Forecasts'!Y30,'CO2 Price Forecasts'!AA30,'CO2 Price Forecasts'!AF30,'CO2 Price Forecasts'!AG30,'CO2 Price Forecasts'!T30,'CO2 Price Forecasts'!S30)</f>
        <v>37.152395544649877</v>
      </c>
      <c r="C21" s="64">
        <f>AVERAGE('CO2 Price Forecasts'!X30,'CO2 Price Forecasts'!Z30,'CO2 Price Forecasts'!AB30,'CO2 Price Forecasts'!AD30,'CO2 Price Forecasts'!AE30,'CO2 Price Forecasts'!AH30)</f>
        <v>109.41564583267863</v>
      </c>
      <c r="D21" s="64">
        <f>AVERAGE('CO2 Price Forecasts'!Z30,'CO2 Price Forecasts'!AI30)</f>
        <v>158.90586412651277</v>
      </c>
      <c r="E21" s="80">
        <f>AVERAGE('CO2 Price Forecasts'!AA30,'CO2 Price Forecasts'!AF30,'CO2 Price Forecasts'!AG30,'CO2 Price Forecasts'!T30)</f>
        <v>32.186771131144042</v>
      </c>
      <c r="F21" s="81">
        <f>'CO2 Price Forecasts'!AF30</f>
        <v>33.31138841442867</v>
      </c>
      <c r="G21" s="64"/>
      <c r="H21" s="64"/>
      <c r="I21" s="71">
        <v>14</v>
      </c>
      <c r="J21" s="72">
        <f t="shared" si="0"/>
        <v>2038</v>
      </c>
      <c r="K21" s="64">
        <f t="shared" si="3"/>
        <v>37.152395544649877</v>
      </c>
      <c r="L21" s="1">
        <f>'CO2 Price Forecasts'!AQ30</f>
        <v>45.757172647918537</v>
      </c>
      <c r="M21" s="73">
        <f t="shared" si="9"/>
        <v>41.93534094359326</v>
      </c>
      <c r="AC21" s="61">
        <f t="shared" si="2"/>
        <v>18</v>
      </c>
      <c r="AD21" s="72">
        <f t="shared" si="1"/>
        <v>2038</v>
      </c>
      <c r="AE21" s="61">
        <v>0</v>
      </c>
      <c r="AF21" s="1">
        <f t="shared" si="4"/>
        <v>45.757172647918537</v>
      </c>
      <c r="AG21" s="1">
        <f>'CO2 Price Forecasts'!AS30</f>
        <v>83.685451756565342</v>
      </c>
      <c r="AH21" s="1">
        <f>'CO2 Price Forecasts'!AR30</f>
        <v>139.59021643672079</v>
      </c>
      <c r="AI21" s="61">
        <f t="shared" si="5"/>
        <v>0</v>
      </c>
      <c r="AJ21" s="64">
        <f t="shared" si="6"/>
        <v>41.93534094359326</v>
      </c>
      <c r="AK21" s="64">
        <f t="shared" si="7"/>
        <v>109.41564583267863</v>
      </c>
      <c r="AL21" s="1">
        <f>'[1]SCC Update 2023 IRP'!$I25</f>
        <v>147.3938569288203</v>
      </c>
    </row>
    <row r="22" spans="1:38">
      <c r="A22" s="6">
        <v>2039</v>
      </c>
      <c r="B22" s="64">
        <f>AVERAGE('CO2 Price Forecasts'!Y31,'CO2 Price Forecasts'!AA31,'CO2 Price Forecasts'!AF31,'CO2 Price Forecasts'!AG31,'CO2 Price Forecasts'!T31,'CO2 Price Forecasts'!S31)</f>
        <v>40.30074817081573</v>
      </c>
      <c r="C22" s="64">
        <f>AVERAGE('CO2 Price Forecasts'!X31,'CO2 Price Forecasts'!Z31,'CO2 Price Forecasts'!AB31,'CO2 Price Forecasts'!AD31,'CO2 Price Forecasts'!AE31,'CO2 Price Forecasts'!AH31)</f>
        <v>114.74921797140554</v>
      </c>
      <c r="D22" s="64">
        <f>AVERAGE('CO2 Price Forecasts'!Z31,'CO2 Price Forecasts'!AI31)</f>
        <v>165.55533635629871</v>
      </c>
      <c r="E22" s="80">
        <f>AVERAGE('CO2 Price Forecasts'!AA31,'CO2 Price Forecasts'!AF31,'CO2 Price Forecasts'!AG31,'CO2 Price Forecasts'!T31)</f>
        <v>34.837383041397146</v>
      </c>
      <c r="F22" s="81">
        <f>'CO2 Price Forecasts'!AF31</f>
        <v>35.576562826609816</v>
      </c>
      <c r="G22" s="64"/>
      <c r="H22" s="64"/>
      <c r="I22" s="71">
        <v>15</v>
      </c>
      <c r="J22" s="72">
        <f t="shared" si="0"/>
        <v>2039</v>
      </c>
      <c r="K22" s="64">
        <f t="shared" si="3"/>
        <v>40.30074817081573</v>
      </c>
      <c r="L22" s="1">
        <f>'CO2 Price Forecasts'!AQ31</f>
        <v>51.490546380702732</v>
      </c>
      <c r="M22" s="73">
        <f t="shared" si="9"/>
        <v>46.426722187001225</v>
      </c>
      <c r="AC22" s="61">
        <f t="shared" si="2"/>
        <v>19</v>
      </c>
      <c r="AD22" s="72">
        <f t="shared" si="1"/>
        <v>2039</v>
      </c>
      <c r="AE22" s="61">
        <v>0</v>
      </c>
      <c r="AF22" s="1">
        <f t="shared" si="4"/>
        <v>51.490546380702732</v>
      </c>
      <c r="AG22" s="1">
        <f>'CO2 Price Forecasts'!AS31</f>
        <v>92.608565277769472</v>
      </c>
      <c r="AH22" s="1">
        <f>'CO2 Price Forecasts'!AR31</f>
        <v>144.90080305321777</v>
      </c>
      <c r="AI22" s="61">
        <f t="shared" si="5"/>
        <v>0</v>
      </c>
      <c r="AJ22" s="64">
        <f t="shared" si="6"/>
        <v>46.426722187001225</v>
      </c>
      <c r="AK22" s="64">
        <f t="shared" si="7"/>
        <v>114.74921797140554</v>
      </c>
      <c r="AL22" s="1">
        <f>'[1]SCC Update 2023 IRP'!$I26</f>
        <v>153.05798935236405</v>
      </c>
    </row>
    <row r="23" spans="1:38">
      <c r="A23" s="6">
        <v>2040</v>
      </c>
      <c r="B23" s="64">
        <f>AVERAGE('CO2 Price Forecasts'!Y32,'CO2 Price Forecasts'!AA32,'CO2 Price Forecasts'!AF32,'CO2 Price Forecasts'!AG32,'CO2 Price Forecasts'!T32,'CO2 Price Forecasts'!S32)</f>
        <v>43.732022380869914</v>
      </c>
      <c r="C23" s="64">
        <f>AVERAGE('CO2 Price Forecasts'!X32,'CO2 Price Forecasts'!Z32,'CO2 Price Forecasts'!AB32,'CO2 Price Forecasts'!AD32,'CO2 Price Forecasts'!AE32,'CO2 Price Forecasts'!AH32)</f>
        <v>120.47705154422327</v>
      </c>
      <c r="D23" s="64">
        <f>AVERAGE('CO2 Price Forecasts'!Z32,'CO2 Price Forecasts'!AI32)</f>
        <v>172.96461567077915</v>
      </c>
      <c r="E23" s="80">
        <f>AVERAGE('CO2 Price Forecasts'!AA32,'CO2 Price Forecasts'!AF32,'CO2 Price Forecasts'!AG32,'CO2 Price Forecasts'!T32)</f>
        <v>37.791964710022405</v>
      </c>
      <c r="F23" s="81">
        <f>'CO2 Price Forecasts'!AF32</f>
        <v>37.995769098819288</v>
      </c>
      <c r="G23" s="64"/>
      <c r="H23" s="64"/>
      <c r="I23" s="71">
        <v>16</v>
      </c>
      <c r="J23" s="72">
        <f t="shared" si="0"/>
        <v>2040</v>
      </c>
      <c r="K23" s="64">
        <f t="shared" si="3"/>
        <v>43.732022380869914</v>
      </c>
      <c r="L23" s="1">
        <f>'CO2 Price Forecasts'!AQ32</f>
        <v>57.942311842204781</v>
      </c>
      <c r="M23" s="73">
        <f t="shared" si="9"/>
        <v>51.399141738903467</v>
      </c>
      <c r="O23" s="61"/>
      <c r="AC23" s="61">
        <f t="shared" si="2"/>
        <v>20</v>
      </c>
      <c r="AD23" s="72">
        <f t="shared" si="1"/>
        <v>2040</v>
      </c>
      <c r="AE23" s="61">
        <v>0</v>
      </c>
      <c r="AF23" s="1">
        <f t="shared" si="4"/>
        <v>57.942311842204781</v>
      </c>
      <c r="AG23" s="1">
        <f>'CO2 Price Forecasts'!AS32</f>
        <v>102.48312200972319</v>
      </c>
      <c r="AH23" s="1">
        <f>'CO2 Price Forecasts'!AR32</f>
        <v>150.38183342957865</v>
      </c>
      <c r="AI23" s="61">
        <f t="shared" si="5"/>
        <v>0</v>
      </c>
      <c r="AJ23" s="64">
        <f t="shared" si="6"/>
        <v>51.399141738903467</v>
      </c>
      <c r="AK23" s="64">
        <f t="shared" si="7"/>
        <v>120.47705154422327</v>
      </c>
      <c r="AL23" s="1">
        <f>'[1]SCC Update 2023 IRP'!$I27</f>
        <v>158.90384524859741</v>
      </c>
    </row>
    <row r="24" spans="1:38">
      <c r="A24" s="6">
        <v>2041</v>
      </c>
      <c r="B24" s="64">
        <f>AVERAGE('CO2 Price Forecasts'!Y33,'CO2 Price Forecasts'!AA33,'CO2 Price Forecasts'!AF33,'CO2 Price Forecasts'!AG33,'CO2 Price Forecasts'!T33,'CO2 Price Forecasts'!S33)</f>
        <v>47.56649592840045</v>
      </c>
      <c r="C24" s="64">
        <f>AVERAGE('CO2 Price Forecasts'!X33,'CO2 Price Forecasts'!Z33,'CO2 Price Forecasts'!AB33,'CO2 Price Forecasts'!AD33,'CO2 Price Forecasts'!AE33,'CO2 Price Forecasts'!AH33)</f>
        <v>126.37361306533496</v>
      </c>
      <c r="D24" s="64">
        <f>AVERAGE('CO2 Price Forecasts'!Z33,'CO2 Price Forecasts'!AI33)</f>
        <v>180.09739802515577</v>
      </c>
      <c r="E24" s="80">
        <f>AVERAGE('CO2 Price Forecasts'!AA33,'CO2 Price Forecasts'!AF33,'CO2 Price Forecasts'!AG33,'CO2 Price Forecasts'!T33)</f>
        <v>40.976638394744654</v>
      </c>
      <c r="F24" s="81">
        <f>'CO2 Price Forecasts'!AF33</f>
        <v>40.579481397538999</v>
      </c>
      <c r="G24" s="64"/>
      <c r="H24" s="64"/>
      <c r="I24" s="71">
        <v>17</v>
      </c>
      <c r="J24" s="74">
        <f t="shared" si="0"/>
        <v>2041</v>
      </c>
      <c r="K24" s="75">
        <f t="shared" si="3"/>
        <v>47.56649592840045</v>
      </c>
      <c r="L24" s="76">
        <f>L23/L22*L23</f>
        <v>65.202483516033041</v>
      </c>
      <c r="M24" s="75">
        <f t="shared" si="9"/>
        <v>56.904120020680075</v>
      </c>
      <c r="AC24" s="61">
        <f t="shared" si="2"/>
        <v>21</v>
      </c>
      <c r="AD24" s="72">
        <f t="shared" si="1"/>
        <v>2041</v>
      </c>
      <c r="AI24">
        <v>0</v>
      </c>
      <c r="AJ24" s="64">
        <f t="shared" si="6"/>
        <v>56.904120020680075</v>
      </c>
      <c r="AK24" s="64">
        <f t="shared" si="7"/>
        <v>126.37361306533496</v>
      </c>
      <c r="AL24" s="1">
        <f>'[1]SCC Update 2023 IRP'!$I28</f>
        <v>164.33480913250133</v>
      </c>
    </row>
    <row r="25" spans="1:38">
      <c r="A25" s="6">
        <v>2042</v>
      </c>
      <c r="B25" s="64">
        <f>AVERAGE('CO2 Price Forecasts'!Y34,'CO2 Price Forecasts'!AA34,'CO2 Price Forecasts'!AF34,'CO2 Price Forecasts'!AG34,'CO2 Price Forecasts'!T34,'CO2 Price Forecasts'!S34)</f>
        <v>51.810287022533565</v>
      </c>
      <c r="C25" s="64">
        <f>AVERAGE('CO2 Price Forecasts'!X34,'CO2 Price Forecasts'!Z34,'CO2 Price Forecasts'!AB34,'CO2 Price Forecasts'!AD34,'CO2 Price Forecasts'!AE34,'CO2 Price Forecasts'!AH34)</f>
        <v>132.70058911652021</v>
      </c>
      <c r="D25" s="64">
        <f>AVERAGE('CO2 Price Forecasts'!Z34,'CO2 Price Forecasts'!AI34)</f>
        <v>188.02334609130199</v>
      </c>
      <c r="E25" s="82">
        <f>AVERAGE('CO2 Price Forecasts'!AA34,'CO2 Price Forecasts'!AF34,'CO2 Price Forecasts'!AG34,'CO2 Price Forecasts'!T34)</f>
        <v>44.522690567145659</v>
      </c>
      <c r="F25" s="83">
        <f>'CO2 Price Forecasts'!AF34</f>
        <v>43.338886132571659</v>
      </c>
      <c r="G25" s="64"/>
      <c r="H25" s="64"/>
      <c r="I25" s="71">
        <v>18</v>
      </c>
      <c r="J25" s="74">
        <f t="shared" si="0"/>
        <v>2042</v>
      </c>
      <c r="K25" s="75">
        <f t="shared" si="3"/>
        <v>51.810287022533565</v>
      </c>
      <c r="L25" s="76">
        <f>L24/L23*L24</f>
        <v>73.372354700591984</v>
      </c>
      <c r="M25" s="75">
        <f t="shared" si="9"/>
        <v>62.998695421349716</v>
      </c>
      <c r="O25" s="77">
        <f>M25/L25-1</f>
        <v>-0.14138375852286189</v>
      </c>
      <c r="AC25" s="61">
        <f t="shared" si="2"/>
        <v>22</v>
      </c>
      <c r="AD25" s="72">
        <f t="shared" si="1"/>
        <v>2042</v>
      </c>
      <c r="AI25">
        <v>0</v>
      </c>
      <c r="AJ25" s="64">
        <f t="shared" si="6"/>
        <v>62.998695421349716</v>
      </c>
      <c r="AK25" s="64">
        <f t="shared" si="7"/>
        <v>132.70058911652021</v>
      </c>
      <c r="AL25" s="1">
        <f>'[1]SCC Update 2023 IRP'!$I29</f>
        <v>169.93086768005833</v>
      </c>
    </row>
    <row r="26" spans="1:38">
      <c r="A26" s="6">
        <v>2043</v>
      </c>
      <c r="B26" s="64">
        <f>AVERAGE('CO2 Price Forecasts'!Y35,'CO2 Price Forecasts'!AA35,'CO2 Price Forecasts'!AF35,'CO2 Price Forecasts'!AG35,'CO2 Price Forecasts'!T35,'CO2 Price Forecasts'!S35)</f>
        <v>56.461530398627922</v>
      </c>
      <c r="C26" s="64">
        <f>AVERAGE('CO2 Price Forecasts'!X35,'CO2 Price Forecasts'!Z35,'CO2 Price Forecasts'!AB35,'CO2 Price Forecasts'!AD35,'CO2 Price Forecasts'!AE35,'CO2 Price Forecasts'!AH35)</f>
        <v>139.35367103764096</v>
      </c>
      <c r="D26" s="64">
        <f>AVERAGE('CO2 Price Forecasts'!Z35,'CO2 Price Forecasts'!AI35)</f>
        <v>196.23722455210995</v>
      </c>
      <c r="E26" s="80">
        <f>AVERAGE('CO2 Price Forecasts'!AA35,'CO2 Price Forecasts'!AF35,'CO2 Price Forecasts'!AG35,'CO2 Price Forecasts'!T35)</f>
        <v>48.398327955210561</v>
      </c>
      <c r="F26" s="81">
        <f>'CO2 Price Forecasts'!AF35</f>
        <v>46.285930389586532</v>
      </c>
      <c r="G26" s="64"/>
      <c r="H26" s="64"/>
      <c r="I26" s="64"/>
      <c r="J26" s="64"/>
      <c r="M26" s="64"/>
    </row>
    <row r="27" spans="1:38">
      <c r="A27" s="6">
        <v>2044</v>
      </c>
      <c r="B27" s="64">
        <f>AVERAGE('CO2 Price Forecasts'!Y36,'CO2 Price Forecasts'!AA36,'CO2 Price Forecasts'!AF36,'CO2 Price Forecasts'!AG36,'CO2 Price Forecasts'!T36,'CO2 Price Forecasts'!S36)</f>
        <v>61.563278081597502</v>
      </c>
      <c r="C27" s="64">
        <f>AVERAGE('CO2 Price Forecasts'!X36,'CO2 Price Forecasts'!Z36,'CO2 Price Forecasts'!AB36,'CO2 Price Forecasts'!AD36,'CO2 Price Forecasts'!AE36,'CO2 Price Forecasts'!AH36)</f>
        <v>146.35166209647761</v>
      </c>
      <c r="D27" s="64">
        <f>AVERAGE('CO2 Price Forecasts'!Z36,'CO2 Price Forecasts'!AI36)</f>
        <v>204.75248165848399</v>
      </c>
      <c r="E27" s="80">
        <f>AVERAGE('CO2 Price Forecasts'!AA36,'CO2 Price Forecasts'!AF36,'CO2 Price Forecasts'!AG36,'CO2 Price Forecasts'!T36)</f>
        <v>52.638276619687993</v>
      </c>
      <c r="F27" s="81">
        <f>'CO2 Price Forecasts'!AF36</f>
        <v>49.433373656078416</v>
      </c>
      <c r="G27" s="64"/>
      <c r="H27" s="64"/>
      <c r="I27" s="64"/>
      <c r="J27" s="64"/>
      <c r="M27" s="64"/>
    </row>
    <row r="28" spans="1:38">
      <c r="A28" s="6">
        <v>2045</v>
      </c>
      <c r="B28" s="64">
        <f>AVERAGE('CO2 Price Forecasts'!Y37,'CO2 Price Forecasts'!AA37,'CO2 Price Forecasts'!AF37,'CO2 Price Forecasts'!AG37,'CO2 Price Forecasts'!T37,'CO2 Price Forecasts'!S37)</f>
        <v>67.115006179113252</v>
      </c>
      <c r="C28" s="64">
        <f>AVERAGE('CO2 Price Forecasts'!X37,'CO2 Price Forecasts'!Z37,'CO2 Price Forecasts'!AB37,'CO2 Price Forecasts'!AD37,'CO2 Price Forecasts'!AE37,'CO2 Price Forecasts'!AH37)</f>
        <v>153.58253614610541</v>
      </c>
      <c r="D28" s="64">
        <f>AVERAGE('CO2 Price Forecasts'!Z37,'CO2 Price Forecasts'!AI37)</f>
        <v>213.03165211200997</v>
      </c>
      <c r="E28" s="80">
        <f>AVERAGE('CO2 Price Forecasts'!AA37,'CO2 Price Forecasts'!AF37,'CO2 Price Forecasts'!AG37,'CO2 Price Forecasts'!T37)</f>
        <v>57.21011824770477</v>
      </c>
      <c r="F28" s="81">
        <f>'CO2 Price Forecasts'!AF37</f>
        <v>52.794843064691754</v>
      </c>
      <c r="G28" s="64"/>
      <c r="H28" s="64"/>
      <c r="I28" s="64"/>
      <c r="J28" s="64"/>
      <c r="M28" s="64"/>
    </row>
    <row r="29" spans="1:38">
      <c r="A29" s="6">
        <v>2046</v>
      </c>
      <c r="B29" s="64">
        <f>AVERAGE('CO2 Price Forecasts'!Y38,'CO2 Price Forecasts'!AA38,'CO2 Price Forecasts'!AF38,'CO2 Price Forecasts'!AG38,'CO2 Price Forecasts'!T38,'CO2 Price Forecasts'!S38)</f>
        <v>73.292507541342999</v>
      </c>
      <c r="C29" s="64">
        <f>AVERAGE('CO2 Price Forecasts'!X38,'CO2 Price Forecasts'!Z38,'CO2 Price Forecasts'!AB38,'CO2 Price Forecasts'!AD38,'CO2 Price Forecasts'!AE38,'CO2 Price Forecasts'!AH38)</f>
        <v>160.83051738658966</v>
      </c>
      <c r="D29" s="64">
        <f>AVERAGE('CO2 Price Forecasts'!Z38,'CO2 Price Forecasts'!AI38)</f>
        <v>222.17892633947494</v>
      </c>
      <c r="E29" s="80">
        <f>AVERAGE('CO2 Price Forecasts'!AA38,'CO2 Price Forecasts'!AF38,'CO2 Price Forecasts'!AG38,'CO2 Price Forecasts'!T38)</f>
        <v>62.318163403441325</v>
      </c>
      <c r="F29" s="81">
        <f>'CO2 Price Forecasts'!AF38</f>
        <v>56.384892393090794</v>
      </c>
      <c r="G29" s="64"/>
      <c r="H29" s="64"/>
      <c r="I29" s="64"/>
      <c r="J29" s="64"/>
      <c r="M29" s="64"/>
    </row>
    <row r="30" spans="1:38">
      <c r="A30" s="6">
        <v>2047</v>
      </c>
      <c r="B30" s="64">
        <f>AVERAGE('CO2 Price Forecasts'!Y39,'CO2 Price Forecasts'!AA39,'CO2 Price Forecasts'!AF39,'CO2 Price Forecasts'!AG39,'CO2 Price Forecasts'!T39,'CO2 Price Forecasts'!S39)</f>
        <v>80.13757922976454</v>
      </c>
      <c r="C30" s="64">
        <f>AVERAGE('CO2 Price Forecasts'!X39,'CO2 Price Forecasts'!Z39,'CO2 Price Forecasts'!AB39,'CO2 Price Forecasts'!AD39,'CO2 Price Forecasts'!AE39,'CO2 Price Forecasts'!AH39)</f>
        <v>168.58600954721072</v>
      </c>
      <c r="D30" s="64">
        <f>AVERAGE('CO2 Price Forecasts'!Z39,'CO2 Price Forecasts'!AI39)</f>
        <v>232.22794122871534</v>
      </c>
      <c r="E30" s="80">
        <f>AVERAGE('CO2 Price Forecasts'!AA39,'CO2 Price Forecasts'!AF39,'CO2 Price Forecasts'!AG39,'CO2 Price Forecasts'!T39)</f>
        <v>67.999085972734321</v>
      </c>
      <c r="F30" s="81">
        <f>'CO2 Price Forecasts'!AF39</f>
        <v>60.219065075820971</v>
      </c>
      <c r="G30" s="64"/>
      <c r="H30" s="64"/>
      <c r="I30" s="64"/>
      <c r="J30" s="64"/>
      <c r="M30" s="64"/>
    </row>
    <row r="31" spans="1:38">
      <c r="A31" s="6">
        <v>2048</v>
      </c>
      <c r="B31" s="64">
        <f>AVERAGE('CO2 Price Forecasts'!Y40,'CO2 Price Forecasts'!AA40,'CO2 Price Forecasts'!AF40,'CO2 Price Forecasts'!AG40,'CO2 Price Forecasts'!T40,'CO2 Price Forecasts'!S40)</f>
        <v>87.620105874537202</v>
      </c>
      <c r="C31" s="64">
        <f>AVERAGE('CO2 Price Forecasts'!X40,'CO2 Price Forecasts'!Z40,'CO2 Price Forecasts'!AB40,'CO2 Price Forecasts'!AD40,'CO2 Price Forecasts'!AE40,'CO2 Price Forecasts'!AH40)</f>
        <v>176.60207049297742</v>
      </c>
      <c r="D31" s="64">
        <f>AVERAGE('CO2 Price Forecasts'!Z40,'CO2 Price Forecasts'!AI40)</f>
        <v>242.07405239874271</v>
      </c>
      <c r="E31" s="80">
        <f>AVERAGE('CO2 Price Forecasts'!AA40,'CO2 Price Forecasts'!AF40,'CO2 Price Forecasts'!AG40,'CO2 Price Forecasts'!T40)</f>
        <v>74.160673911410882</v>
      </c>
      <c r="F31" s="81">
        <f>'CO2 Price Forecasts'!AF40</f>
        <v>64.313961500976802</v>
      </c>
      <c r="G31" s="64"/>
      <c r="H31" s="64"/>
      <c r="I31" s="64"/>
      <c r="J31" s="64"/>
      <c r="M31" s="64"/>
    </row>
    <row r="32" spans="1:38">
      <c r="A32" s="6">
        <v>2049</v>
      </c>
      <c r="B32" s="64">
        <f>AVERAGE('CO2 Price Forecasts'!Y41,'CO2 Price Forecasts'!AA41,'CO2 Price Forecasts'!AF41,'CO2 Price Forecasts'!AG41,'CO2 Price Forecasts'!T41,'CO2 Price Forecasts'!S41)</f>
        <v>95.862185209599588</v>
      </c>
      <c r="C32" s="64">
        <f>AVERAGE('CO2 Price Forecasts'!X41,'CO2 Price Forecasts'!Z41,'CO2 Price Forecasts'!AB41,'CO2 Price Forecasts'!AD41,'CO2 Price Forecasts'!AE41,'CO2 Price Forecasts'!AH41)</f>
        <v>185.0349918739538</v>
      </c>
      <c r="D32" s="64">
        <f>AVERAGE('CO2 Price Forecasts'!Z41,'CO2 Price Forecasts'!AI41)</f>
        <v>252.28978808073214</v>
      </c>
      <c r="E32" s="80">
        <f>AVERAGE('CO2 Price Forecasts'!AA41,'CO2 Price Forecasts'!AF41,'CO2 Price Forecasts'!AG41,'CO2 Price Forecasts'!T41)</f>
        <v>80.936200316147549</v>
      </c>
      <c r="F32" s="81">
        <f>'CO2 Price Forecasts'!AF41</f>
        <v>68.687310883043224</v>
      </c>
      <c r="G32" s="64"/>
      <c r="H32" s="64"/>
      <c r="I32" s="64"/>
      <c r="J32" s="64"/>
      <c r="M32" s="64"/>
    </row>
    <row r="33" spans="1:41">
      <c r="A33" s="6">
        <v>2050</v>
      </c>
      <c r="B33" s="64">
        <f>AVERAGE('CO2 Price Forecasts'!Y42,'CO2 Price Forecasts'!AA42,'CO2 Price Forecasts'!AF42,'CO2 Price Forecasts'!AG42,'CO2 Price Forecasts'!T42,'CO2 Price Forecasts'!S42)</f>
        <v>104.9994340021096</v>
      </c>
      <c r="C33" s="64">
        <f>AVERAGE('CO2 Price Forecasts'!X42,'CO2 Price Forecasts'!Z42,'CO2 Price Forecasts'!AB42,'CO2 Price Forecasts'!AD42,'CO2 Price Forecasts'!AE42,'CO2 Price Forecasts'!AH42)</f>
        <v>194.05167277552164</v>
      </c>
      <c r="D33" s="64">
        <f>AVERAGE('CO2 Price Forecasts'!Z42,'CO2 Price Forecasts'!AI42)</f>
        <v>263.47229969028666</v>
      </c>
      <c r="E33" s="82">
        <f>AVERAGE('CO2 Price Forecasts'!AA42,'CO2 Price Forecasts'!AF42,'CO2 Price Forecasts'!AG42,'CO2 Price Forecasts'!T42)</f>
        <v>88.472417563653863</v>
      </c>
      <c r="F33" s="83">
        <f>'CO2 Price Forecasts'!AF42</f>
        <v>73.358048023090163</v>
      </c>
      <c r="G33" s="64"/>
      <c r="H33" s="64"/>
      <c r="I33" s="64"/>
      <c r="J33" s="64"/>
      <c r="M33" s="64"/>
    </row>
    <row r="35" spans="1:41">
      <c r="A35" t="s">
        <v>50</v>
      </c>
      <c r="J35" s="61" t="str">
        <f>A35</f>
        <v>CAGR</v>
      </c>
      <c r="K35" s="67">
        <f>(K23/K8)^(1/15)-1</f>
        <v>8.9418605296037734E-2</v>
      </c>
      <c r="L35" s="67">
        <f>(L23/L8)^(1/15)-1</f>
        <v>0.12478646099634161</v>
      </c>
      <c r="M35" s="67">
        <f>AVERAGE(K35:L35)</f>
        <v>0.10710253314618967</v>
      </c>
      <c r="O35" s="67">
        <f>K35-L35</f>
        <v>-3.5367855700303874E-2</v>
      </c>
      <c r="AD35" s="61" t="str">
        <f>J35</f>
        <v>CAGR</v>
      </c>
      <c r="AE35" s="67"/>
      <c r="AF35" s="67">
        <f>(AF23/AF8)^(1/15)-1</f>
        <v>0.12478646099634161</v>
      </c>
      <c r="AG35" s="67">
        <f>(AG23/AG8)^(1/15)-1</f>
        <v>0.10612180168669738</v>
      </c>
      <c r="AH35" s="67">
        <f>(AH23/AH4)^(1/20)-1</f>
        <v>3.6021499621993414E-2</v>
      </c>
      <c r="AI35" s="67"/>
      <c r="AJ35" s="67">
        <f>(AJ23/AJ8)^(1/15)-1</f>
        <v>0.10121438275831784</v>
      </c>
      <c r="AK35" s="67">
        <f>(AK23/AK8)^(1/15)-1</f>
        <v>6.8904288254549417E-2</v>
      </c>
      <c r="AL35" s="67">
        <f>(AL25/AL4)^(1/$AC25)-1</f>
        <v>3.9062723880537886E-2</v>
      </c>
      <c r="AO35" s="67">
        <f>AK35-AG35</f>
        <v>-3.7217513432147964E-2</v>
      </c>
    </row>
    <row r="36" spans="1:41">
      <c r="J36" s="61" t="s">
        <v>56</v>
      </c>
      <c r="K36" s="64">
        <f>NPV(0.0699,K8:K23)</f>
        <v>208.76798010329296</v>
      </c>
      <c r="L36" s="64">
        <f t="shared" ref="L36:M36" si="10">NPV(0.0699,L8:L23)</f>
        <v>221.59822783918585</v>
      </c>
      <c r="M36" s="64">
        <f t="shared" si="10"/>
        <v>220.67052589081669</v>
      </c>
      <c r="AD36" s="61" t="s">
        <v>56</v>
      </c>
      <c r="AE36" s="64">
        <f>NPV(0.0699,AE8:AE23)</f>
        <v>0</v>
      </c>
      <c r="AF36" s="64">
        <f t="shared" ref="AF36:AG36" si="11">NPV(0.0699,AF8:AF23)</f>
        <v>221.59822783918585</v>
      </c>
      <c r="AG36" s="64">
        <f t="shared" si="11"/>
        <v>437.85128790715765</v>
      </c>
      <c r="AH36" s="64">
        <f t="shared" ref="AH36" si="12">NPV(0.0699,AH8:AH23)</f>
        <v>1040.00182179069</v>
      </c>
      <c r="AI36" s="64">
        <f>NPV(0.0699,AI8:AI23)</f>
        <v>0</v>
      </c>
      <c r="AJ36" s="64">
        <f t="shared" ref="AJ36:AK36" si="13">NPV(0.0699,AJ8:AJ23)</f>
        <v>220.67052589081669</v>
      </c>
      <c r="AK36" s="64">
        <f t="shared" si="13"/>
        <v>686.50923594917526</v>
      </c>
      <c r="AL36" s="64">
        <f>NPV(0.0699,AL4:AL25)</f>
        <v>1189.3380928747445</v>
      </c>
    </row>
    <row r="37" spans="1:41">
      <c r="J37" s="61" t="s">
        <v>55</v>
      </c>
      <c r="K37" s="64">
        <f>-PMT(0.0688,$I23,K36)</f>
        <v>21.924293597585141</v>
      </c>
      <c r="L37" s="64">
        <f t="shared" ref="L37:M37" si="14">-PMT(0.0688,$I23,L36)</f>
        <v>23.271694277288468</v>
      </c>
      <c r="M37" s="64">
        <f t="shared" si="14"/>
        <v>23.17426932794023</v>
      </c>
      <c r="AD37" s="61" t="s">
        <v>55</v>
      </c>
      <c r="AE37" s="64">
        <f>-PMT(0.0688,$I23,AE36)</f>
        <v>0</v>
      </c>
      <c r="AF37" s="64">
        <f t="shared" ref="AF37:AG37" si="15">-PMT(0.0688,$I23,AF36)</f>
        <v>23.271694277288468</v>
      </c>
      <c r="AG37" s="64">
        <f t="shared" si="15"/>
        <v>45.98205234063041</v>
      </c>
      <c r="AH37" s="64">
        <f>-PMT(0.0688,$AC23,AH36)</f>
        <v>97.255107564289105</v>
      </c>
      <c r="AI37" s="64">
        <f>-PMT(0.0688,$I23,AI36)</f>
        <v>0</v>
      </c>
      <c r="AJ37" s="64">
        <f t="shared" ref="AJ37:AK37" si="16">-PMT(0.0688,$I23,AJ36)</f>
        <v>23.17426932794023</v>
      </c>
      <c r="AK37" s="64">
        <f t="shared" si="16"/>
        <v>72.095491075578806</v>
      </c>
      <c r="AL37" s="64">
        <f>-PMT(0.0688,$AC25,AL36)</f>
        <v>106.4554144924923</v>
      </c>
    </row>
    <row r="38" spans="1:41">
      <c r="J38" s="61" t="s">
        <v>58</v>
      </c>
    </row>
    <row r="39" spans="1:41">
      <c r="J39" s="61" t="s">
        <v>56</v>
      </c>
      <c r="K39" s="77">
        <f t="shared" ref="K39:M40" si="17">K36/$L36-1</f>
        <v>-5.7898692877651592E-2</v>
      </c>
      <c r="L39" s="77">
        <f t="shared" si="17"/>
        <v>0</v>
      </c>
      <c r="M39" s="77">
        <f t="shared" si="17"/>
        <v>-4.1864141126723986E-3</v>
      </c>
      <c r="AJ39" s="77">
        <f>AJ36/$AF36-1</f>
        <v>-4.1864141126723986E-3</v>
      </c>
      <c r="AK39" s="77">
        <f>AK36/$AG36-1</f>
        <v>0.56790502828152745</v>
      </c>
    </row>
    <row r="40" spans="1:41">
      <c r="J40" s="61" t="s">
        <v>55</v>
      </c>
      <c r="K40" s="77">
        <f t="shared" si="17"/>
        <v>-5.7898692877651592E-2</v>
      </c>
      <c r="L40" s="77">
        <f t="shared" si="17"/>
        <v>0</v>
      </c>
      <c r="M40" s="77">
        <f t="shared" si="17"/>
        <v>-4.1864141126723986E-3</v>
      </c>
      <c r="AJ40" s="77">
        <f>AJ37/$AF37-1</f>
        <v>-4.1864141126723986E-3</v>
      </c>
      <c r="AK40" s="77">
        <f>AK37/$AG37-1</f>
        <v>0.56790502828152767</v>
      </c>
    </row>
    <row r="44" spans="1:41" ht="18.75">
      <c r="W44" s="116" t="s">
        <v>112</v>
      </c>
    </row>
  </sheetData>
  <mergeCells count="3">
    <mergeCell ref="B1:D1"/>
    <mergeCell ref="L1:N1"/>
    <mergeCell ref="E1:F1"/>
  </mergeCells>
  <phoneticPr fontId="3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4382-FF8B-4D3A-BF38-86E05ACB2B4D}">
  <sheetPr codeName="Sheet2"/>
  <dimension ref="A1:R29"/>
  <sheetViews>
    <sheetView zoomScale="70" zoomScaleNormal="70" workbookViewId="0">
      <selection activeCell="F2" sqref="F2:F29"/>
    </sheetView>
  </sheetViews>
  <sheetFormatPr defaultRowHeight="15"/>
  <cols>
    <col min="9" max="9" width="16.42578125" bestFit="1" customWidth="1"/>
  </cols>
  <sheetData>
    <row r="1" spans="1:18">
      <c r="A1" s="61" t="s">
        <v>94</v>
      </c>
      <c r="B1" s="61" t="s">
        <v>95</v>
      </c>
      <c r="C1" s="61" t="s">
        <v>96</v>
      </c>
      <c r="D1" s="61" t="s">
        <v>97</v>
      </c>
      <c r="E1" s="61" t="s">
        <v>98</v>
      </c>
      <c r="F1" s="61" t="s">
        <v>99</v>
      </c>
      <c r="G1" s="61" t="s">
        <v>100</v>
      </c>
      <c r="H1" s="61" t="s">
        <v>101</v>
      </c>
      <c r="I1" s="61" t="s">
        <v>102</v>
      </c>
      <c r="J1" s="61" t="s">
        <v>103</v>
      </c>
      <c r="K1" s="61" t="s">
        <v>104</v>
      </c>
      <c r="L1" s="61" t="s">
        <v>105</v>
      </c>
      <c r="M1" s="61" t="s">
        <v>106</v>
      </c>
      <c r="N1" s="61" t="s">
        <v>107</v>
      </c>
      <c r="O1" s="61" t="s">
        <v>108</v>
      </c>
      <c r="P1" s="61" t="s">
        <v>109</v>
      </c>
      <c r="R1" t="s">
        <v>111</v>
      </c>
    </row>
    <row r="2" spans="1:18">
      <c r="A2" s="61" t="s">
        <v>87</v>
      </c>
      <c r="B2" s="61" t="s">
        <v>88</v>
      </c>
      <c r="C2" s="61" t="s">
        <v>89</v>
      </c>
      <c r="D2" s="61" t="s">
        <v>90</v>
      </c>
      <c r="F2" s="61">
        <f>R2/2000</f>
        <v>2.9155E-2</v>
      </c>
      <c r="G2" s="61" t="s">
        <v>91</v>
      </c>
      <c r="H2" s="61">
        <v>1</v>
      </c>
      <c r="I2" s="115">
        <v>44927</v>
      </c>
      <c r="J2" s="115"/>
      <c r="K2" s="61"/>
      <c r="L2" s="61" t="s">
        <v>92</v>
      </c>
      <c r="M2" s="61"/>
      <c r="N2" s="61"/>
      <c r="O2" s="61" t="s">
        <v>110</v>
      </c>
      <c r="P2" s="61" t="s">
        <v>93</v>
      </c>
      <c r="R2" s="61">
        <v>58.31</v>
      </c>
    </row>
    <row r="3" spans="1:18">
      <c r="A3" s="61" t="s">
        <v>87</v>
      </c>
      <c r="B3" s="61" t="s">
        <v>88</v>
      </c>
      <c r="C3" s="61" t="s">
        <v>89</v>
      </c>
      <c r="D3" s="61" t="s">
        <v>90</v>
      </c>
      <c r="F3" s="61">
        <f t="shared" ref="F3:F29" si="0">R3/2000</f>
        <v>3.0605E-2</v>
      </c>
      <c r="G3" s="61" t="s">
        <v>91</v>
      </c>
      <c r="H3" s="61">
        <v>1</v>
      </c>
      <c r="I3" s="115">
        <v>45292</v>
      </c>
      <c r="J3" s="115"/>
      <c r="K3" s="61"/>
      <c r="L3" s="61" t="s">
        <v>92</v>
      </c>
      <c r="M3" s="61"/>
      <c r="N3" s="61"/>
      <c r="O3" s="61" t="s">
        <v>110</v>
      </c>
      <c r="P3" s="61" t="s">
        <v>93</v>
      </c>
      <c r="R3" s="61">
        <v>61.21</v>
      </c>
    </row>
    <row r="4" spans="1:18">
      <c r="A4" s="61" t="s">
        <v>87</v>
      </c>
      <c r="B4" s="61" t="s">
        <v>88</v>
      </c>
      <c r="C4" s="61" t="s">
        <v>89</v>
      </c>
      <c r="D4" s="61" t="s">
        <v>90</v>
      </c>
      <c r="F4" s="61">
        <f t="shared" si="0"/>
        <v>3.2380000000000006E-2</v>
      </c>
      <c r="G4" s="61" t="s">
        <v>91</v>
      </c>
      <c r="H4" s="61">
        <v>1</v>
      </c>
      <c r="I4" s="115">
        <v>45658</v>
      </c>
      <c r="J4" s="115"/>
      <c r="K4" s="61"/>
      <c r="L4" s="61" t="s">
        <v>92</v>
      </c>
      <c r="M4" s="61"/>
      <c r="N4" s="61"/>
      <c r="O4" s="61" t="s">
        <v>110</v>
      </c>
      <c r="P4" s="61" t="s">
        <v>93</v>
      </c>
      <c r="R4" s="61">
        <v>64.760000000000005</v>
      </c>
    </row>
    <row r="5" spans="1:18">
      <c r="A5" s="61" t="s">
        <v>87</v>
      </c>
      <c r="B5" s="61" t="s">
        <v>88</v>
      </c>
      <c r="C5" s="61" t="s">
        <v>89</v>
      </c>
      <c r="D5" s="61" t="s">
        <v>90</v>
      </c>
      <c r="F5" s="61">
        <f t="shared" si="0"/>
        <v>3.4979999999999997E-2</v>
      </c>
      <c r="G5" s="61" t="s">
        <v>91</v>
      </c>
      <c r="H5" s="61">
        <v>1</v>
      </c>
      <c r="I5" s="115">
        <v>46023</v>
      </c>
      <c r="J5" s="115"/>
      <c r="K5" s="61"/>
      <c r="L5" s="61" t="s">
        <v>92</v>
      </c>
      <c r="M5" s="61"/>
      <c r="N5" s="61"/>
      <c r="O5" s="61" t="s">
        <v>110</v>
      </c>
      <c r="P5" s="61" t="s">
        <v>93</v>
      </c>
      <c r="R5" s="61">
        <v>69.959999999999994</v>
      </c>
    </row>
    <row r="6" spans="1:18">
      <c r="A6" s="61" t="s">
        <v>87</v>
      </c>
      <c r="B6" s="61" t="s">
        <v>88</v>
      </c>
      <c r="C6" s="61" t="s">
        <v>89</v>
      </c>
      <c r="D6" s="61" t="s">
        <v>90</v>
      </c>
      <c r="F6" s="61">
        <f t="shared" si="0"/>
        <v>3.8454999999999996E-2</v>
      </c>
      <c r="G6" s="61" t="s">
        <v>91</v>
      </c>
      <c r="H6" s="61">
        <v>1</v>
      </c>
      <c r="I6" s="115">
        <v>46388</v>
      </c>
      <c r="J6" s="115"/>
      <c r="K6" s="61"/>
      <c r="L6" s="61" t="s">
        <v>92</v>
      </c>
      <c r="M6" s="61"/>
      <c r="N6" s="61"/>
      <c r="O6" s="61" t="s">
        <v>110</v>
      </c>
      <c r="P6" s="61" t="s">
        <v>93</v>
      </c>
      <c r="R6" s="61">
        <v>76.91</v>
      </c>
    </row>
    <row r="7" spans="1:18">
      <c r="A7" s="61" t="s">
        <v>87</v>
      </c>
      <c r="B7" s="61" t="s">
        <v>88</v>
      </c>
      <c r="C7" s="61" t="s">
        <v>89</v>
      </c>
      <c r="D7" s="61" t="s">
        <v>90</v>
      </c>
      <c r="F7" s="61">
        <f t="shared" si="0"/>
        <v>4.2005000000000001E-2</v>
      </c>
      <c r="G7" s="61" t="s">
        <v>91</v>
      </c>
      <c r="H7" s="61">
        <v>1</v>
      </c>
      <c r="I7" s="115">
        <v>46753</v>
      </c>
      <c r="J7" s="115"/>
      <c r="K7" s="61"/>
      <c r="L7" s="61" t="s">
        <v>92</v>
      </c>
      <c r="M7" s="61"/>
      <c r="N7" s="61"/>
      <c r="O7" s="61" t="s">
        <v>110</v>
      </c>
      <c r="P7" s="61" t="s">
        <v>93</v>
      </c>
      <c r="R7" s="61">
        <v>84.01</v>
      </c>
    </row>
    <row r="8" spans="1:18">
      <c r="A8" s="61" t="s">
        <v>87</v>
      </c>
      <c r="B8" s="61" t="s">
        <v>88</v>
      </c>
      <c r="C8" s="61" t="s">
        <v>89</v>
      </c>
      <c r="D8" s="61" t="s">
        <v>90</v>
      </c>
      <c r="F8" s="61">
        <f t="shared" si="0"/>
        <v>4.6380000000000005E-2</v>
      </c>
      <c r="G8" s="61" t="s">
        <v>91</v>
      </c>
      <c r="H8" s="61">
        <v>1</v>
      </c>
      <c r="I8" s="115">
        <v>47119</v>
      </c>
      <c r="J8" s="115"/>
      <c r="K8" s="61"/>
      <c r="L8" s="61" t="s">
        <v>92</v>
      </c>
      <c r="M8" s="61"/>
      <c r="N8" s="61"/>
      <c r="O8" s="61" t="s">
        <v>110</v>
      </c>
      <c r="P8" s="61" t="s">
        <v>93</v>
      </c>
      <c r="R8" s="61">
        <v>92.76</v>
      </c>
    </row>
    <row r="9" spans="1:18">
      <c r="A9" s="61" t="s">
        <v>87</v>
      </c>
      <c r="B9" s="61" t="s">
        <v>88</v>
      </c>
      <c r="C9" s="61" t="s">
        <v>89</v>
      </c>
      <c r="D9" s="61" t="s">
        <v>90</v>
      </c>
      <c r="F9" s="61">
        <f t="shared" si="0"/>
        <v>5.0115E-2</v>
      </c>
      <c r="G9" s="61" t="s">
        <v>91</v>
      </c>
      <c r="H9" s="61">
        <v>1</v>
      </c>
      <c r="I9" s="115">
        <v>47484</v>
      </c>
      <c r="J9" s="115"/>
      <c r="K9" s="61"/>
      <c r="L9" s="61" t="s">
        <v>92</v>
      </c>
      <c r="M9" s="61"/>
      <c r="N9" s="61"/>
      <c r="O9" s="61" t="s">
        <v>110</v>
      </c>
      <c r="P9" s="61" t="s">
        <v>93</v>
      </c>
      <c r="R9" s="61">
        <v>100.23</v>
      </c>
    </row>
    <row r="10" spans="1:18">
      <c r="A10" s="61" t="s">
        <v>87</v>
      </c>
      <c r="B10" s="61" t="s">
        <v>88</v>
      </c>
      <c r="C10" s="61" t="s">
        <v>89</v>
      </c>
      <c r="D10" s="61" t="s">
        <v>90</v>
      </c>
      <c r="F10" s="61">
        <f t="shared" si="0"/>
        <v>4.6285E-2</v>
      </c>
      <c r="G10" s="61" t="s">
        <v>91</v>
      </c>
      <c r="H10" s="61">
        <v>1</v>
      </c>
      <c r="I10" s="115">
        <v>47849</v>
      </c>
      <c r="J10" s="115"/>
      <c r="K10" s="61"/>
      <c r="L10" s="61" t="s">
        <v>92</v>
      </c>
      <c r="M10" s="61"/>
      <c r="N10" s="61"/>
      <c r="O10" s="61" t="s">
        <v>110</v>
      </c>
      <c r="P10" s="61" t="s">
        <v>93</v>
      </c>
      <c r="R10" s="61">
        <v>92.57</v>
      </c>
    </row>
    <row r="11" spans="1:18">
      <c r="A11" s="61" t="s">
        <v>87</v>
      </c>
      <c r="B11" s="61" t="s">
        <v>88</v>
      </c>
      <c r="C11" s="61" t="s">
        <v>89</v>
      </c>
      <c r="D11" s="61" t="s">
        <v>90</v>
      </c>
      <c r="F11" s="61">
        <f t="shared" si="0"/>
        <v>4.6314999999999995E-2</v>
      </c>
      <c r="G11" s="61" t="s">
        <v>91</v>
      </c>
      <c r="H11" s="61">
        <v>1</v>
      </c>
      <c r="I11" s="115">
        <v>48214</v>
      </c>
      <c r="J11" s="115"/>
      <c r="K11" s="61"/>
      <c r="L11" s="61" t="s">
        <v>92</v>
      </c>
      <c r="M11" s="61"/>
      <c r="N11" s="61"/>
      <c r="O11" s="61" t="s">
        <v>110</v>
      </c>
      <c r="P11" s="61" t="s">
        <v>93</v>
      </c>
      <c r="R11" s="61">
        <v>92.63</v>
      </c>
    </row>
    <row r="12" spans="1:18">
      <c r="A12" s="61" t="s">
        <v>87</v>
      </c>
      <c r="B12" s="61" t="s">
        <v>88</v>
      </c>
      <c r="C12" s="61" t="s">
        <v>89</v>
      </c>
      <c r="D12" s="61" t="s">
        <v>90</v>
      </c>
      <c r="F12" s="61">
        <f t="shared" si="0"/>
        <v>4.8369999999999996E-2</v>
      </c>
      <c r="G12" s="61" t="s">
        <v>91</v>
      </c>
      <c r="H12" s="61">
        <v>1</v>
      </c>
      <c r="I12" s="115">
        <v>48580</v>
      </c>
      <c r="J12" s="115"/>
      <c r="K12" s="61"/>
      <c r="L12" s="61" t="s">
        <v>92</v>
      </c>
      <c r="M12" s="61"/>
      <c r="N12" s="61"/>
      <c r="O12" s="61" t="s">
        <v>110</v>
      </c>
      <c r="P12" s="61" t="s">
        <v>93</v>
      </c>
      <c r="R12" s="61">
        <v>96.74</v>
      </c>
    </row>
    <row r="13" spans="1:18">
      <c r="A13" s="61" t="s">
        <v>87</v>
      </c>
      <c r="B13" s="61" t="s">
        <v>88</v>
      </c>
      <c r="C13" s="61" t="s">
        <v>89</v>
      </c>
      <c r="D13" s="61" t="s">
        <v>90</v>
      </c>
      <c r="F13" s="61">
        <f t="shared" si="0"/>
        <v>4.9865E-2</v>
      </c>
      <c r="G13" s="61" t="s">
        <v>91</v>
      </c>
      <c r="H13" s="61">
        <v>1</v>
      </c>
      <c r="I13" s="115">
        <v>48945</v>
      </c>
      <c r="J13" s="115"/>
      <c r="K13" s="61"/>
      <c r="L13" s="61" t="s">
        <v>92</v>
      </c>
      <c r="M13" s="61"/>
      <c r="N13" s="61"/>
      <c r="O13" s="61" t="s">
        <v>110</v>
      </c>
      <c r="P13" s="61" t="s">
        <v>93</v>
      </c>
      <c r="R13" s="61">
        <v>99.73</v>
      </c>
    </row>
    <row r="14" spans="1:18">
      <c r="A14" s="61" t="s">
        <v>87</v>
      </c>
      <c r="B14" s="61" t="s">
        <v>88</v>
      </c>
      <c r="C14" s="61" t="s">
        <v>89</v>
      </c>
      <c r="D14" s="61" t="s">
        <v>90</v>
      </c>
      <c r="F14" s="61">
        <f t="shared" si="0"/>
        <v>3.2174999999999995E-2</v>
      </c>
      <c r="G14" s="61" t="s">
        <v>91</v>
      </c>
      <c r="H14" s="61">
        <v>1</v>
      </c>
      <c r="I14" s="115">
        <v>49310</v>
      </c>
      <c r="J14" s="115"/>
      <c r="K14" s="61"/>
      <c r="L14" s="61" t="s">
        <v>92</v>
      </c>
      <c r="M14" s="61"/>
      <c r="N14" s="61"/>
      <c r="O14" s="61" t="s">
        <v>110</v>
      </c>
      <c r="P14" s="61" t="s">
        <v>93</v>
      </c>
      <c r="R14" s="61">
        <v>64.349999999999994</v>
      </c>
    </row>
    <row r="15" spans="1:18">
      <c r="A15" s="61" t="s">
        <v>87</v>
      </c>
      <c r="B15" s="61" t="s">
        <v>88</v>
      </c>
      <c r="C15" s="61" t="s">
        <v>89</v>
      </c>
      <c r="D15" s="61" t="s">
        <v>90</v>
      </c>
      <c r="F15" s="61">
        <f t="shared" si="0"/>
        <v>2.929E-2</v>
      </c>
      <c r="G15" s="61" t="s">
        <v>91</v>
      </c>
      <c r="H15" s="61">
        <v>1</v>
      </c>
      <c r="I15" s="115">
        <v>49675</v>
      </c>
      <c r="J15" s="115"/>
      <c r="K15" s="61"/>
      <c r="L15" s="61" t="s">
        <v>92</v>
      </c>
      <c r="M15" s="61"/>
      <c r="N15" s="61"/>
      <c r="O15" s="61" t="s">
        <v>110</v>
      </c>
      <c r="P15" s="61" t="s">
        <v>93</v>
      </c>
      <c r="R15" s="61">
        <v>58.58</v>
      </c>
    </row>
    <row r="16" spans="1:18">
      <c r="A16" s="61" t="s">
        <v>87</v>
      </c>
      <c r="B16" s="61" t="s">
        <v>88</v>
      </c>
      <c r="C16" s="61" t="s">
        <v>89</v>
      </c>
      <c r="D16" s="61" t="s">
        <v>90</v>
      </c>
      <c r="F16" s="61">
        <f t="shared" si="0"/>
        <v>2.9395000000000001E-2</v>
      </c>
      <c r="G16" s="61" t="s">
        <v>91</v>
      </c>
      <c r="H16" s="61">
        <v>1</v>
      </c>
      <c r="I16" s="115">
        <v>50041</v>
      </c>
      <c r="J16" s="115"/>
      <c r="K16" s="61"/>
      <c r="L16" s="61" t="s">
        <v>92</v>
      </c>
      <c r="M16" s="61"/>
      <c r="N16" s="61"/>
      <c r="O16" s="61" t="s">
        <v>110</v>
      </c>
      <c r="P16" s="61" t="s">
        <v>93</v>
      </c>
      <c r="R16" s="61">
        <v>58.79</v>
      </c>
    </row>
    <row r="17" spans="1:18">
      <c r="A17" s="61" t="s">
        <v>87</v>
      </c>
      <c r="B17" s="61" t="s">
        <v>88</v>
      </c>
      <c r="C17" s="61" t="s">
        <v>89</v>
      </c>
      <c r="D17" s="61" t="s">
        <v>90</v>
      </c>
      <c r="F17" s="61">
        <f t="shared" si="0"/>
        <v>2.9860000000000001E-2</v>
      </c>
      <c r="G17" s="61" t="s">
        <v>91</v>
      </c>
      <c r="H17" s="61">
        <v>1</v>
      </c>
      <c r="I17" s="115">
        <v>50406</v>
      </c>
      <c r="J17" s="115"/>
      <c r="K17" s="61"/>
      <c r="L17" s="61" t="s">
        <v>92</v>
      </c>
      <c r="M17" s="61"/>
      <c r="N17" s="61"/>
      <c r="O17" s="61" t="s">
        <v>110</v>
      </c>
      <c r="P17" s="61" t="s">
        <v>93</v>
      </c>
      <c r="R17" s="61">
        <v>59.72</v>
      </c>
    </row>
    <row r="18" spans="1:18">
      <c r="A18" s="61" t="s">
        <v>87</v>
      </c>
      <c r="B18" s="61" t="s">
        <v>88</v>
      </c>
      <c r="C18" s="61" t="s">
        <v>89</v>
      </c>
      <c r="D18" s="61" t="s">
        <v>90</v>
      </c>
      <c r="F18" s="61">
        <f t="shared" si="0"/>
        <v>2.3195E-2</v>
      </c>
      <c r="G18" s="61" t="s">
        <v>91</v>
      </c>
      <c r="H18" s="61">
        <v>1</v>
      </c>
      <c r="I18" s="115">
        <v>50771</v>
      </c>
      <c r="J18" s="115"/>
      <c r="K18" s="61"/>
      <c r="L18" s="61" t="s">
        <v>92</v>
      </c>
      <c r="M18" s="61"/>
      <c r="N18" s="61"/>
      <c r="O18" s="61" t="s">
        <v>110</v>
      </c>
      <c r="P18" s="61" t="s">
        <v>93</v>
      </c>
      <c r="R18" s="61">
        <v>46.39</v>
      </c>
    </row>
    <row r="19" spans="1:18">
      <c r="A19" s="61" t="s">
        <v>87</v>
      </c>
      <c r="B19" s="61" t="s">
        <v>88</v>
      </c>
      <c r="C19" s="61" t="s">
        <v>89</v>
      </c>
      <c r="D19" s="61" t="s">
        <v>90</v>
      </c>
      <c r="F19" s="61">
        <f t="shared" si="0"/>
        <v>2.2245000000000001E-2</v>
      </c>
      <c r="G19" s="61" t="s">
        <v>91</v>
      </c>
      <c r="H19" s="61">
        <v>1</v>
      </c>
      <c r="I19" s="115">
        <v>51136</v>
      </c>
      <c r="J19" s="115"/>
      <c r="K19" s="61"/>
      <c r="L19" s="61" t="s">
        <v>92</v>
      </c>
      <c r="M19" s="61"/>
      <c r="N19" s="61"/>
      <c r="O19" s="61" t="s">
        <v>110</v>
      </c>
      <c r="P19" s="61" t="s">
        <v>93</v>
      </c>
      <c r="R19" s="61">
        <v>44.49</v>
      </c>
    </row>
    <row r="20" spans="1:18">
      <c r="A20" s="61" t="s">
        <v>87</v>
      </c>
      <c r="B20" s="61" t="s">
        <v>88</v>
      </c>
      <c r="C20" s="61" t="s">
        <v>89</v>
      </c>
      <c r="D20" s="61" t="s">
        <v>90</v>
      </c>
      <c r="F20" s="61">
        <f t="shared" si="0"/>
        <v>2.3359999999999999E-2</v>
      </c>
      <c r="G20" s="61" t="s">
        <v>91</v>
      </c>
      <c r="H20" s="61">
        <v>1</v>
      </c>
      <c r="I20" s="115">
        <f>EDATE(I19,12)</f>
        <v>51502</v>
      </c>
      <c r="J20" s="115"/>
      <c r="K20" s="61"/>
      <c r="L20" s="61" t="s">
        <v>92</v>
      </c>
      <c r="M20" s="61"/>
      <c r="N20" s="61"/>
      <c r="O20" s="61" t="s">
        <v>110</v>
      </c>
      <c r="P20" s="61" t="s">
        <v>93</v>
      </c>
      <c r="R20" s="61">
        <v>46.72</v>
      </c>
    </row>
    <row r="21" spans="1:18">
      <c r="A21" s="61" t="s">
        <v>87</v>
      </c>
      <c r="B21" s="61" t="s">
        <v>88</v>
      </c>
      <c r="C21" s="61" t="s">
        <v>89</v>
      </c>
      <c r="D21" s="61" t="s">
        <v>90</v>
      </c>
      <c r="F21" s="61">
        <f t="shared" si="0"/>
        <v>2.4524999999999998E-2</v>
      </c>
      <c r="G21" s="61" t="s">
        <v>91</v>
      </c>
      <c r="H21" s="61">
        <v>1</v>
      </c>
      <c r="I21" s="115">
        <f t="shared" ref="I21:I29" si="1">EDATE(I20,12)</f>
        <v>51867</v>
      </c>
      <c r="J21" s="115"/>
      <c r="K21" s="61"/>
      <c r="L21" s="61" t="s">
        <v>92</v>
      </c>
      <c r="M21" s="61"/>
      <c r="N21" s="61"/>
      <c r="O21" s="61" t="s">
        <v>110</v>
      </c>
      <c r="P21" s="61" t="s">
        <v>93</v>
      </c>
      <c r="R21" s="61">
        <v>49.05</v>
      </c>
    </row>
    <row r="22" spans="1:18">
      <c r="A22" s="61" t="s">
        <v>87</v>
      </c>
      <c r="B22" s="61" t="s">
        <v>88</v>
      </c>
      <c r="C22" s="61" t="s">
        <v>89</v>
      </c>
      <c r="D22" s="61" t="s">
        <v>90</v>
      </c>
      <c r="F22" s="61">
        <f t="shared" si="0"/>
        <v>2.5749999999999999E-2</v>
      </c>
      <c r="G22" s="61" t="s">
        <v>91</v>
      </c>
      <c r="H22" s="61">
        <v>1</v>
      </c>
      <c r="I22" s="115">
        <f t="shared" si="1"/>
        <v>52232</v>
      </c>
      <c r="J22" s="115"/>
      <c r="K22" s="61"/>
      <c r="L22" s="61" t="s">
        <v>92</v>
      </c>
      <c r="M22" s="61"/>
      <c r="N22" s="61"/>
      <c r="O22" s="61" t="s">
        <v>110</v>
      </c>
      <c r="P22" s="61" t="s">
        <v>93</v>
      </c>
      <c r="R22" s="61">
        <v>51.5</v>
      </c>
    </row>
    <row r="23" spans="1:18">
      <c r="A23" s="61" t="s">
        <v>87</v>
      </c>
      <c r="B23" s="61" t="s">
        <v>88</v>
      </c>
      <c r="C23" s="61" t="s">
        <v>89</v>
      </c>
      <c r="D23" s="61" t="s">
        <v>90</v>
      </c>
      <c r="F23" s="61">
        <f t="shared" si="0"/>
        <v>2.7039999999999998E-2</v>
      </c>
      <c r="G23" s="61" t="s">
        <v>91</v>
      </c>
      <c r="H23" s="61">
        <v>1</v>
      </c>
      <c r="I23" s="115">
        <f t="shared" si="1"/>
        <v>52597</v>
      </c>
      <c r="J23" s="115"/>
      <c r="K23" s="61"/>
      <c r="L23" s="61" t="s">
        <v>92</v>
      </c>
      <c r="M23" s="61"/>
      <c r="N23" s="61"/>
      <c r="O23" s="61" t="s">
        <v>110</v>
      </c>
      <c r="P23" s="61" t="s">
        <v>93</v>
      </c>
      <c r="R23" s="61">
        <v>54.08</v>
      </c>
    </row>
    <row r="24" spans="1:18">
      <c r="A24" s="61" t="s">
        <v>87</v>
      </c>
      <c r="B24" s="61" t="s">
        <v>88</v>
      </c>
      <c r="C24" s="61" t="s">
        <v>89</v>
      </c>
      <c r="D24" s="61" t="s">
        <v>90</v>
      </c>
      <c r="F24" s="61">
        <f t="shared" si="0"/>
        <v>2.8390000000000002E-2</v>
      </c>
      <c r="G24" s="61" t="s">
        <v>91</v>
      </c>
      <c r="H24" s="61">
        <v>1</v>
      </c>
      <c r="I24" s="115">
        <f t="shared" si="1"/>
        <v>52963</v>
      </c>
      <c r="J24" s="115"/>
      <c r="K24" s="61"/>
      <c r="L24" s="61" t="s">
        <v>92</v>
      </c>
      <c r="M24" s="61"/>
      <c r="N24" s="61"/>
      <c r="O24" s="61" t="s">
        <v>110</v>
      </c>
      <c r="P24" s="61" t="s">
        <v>93</v>
      </c>
      <c r="R24" s="61">
        <v>56.78</v>
      </c>
    </row>
    <row r="25" spans="1:18">
      <c r="A25" s="61" t="s">
        <v>87</v>
      </c>
      <c r="B25" s="61" t="s">
        <v>88</v>
      </c>
      <c r="C25" s="61" t="s">
        <v>89</v>
      </c>
      <c r="D25" s="61" t="s">
        <v>90</v>
      </c>
      <c r="F25" s="61">
        <f t="shared" si="0"/>
        <v>2.981E-2</v>
      </c>
      <c r="G25" s="61" t="s">
        <v>91</v>
      </c>
      <c r="H25" s="61">
        <v>1</v>
      </c>
      <c r="I25" s="115">
        <f t="shared" si="1"/>
        <v>53328</v>
      </c>
      <c r="J25" s="115"/>
      <c r="K25" s="61"/>
      <c r="L25" s="61" t="s">
        <v>92</v>
      </c>
      <c r="M25" s="61"/>
      <c r="N25" s="61"/>
      <c r="O25" s="61" t="s">
        <v>110</v>
      </c>
      <c r="P25" s="61" t="s">
        <v>93</v>
      </c>
      <c r="R25" s="61">
        <v>59.62</v>
      </c>
    </row>
    <row r="26" spans="1:18">
      <c r="A26" s="61" t="s">
        <v>87</v>
      </c>
      <c r="B26" s="61" t="s">
        <v>88</v>
      </c>
      <c r="C26" s="61" t="s">
        <v>89</v>
      </c>
      <c r="D26" s="61" t="s">
        <v>90</v>
      </c>
      <c r="F26" s="61">
        <f t="shared" si="0"/>
        <v>3.1600000000000003E-2</v>
      </c>
      <c r="G26" s="61" t="s">
        <v>91</v>
      </c>
      <c r="H26" s="61">
        <v>1</v>
      </c>
      <c r="I26" s="115">
        <f t="shared" si="1"/>
        <v>53693</v>
      </c>
      <c r="J26" s="115"/>
      <c r="K26" s="61"/>
      <c r="L26" s="61" t="s">
        <v>92</v>
      </c>
      <c r="M26" s="61"/>
      <c r="N26" s="61"/>
      <c r="O26" s="61" t="s">
        <v>110</v>
      </c>
      <c r="P26" s="61" t="s">
        <v>93</v>
      </c>
      <c r="R26" s="61">
        <v>63.2</v>
      </c>
    </row>
    <row r="27" spans="1:18">
      <c r="A27" s="61" t="s">
        <v>87</v>
      </c>
      <c r="B27" s="61" t="s">
        <v>88</v>
      </c>
      <c r="C27" s="61" t="s">
        <v>89</v>
      </c>
      <c r="D27" s="61" t="s">
        <v>90</v>
      </c>
      <c r="F27" s="61">
        <f t="shared" si="0"/>
        <v>3.3454999999999999E-2</v>
      </c>
      <c r="G27" s="61" t="s">
        <v>91</v>
      </c>
      <c r="H27" s="61">
        <v>1</v>
      </c>
      <c r="I27" s="115">
        <f t="shared" si="1"/>
        <v>54058</v>
      </c>
      <c r="J27" s="115"/>
      <c r="K27" s="61"/>
      <c r="L27" s="61" t="s">
        <v>92</v>
      </c>
      <c r="M27" s="61"/>
      <c r="N27" s="61"/>
      <c r="O27" s="61" t="s">
        <v>110</v>
      </c>
      <c r="P27" s="61" t="s">
        <v>93</v>
      </c>
      <c r="R27" s="61">
        <v>66.91</v>
      </c>
    </row>
    <row r="28" spans="1:18">
      <c r="A28" s="61" t="s">
        <v>87</v>
      </c>
      <c r="B28" s="61" t="s">
        <v>88</v>
      </c>
      <c r="C28" s="61" t="s">
        <v>89</v>
      </c>
      <c r="D28" s="61" t="s">
        <v>90</v>
      </c>
      <c r="F28" s="61">
        <f t="shared" si="0"/>
        <v>3.6150000000000002E-2</v>
      </c>
      <c r="G28" s="61" t="s">
        <v>91</v>
      </c>
      <c r="H28" s="61">
        <v>1</v>
      </c>
      <c r="I28" s="115">
        <f t="shared" si="1"/>
        <v>54424</v>
      </c>
      <c r="J28" s="115"/>
      <c r="K28" s="61"/>
      <c r="L28" s="61" t="s">
        <v>92</v>
      </c>
      <c r="M28" s="61"/>
      <c r="N28" s="61"/>
      <c r="O28" s="61" t="s">
        <v>110</v>
      </c>
      <c r="P28" s="61" t="s">
        <v>93</v>
      </c>
      <c r="R28" s="61">
        <v>72.3</v>
      </c>
    </row>
    <row r="29" spans="1:18">
      <c r="A29" s="61" t="s">
        <v>87</v>
      </c>
      <c r="B29" s="61" t="s">
        <v>88</v>
      </c>
      <c r="C29" s="61" t="s">
        <v>89</v>
      </c>
      <c r="D29" s="61" t="s">
        <v>90</v>
      </c>
      <c r="F29" s="61">
        <f t="shared" si="0"/>
        <v>4.0735E-2</v>
      </c>
      <c r="G29" s="61" t="s">
        <v>91</v>
      </c>
      <c r="H29" s="61">
        <v>1</v>
      </c>
      <c r="I29" s="115">
        <f t="shared" si="1"/>
        <v>54789</v>
      </c>
      <c r="J29" s="115"/>
      <c r="K29" s="61"/>
      <c r="L29" s="61" t="s">
        <v>92</v>
      </c>
      <c r="M29" s="61"/>
      <c r="N29" s="61"/>
      <c r="O29" s="61" t="s">
        <v>110</v>
      </c>
      <c r="P29" s="61" t="s">
        <v>93</v>
      </c>
      <c r="R29" s="61">
        <v>81.47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workbookViewId="0">
      <selection activeCell="S24" sqref="S24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V96"/>
  <sheetViews>
    <sheetView tabSelected="1" workbookViewId="0"/>
  </sheetViews>
  <sheetFormatPr defaultRowHeight="15"/>
  <cols>
    <col min="1" max="1" width="9.140625" style="13"/>
    <col min="3" max="7" width="11.140625" customWidth="1"/>
    <col min="8" max="9" width="8.85546875" style="61"/>
    <col min="10" max="13" width="11.140625" customWidth="1"/>
    <col min="14" max="16" width="11.140625" style="13" customWidth="1"/>
    <col min="18" max="18" width="11.42578125" style="62" bestFit="1" customWidth="1"/>
    <col min="21" max="23" width="9.140625" style="61"/>
    <col min="24" max="24" width="9.5703125" customWidth="1"/>
    <col min="25" max="25" width="15" customWidth="1"/>
    <col min="27" max="28" width="8.85546875" style="13"/>
    <col min="36" max="41" width="9.140625" style="61"/>
    <col min="47" max="47" width="9.140625" style="13"/>
  </cols>
  <sheetData>
    <row r="1" spans="2:48">
      <c r="C1" s="57" t="s">
        <v>18</v>
      </c>
      <c r="R1" s="62" t="s">
        <v>67</v>
      </c>
      <c r="S1" s="87" t="s">
        <v>59</v>
      </c>
      <c r="T1" s="87" t="s">
        <v>59</v>
      </c>
      <c r="U1" s="87"/>
      <c r="V1" s="87"/>
      <c r="W1" s="87"/>
      <c r="X1" s="78" t="s">
        <v>60</v>
      </c>
      <c r="Y1" s="87" t="s">
        <v>59</v>
      </c>
      <c r="Z1" s="78" t="s">
        <v>61</v>
      </c>
      <c r="AA1" s="87" t="s">
        <v>59</v>
      </c>
      <c r="AB1" s="78" t="s">
        <v>60</v>
      </c>
      <c r="AC1" s="88"/>
      <c r="AD1" s="78" t="s">
        <v>60</v>
      </c>
      <c r="AE1" s="78" t="s">
        <v>60</v>
      </c>
      <c r="AF1" s="87" t="s">
        <v>59</v>
      </c>
      <c r="AG1" s="87" t="s">
        <v>59</v>
      </c>
      <c r="AH1" s="78" t="s">
        <v>60</v>
      </c>
      <c r="AI1" s="78" t="s">
        <v>61</v>
      </c>
    </row>
    <row r="2" spans="2:48" s="61" customFormat="1">
      <c r="C2" s="57"/>
      <c r="R2" s="57" t="s">
        <v>62</v>
      </c>
      <c r="S2" s="79">
        <f>AVERAGE(S17:S34)</f>
        <v>20.827426796325355</v>
      </c>
      <c r="T2" s="79">
        <f t="shared" ref="T2:AI2" si="0">AVERAGE(T17:T34)</f>
        <v>22.924173332532714</v>
      </c>
      <c r="U2" s="79"/>
      <c r="V2" s="79"/>
      <c r="W2" s="79"/>
      <c r="X2" s="79">
        <f t="shared" si="0"/>
        <v>92.945933538748875</v>
      </c>
      <c r="Y2" s="79">
        <f t="shared" si="0"/>
        <v>46.783950440316943</v>
      </c>
      <c r="Z2" s="79">
        <f t="shared" si="0"/>
        <v>115.4930929383214</v>
      </c>
      <c r="AA2" s="79">
        <f t="shared" si="0"/>
        <v>18.92580354701505</v>
      </c>
      <c r="AB2" s="79">
        <f t="shared" si="0"/>
        <v>67.473260600959122</v>
      </c>
      <c r="AC2" s="79">
        <f t="shared" si="0"/>
        <v>46.783950440316943</v>
      </c>
      <c r="AD2" s="79">
        <f t="shared" si="0"/>
        <v>59.721995423710013</v>
      </c>
      <c r="AE2" s="79">
        <f t="shared" si="0"/>
        <v>84.047081723473013</v>
      </c>
      <c r="AF2" s="79">
        <f t="shared" si="0"/>
        <v>26.243925917769971</v>
      </c>
      <c r="AG2" s="79">
        <f t="shared" si="0"/>
        <v>30.612174444444445</v>
      </c>
      <c r="AH2" s="79">
        <f t="shared" si="0"/>
        <v>93.249079444444433</v>
      </c>
      <c r="AI2" s="79">
        <f t="shared" si="0"/>
        <v>133.34601388888888</v>
      </c>
    </row>
    <row r="3" spans="2:48" s="61" customFormat="1">
      <c r="C3" s="57"/>
      <c r="R3" s="57" t="s">
        <v>50</v>
      </c>
      <c r="S3" s="92">
        <f t="shared" ref="S3:AI3" si="1">(S34/S17)^(1/15)-1</f>
        <v>0.41514424717135756</v>
      </c>
      <c r="T3" s="92">
        <f t="shared" si="1"/>
        <v>0.14218378003616627</v>
      </c>
      <c r="U3" s="92"/>
      <c r="V3" s="92"/>
      <c r="W3" s="92"/>
      <c r="X3" s="92">
        <f t="shared" si="1"/>
        <v>0.10474452673079115</v>
      </c>
      <c r="Y3" s="92">
        <f t="shared" si="1"/>
        <v>8.1906586363150513E-2</v>
      </c>
      <c r="Z3" s="92">
        <f t="shared" si="1"/>
        <v>0.11705546461141081</v>
      </c>
      <c r="AA3" s="92">
        <f t="shared" si="1"/>
        <v>0.1171362551621975</v>
      </c>
      <c r="AB3" s="92">
        <f t="shared" si="1"/>
        <v>7.3773486390238396E-2</v>
      </c>
      <c r="AC3" s="92">
        <f t="shared" si="1"/>
        <v>8.1906586363150513E-2</v>
      </c>
      <c r="AD3" s="92">
        <f t="shared" si="1"/>
        <v>1.9603187623124851E-2</v>
      </c>
      <c r="AE3" s="92">
        <f t="shared" si="1"/>
        <v>8.5416100736511513E-2</v>
      </c>
      <c r="AF3" s="92">
        <f t="shared" si="1"/>
        <v>7.7409382053093889E-2</v>
      </c>
      <c r="AG3" s="92">
        <f t="shared" si="1"/>
        <v>5.6709650248077947E-2</v>
      </c>
      <c r="AH3" s="92">
        <f t="shared" si="1"/>
        <v>4.5695600026352645E-2</v>
      </c>
      <c r="AI3" s="92">
        <f t="shared" si="1"/>
        <v>4.2351655236559926E-2</v>
      </c>
    </row>
    <row r="4" spans="2:48" s="61" customFormat="1">
      <c r="C4" s="57"/>
      <c r="R4" s="57" t="s">
        <v>63</v>
      </c>
      <c r="S4" s="94">
        <f>_xlfn.RANK.EQ(S2,$S$2:$AI$2)</f>
        <v>13</v>
      </c>
      <c r="T4" s="94">
        <f>_xlfn.RANK.EQ(T2,$S$2:$AI$2)</f>
        <v>12</v>
      </c>
      <c r="U4" s="94"/>
      <c r="V4" s="94"/>
      <c r="W4" s="94"/>
      <c r="X4" s="94">
        <f t="shared" ref="X4:AI4" si="2">_xlfn.RANK.EQ(X2,$S$2:$AI$2)</f>
        <v>4</v>
      </c>
      <c r="Y4" s="94">
        <f t="shared" si="2"/>
        <v>8</v>
      </c>
      <c r="Z4" s="94">
        <f t="shared" si="2"/>
        <v>2</v>
      </c>
      <c r="AA4" s="94">
        <f t="shared" si="2"/>
        <v>14</v>
      </c>
      <c r="AB4" s="94">
        <f t="shared" si="2"/>
        <v>6</v>
      </c>
      <c r="AC4" s="94">
        <f t="shared" si="2"/>
        <v>8</v>
      </c>
      <c r="AD4" s="94">
        <f t="shared" si="2"/>
        <v>7</v>
      </c>
      <c r="AE4" s="94">
        <f t="shared" si="2"/>
        <v>5</v>
      </c>
      <c r="AF4" s="94">
        <f t="shared" si="2"/>
        <v>11</v>
      </c>
      <c r="AG4" s="94">
        <f t="shared" si="2"/>
        <v>10</v>
      </c>
      <c r="AH4" s="94">
        <f t="shared" si="2"/>
        <v>3</v>
      </c>
      <c r="AI4" s="94">
        <f t="shared" si="2"/>
        <v>1</v>
      </c>
    </row>
    <row r="5" spans="2:48" s="61" customFormat="1">
      <c r="C5" s="57"/>
      <c r="R5" s="57" t="s">
        <v>68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2:48" s="61" customFormat="1">
      <c r="C6" s="57"/>
      <c r="R6" s="57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2:48" s="61" customFormat="1">
      <c r="C7" s="57"/>
      <c r="R7" s="57"/>
      <c r="S7" s="20" t="s">
        <v>69</v>
      </c>
      <c r="T7" s="20" t="s">
        <v>69</v>
      </c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100">
        <v>44531</v>
      </c>
      <c r="AH7" s="100">
        <v>44531</v>
      </c>
      <c r="AI7" s="100">
        <v>44531</v>
      </c>
    </row>
    <row r="8" spans="2:48" s="61" customFormat="1">
      <c r="C8" s="57"/>
      <c r="R8" s="57" t="s">
        <v>19</v>
      </c>
      <c r="S8" s="20"/>
      <c r="T8" s="20"/>
      <c r="U8" s="20"/>
      <c r="V8" s="106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2:48" ht="15.75" thickBot="1">
      <c r="C9" s="2" t="s">
        <v>0</v>
      </c>
      <c r="D9" s="8" t="s">
        <v>2</v>
      </c>
      <c r="E9" s="59" t="s">
        <v>28</v>
      </c>
      <c r="F9" s="59"/>
      <c r="G9" s="59"/>
      <c r="H9" s="119" t="s">
        <v>38</v>
      </c>
      <c r="I9" s="119"/>
      <c r="J9" s="60" t="s">
        <v>33</v>
      </c>
      <c r="K9" s="60"/>
      <c r="L9" s="60"/>
      <c r="M9" s="60"/>
      <c r="N9" s="12" t="s">
        <v>44</v>
      </c>
      <c r="O9" s="12"/>
      <c r="P9" s="12"/>
      <c r="S9" s="2" t="s">
        <v>0</v>
      </c>
      <c r="T9" s="102" t="s">
        <v>2</v>
      </c>
      <c r="U9" s="103"/>
      <c r="V9" s="105" t="s">
        <v>79</v>
      </c>
      <c r="W9" s="103"/>
      <c r="X9" s="118" t="s">
        <v>28</v>
      </c>
      <c r="Y9" s="118"/>
      <c r="Z9" s="118"/>
      <c r="AA9" s="119" t="s">
        <v>38</v>
      </c>
      <c r="AB9" s="119"/>
      <c r="AC9" s="60" t="s">
        <v>33</v>
      </c>
      <c r="AD9" s="60"/>
      <c r="AE9" s="60"/>
      <c r="AF9" s="60"/>
      <c r="AG9" s="12" t="s">
        <v>3</v>
      </c>
      <c r="AH9" s="12"/>
      <c r="AI9" s="12"/>
      <c r="AJ9" s="12"/>
      <c r="AL9" s="61" t="s">
        <v>39</v>
      </c>
      <c r="AM9" s="61" t="s">
        <v>39</v>
      </c>
      <c r="AN9" s="61" t="s">
        <v>39</v>
      </c>
    </row>
    <row r="10" spans="2:48" ht="75">
      <c r="C10" s="4" t="s">
        <v>20</v>
      </c>
      <c r="D10" s="4" t="s">
        <v>21</v>
      </c>
      <c r="E10" s="4" t="s">
        <v>30</v>
      </c>
      <c r="F10" s="4" t="s">
        <v>31</v>
      </c>
      <c r="G10" s="4" t="s">
        <v>32</v>
      </c>
      <c r="H10" s="4" t="s">
        <v>36</v>
      </c>
      <c r="I10" s="4" t="s">
        <v>37</v>
      </c>
      <c r="J10" s="4" t="s">
        <v>43</v>
      </c>
      <c r="K10" s="4" t="s">
        <v>47</v>
      </c>
      <c r="L10" s="4" t="s">
        <v>42</v>
      </c>
      <c r="M10" s="4" t="s">
        <v>42</v>
      </c>
      <c r="N10" s="4" t="s">
        <v>22</v>
      </c>
      <c r="O10" s="4" t="s">
        <v>45</v>
      </c>
      <c r="P10" s="4" t="s">
        <v>46</v>
      </c>
      <c r="S10" s="68" t="s">
        <v>20</v>
      </c>
      <c r="T10" s="68" t="s">
        <v>21</v>
      </c>
      <c r="U10" s="101" t="s">
        <v>80</v>
      </c>
      <c r="V10" s="101" t="s">
        <v>81</v>
      </c>
      <c r="W10" s="101" t="s">
        <v>82</v>
      </c>
      <c r="X10" s="99" t="s">
        <v>30</v>
      </c>
      <c r="Y10" s="68" t="s">
        <v>31</v>
      </c>
      <c r="Z10" s="99" t="s">
        <v>32</v>
      </c>
      <c r="AA10" s="68" t="s">
        <v>36</v>
      </c>
      <c r="AB10" s="99" t="s">
        <v>37</v>
      </c>
      <c r="AC10" s="4" t="s">
        <v>43</v>
      </c>
      <c r="AD10" s="99" t="s">
        <v>47</v>
      </c>
      <c r="AE10" s="99" t="s">
        <v>42</v>
      </c>
      <c r="AF10" s="68" t="s">
        <v>42</v>
      </c>
      <c r="AG10" s="68" t="s">
        <v>22</v>
      </c>
      <c r="AH10" s="99" t="s">
        <v>45</v>
      </c>
      <c r="AI10" s="101" t="s">
        <v>46</v>
      </c>
      <c r="AJ10" s="4"/>
      <c r="AK10" s="4"/>
      <c r="AL10" s="4" t="s">
        <v>80</v>
      </c>
      <c r="AM10" s="4" t="s">
        <v>81</v>
      </c>
      <c r="AN10" s="4" t="s">
        <v>82</v>
      </c>
      <c r="AO10" s="4"/>
      <c r="AQ10" s="4" t="s">
        <v>24</v>
      </c>
      <c r="AR10" s="4" t="s">
        <v>34</v>
      </c>
      <c r="AS10" s="4" t="s">
        <v>25</v>
      </c>
      <c r="AT10" s="4" t="s">
        <v>26</v>
      </c>
      <c r="AU10" s="4" t="s">
        <v>35</v>
      </c>
      <c r="AV10" s="4" t="s">
        <v>27</v>
      </c>
    </row>
    <row r="11" spans="2:48">
      <c r="C11" s="6" t="s">
        <v>1</v>
      </c>
      <c r="D11" s="6" t="s">
        <v>1</v>
      </c>
      <c r="E11" s="6" t="s">
        <v>29</v>
      </c>
      <c r="F11" s="6" t="s">
        <v>29</v>
      </c>
      <c r="G11" s="6" t="s">
        <v>29</v>
      </c>
      <c r="H11" s="6" t="s">
        <v>39</v>
      </c>
      <c r="I11" s="6" t="s">
        <v>39</v>
      </c>
      <c r="J11" s="6" t="s">
        <v>29</v>
      </c>
      <c r="K11" s="6" t="s">
        <v>29</v>
      </c>
      <c r="L11" s="61" t="s">
        <v>40</v>
      </c>
      <c r="M11" s="61" t="s">
        <v>41</v>
      </c>
      <c r="N11" s="6" t="s">
        <v>1</v>
      </c>
      <c r="O11" s="6" t="s">
        <v>1</v>
      </c>
      <c r="P11" s="6" t="s">
        <v>1</v>
      </c>
      <c r="S11" s="6" t="s">
        <v>1</v>
      </c>
      <c r="T11" s="6" t="s">
        <v>1</v>
      </c>
      <c r="U11" s="86"/>
      <c r="V11" s="86"/>
      <c r="W11" s="86"/>
      <c r="X11" s="6" t="s">
        <v>29</v>
      </c>
      <c r="Y11" s="6" t="s">
        <v>29</v>
      </c>
      <c r="Z11" s="6" t="s">
        <v>29</v>
      </c>
      <c r="AA11" s="6" t="s">
        <v>23</v>
      </c>
      <c r="AB11" s="6" t="s">
        <v>23</v>
      </c>
      <c r="AC11" s="6" t="s">
        <v>29</v>
      </c>
      <c r="AD11" s="6" t="s">
        <v>29</v>
      </c>
      <c r="AE11" s="6" t="s">
        <v>40</v>
      </c>
      <c r="AF11" s="6" t="s">
        <v>41</v>
      </c>
      <c r="AG11" s="6" t="s">
        <v>1</v>
      </c>
      <c r="AH11" s="6" t="s">
        <v>1</v>
      </c>
      <c r="AI11" s="6" t="s">
        <v>1</v>
      </c>
      <c r="AJ11" s="65"/>
      <c r="AK11" s="86"/>
      <c r="AL11" s="86"/>
      <c r="AM11" s="86"/>
      <c r="AN11" s="86"/>
      <c r="AO11" s="86"/>
      <c r="AP11" s="65" t="s">
        <v>51</v>
      </c>
      <c r="AR11" s="13"/>
      <c r="AS11" s="13"/>
      <c r="AT11" s="13"/>
      <c r="AV11" s="13"/>
    </row>
    <row r="12" spans="2:48">
      <c r="B12" s="6">
        <v>2020</v>
      </c>
      <c r="C12" s="3"/>
      <c r="D12" s="5"/>
      <c r="E12" s="5">
        <f>X12*1.1023</f>
        <v>18.869263852791672</v>
      </c>
      <c r="F12" s="5">
        <f t="shared" ref="F12:G12" si="3">Y12*1.1023</f>
        <v>18.869263852791672</v>
      </c>
      <c r="G12" s="5">
        <f t="shared" si="3"/>
        <v>18.869263852791672</v>
      </c>
      <c r="H12" s="5"/>
      <c r="I12" s="5"/>
      <c r="J12" s="5">
        <f>F12</f>
        <v>18.869263852791672</v>
      </c>
      <c r="K12" s="5"/>
      <c r="L12" s="5"/>
      <c r="M12" s="5"/>
      <c r="N12" s="5"/>
      <c r="O12" s="5"/>
      <c r="P12" s="5"/>
      <c r="Q12" s="5"/>
      <c r="R12" s="63">
        <v>2020</v>
      </c>
      <c r="S12" s="5"/>
      <c r="T12" s="5"/>
      <c r="U12" s="5"/>
      <c r="V12" s="5"/>
      <c r="W12" s="5"/>
      <c r="X12" s="5">
        <v>17.1180838726224</v>
      </c>
      <c r="Y12" s="5">
        <v>17.1180838726224</v>
      </c>
      <c r="Z12" s="5">
        <v>17.1180838726224</v>
      </c>
      <c r="AA12" s="5"/>
      <c r="AB12" s="5"/>
      <c r="AC12" s="5"/>
      <c r="AD12" s="5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Q12" s="58"/>
      <c r="AR12" s="1"/>
      <c r="AS12" s="1"/>
      <c r="AT12" s="58"/>
      <c r="AU12" s="58">
        <v>48.08972242627798</v>
      </c>
      <c r="AV12" s="58"/>
    </row>
    <row r="13" spans="2:48">
      <c r="B13" s="6">
        <f>B12+1</f>
        <v>2021</v>
      </c>
      <c r="C13" s="3"/>
      <c r="D13" s="5"/>
      <c r="E13" s="5">
        <f t="shared" ref="E13:E42" si="4">X13*1.1023</f>
        <v>24.510339794326612</v>
      </c>
      <c r="F13" s="5">
        <f t="shared" ref="F13:F42" si="5">Y13*1.1023</f>
        <v>24.510339794326612</v>
      </c>
      <c r="G13" s="5">
        <f t="shared" ref="G13:G42" si="6">Z13*1.1023</f>
        <v>24.510339794326612</v>
      </c>
      <c r="H13" s="5">
        <v>0</v>
      </c>
      <c r="I13" s="5">
        <v>19.559999999999999</v>
      </c>
      <c r="J13" s="5">
        <f t="shared" ref="J13:J42" si="7">F13</f>
        <v>24.510339794326612</v>
      </c>
      <c r="K13" s="5">
        <v>52.15</v>
      </c>
      <c r="L13" s="5">
        <v>35</v>
      </c>
      <c r="M13" s="5">
        <v>12</v>
      </c>
      <c r="N13" s="5">
        <v>14.964</v>
      </c>
      <c r="O13" s="5">
        <v>52.15</v>
      </c>
      <c r="P13" s="5">
        <v>77.727000000000004</v>
      </c>
      <c r="Q13" s="5"/>
      <c r="R13" s="63">
        <f>R12+1</f>
        <v>2021</v>
      </c>
      <c r="S13" s="5"/>
      <c r="T13" s="5"/>
      <c r="U13" s="5"/>
      <c r="V13" s="5"/>
      <c r="W13" s="5"/>
      <c r="X13" s="5">
        <v>22.235634395651466</v>
      </c>
      <c r="Y13" s="5">
        <v>22.235634395651466</v>
      </c>
      <c r="Z13" s="5">
        <v>22.235634395651466</v>
      </c>
      <c r="AA13" s="5">
        <v>0</v>
      </c>
      <c r="AB13" s="5">
        <v>19.564093036484127</v>
      </c>
      <c r="AC13" s="5">
        <f t="shared" ref="AC13:AC19" si="8">J13/1.1023</f>
        <v>22.235634395651466</v>
      </c>
      <c r="AD13" s="5">
        <f t="shared" ref="AD13:AD32" si="9">K13/1.1023</f>
        <v>47.310169645287125</v>
      </c>
      <c r="AE13" s="3">
        <f t="shared" ref="AE13:AE16" si="10">L13/1.1023</f>
        <v>31.751791708246394</v>
      </c>
      <c r="AF13" s="3">
        <f t="shared" ref="AF13:AF19" si="11">M13/1.1023</f>
        <v>10.886328585684478</v>
      </c>
      <c r="AG13" s="3">
        <f>N13*VLOOKUP($R13,Inflation!$B$27:$L$69,11,FALSE)</f>
        <v>14.964</v>
      </c>
      <c r="AH13" s="3">
        <f>O13*VLOOKUP($R13,Inflation!$B$27:$L$69,11,FALSE)</f>
        <v>52.15</v>
      </c>
      <c r="AI13" s="3">
        <f>P13*VLOOKUP($R13,Inflation!$B$27:$L$69,11,FALSE)</f>
        <v>77.727000000000004</v>
      </c>
      <c r="AJ13" s="3"/>
      <c r="AK13" s="3"/>
      <c r="AL13" s="3"/>
      <c r="AM13" s="3"/>
      <c r="AN13" s="3"/>
      <c r="AO13" s="3"/>
      <c r="AQ13" s="58"/>
      <c r="AR13" s="1">
        <v>74.100308293260639</v>
      </c>
      <c r="AS13" s="1"/>
      <c r="AT13" s="58"/>
      <c r="AU13" s="58">
        <v>49.243875764508658</v>
      </c>
      <c r="AV13" s="58"/>
    </row>
    <row r="14" spans="2:48">
      <c r="B14" s="6">
        <f t="shared" ref="B14:B42" si="12">B13+1</f>
        <v>2022</v>
      </c>
      <c r="C14" s="3"/>
      <c r="D14" s="5"/>
      <c r="E14" s="5">
        <f t="shared" si="4"/>
        <v>27.470923311706915</v>
      </c>
      <c r="F14" s="5">
        <f t="shared" si="5"/>
        <v>21.715309999999999</v>
      </c>
      <c r="G14" s="5">
        <f t="shared" si="6"/>
        <v>27.967434811231978</v>
      </c>
      <c r="H14" s="5">
        <v>0</v>
      </c>
      <c r="I14" s="5">
        <v>24.48</v>
      </c>
      <c r="J14" s="5">
        <f t="shared" si="7"/>
        <v>21.715309999999999</v>
      </c>
      <c r="K14" s="5">
        <v>53.219000000000001</v>
      </c>
      <c r="L14" s="5">
        <v>37.625</v>
      </c>
      <c r="M14" s="5">
        <v>12.816000000000001</v>
      </c>
      <c r="N14" s="5">
        <v>15.452999999999999</v>
      </c>
      <c r="O14" s="5">
        <v>53.219000000000001</v>
      </c>
      <c r="P14" s="5">
        <v>79.033000000000001</v>
      </c>
      <c r="Q14" s="5"/>
      <c r="R14" s="63">
        <f t="shared" ref="R14:R42" si="13">R13+1</f>
        <v>2022</v>
      </c>
      <c r="S14" s="5"/>
      <c r="T14" s="5"/>
      <c r="U14" s="5"/>
      <c r="V14" s="5"/>
      <c r="W14" s="5"/>
      <c r="X14" s="5">
        <v>24.921458143615091</v>
      </c>
      <c r="Y14" s="5">
        <v>19.7</v>
      </c>
      <c r="Z14" s="5">
        <v>25.371890421148485</v>
      </c>
      <c r="AA14" s="5">
        <v>0</v>
      </c>
      <c r="AB14" s="5">
        <v>25.82874401192116</v>
      </c>
      <c r="AC14" s="5">
        <f t="shared" si="8"/>
        <v>19.7</v>
      </c>
      <c r="AD14" s="5">
        <f t="shared" si="9"/>
        <v>48.279960083461852</v>
      </c>
      <c r="AE14" s="3">
        <f t="shared" si="10"/>
        <v>34.13317608636487</v>
      </c>
      <c r="AF14" s="3">
        <f t="shared" si="11"/>
        <v>11.626598929511022</v>
      </c>
      <c r="AG14" s="3">
        <f>N14*VLOOKUP($R14,Inflation!$B$27:$L$69,11,FALSE)</f>
        <v>16.53471</v>
      </c>
      <c r="AH14" s="3">
        <f>O14*VLOOKUP($R14,Inflation!$B$27:$L$69,11,FALSE)</f>
        <v>56.944330000000008</v>
      </c>
      <c r="AI14" s="3">
        <f>P14*VLOOKUP($R14,Inflation!$B$27:$L$69,11,FALSE)</f>
        <v>84.565310000000011</v>
      </c>
      <c r="AJ14" s="3"/>
      <c r="AK14" s="3"/>
      <c r="AL14" s="3"/>
      <c r="AM14" s="3"/>
      <c r="AN14" s="3"/>
      <c r="AO14" s="3"/>
      <c r="AQ14" s="58"/>
      <c r="AR14" s="1">
        <v>77.319450800380523</v>
      </c>
      <c r="AS14" s="1"/>
      <c r="AT14" s="58"/>
      <c r="AU14" s="58">
        <v>51.626341372924877</v>
      </c>
      <c r="AV14" s="58"/>
    </row>
    <row r="15" spans="2:48">
      <c r="B15" s="6">
        <f t="shared" si="12"/>
        <v>2023</v>
      </c>
      <c r="C15" s="3"/>
      <c r="D15" s="5"/>
      <c r="E15" s="5">
        <f t="shared" si="4"/>
        <v>30.789113244866616</v>
      </c>
      <c r="F15" s="5">
        <f t="shared" si="5"/>
        <v>23.306050893437614</v>
      </c>
      <c r="G15" s="5">
        <f t="shared" si="6"/>
        <v>31.912140610207299</v>
      </c>
      <c r="H15" s="5">
        <v>0</v>
      </c>
      <c r="I15" s="5">
        <v>26.36</v>
      </c>
      <c r="J15" s="5">
        <f t="shared" si="7"/>
        <v>23.306050893437614</v>
      </c>
      <c r="K15" s="5">
        <v>54.286999999999999</v>
      </c>
      <c r="L15" s="5">
        <v>40.446874999999999</v>
      </c>
      <c r="M15" s="5">
        <v>13.687488000000002</v>
      </c>
      <c r="N15" s="5">
        <v>15.942</v>
      </c>
      <c r="O15" s="5">
        <v>54.286999999999999</v>
      </c>
      <c r="P15" s="5">
        <v>80.338999999999999</v>
      </c>
      <c r="Q15" s="5"/>
      <c r="R15" s="63">
        <f t="shared" si="13"/>
        <v>2023</v>
      </c>
      <c r="S15" s="5"/>
      <c r="T15" s="5"/>
      <c r="U15" s="5"/>
      <c r="V15" s="5"/>
      <c r="W15" s="5"/>
      <c r="X15" s="5">
        <v>27.931700303789</v>
      </c>
      <c r="Y15" s="5">
        <v>21.143110671720596</v>
      </c>
      <c r="Z15" s="5">
        <v>28.950504046273515</v>
      </c>
      <c r="AA15" s="5">
        <v>0</v>
      </c>
      <c r="AB15" s="5">
        <v>28.634290393514256</v>
      </c>
      <c r="AC15" s="5">
        <f t="shared" si="8"/>
        <v>21.143110671720596</v>
      </c>
      <c r="AD15" s="5">
        <f t="shared" si="9"/>
        <v>49.248843327587771</v>
      </c>
      <c r="AE15" s="3">
        <f t="shared" si="10"/>
        <v>36.693164292842233</v>
      </c>
      <c r="AF15" s="3">
        <f t="shared" si="11"/>
        <v>12.417207656717773</v>
      </c>
      <c r="AG15" s="3">
        <f>N15*VLOOKUP($R15,Inflation!$B$27:$L$69,11,FALSE)</f>
        <v>17.695620000000002</v>
      </c>
      <c r="AH15" s="3">
        <f>O15*VLOOKUP($R15,Inflation!$B$27:$L$69,11,FALSE)</f>
        <v>60.258570000000006</v>
      </c>
      <c r="AI15" s="3">
        <f>P15*VLOOKUP($R15,Inflation!$B$27:$L$69,11,FALSE)</f>
        <v>89.176290000000009</v>
      </c>
      <c r="AJ15" s="3"/>
      <c r="AK15" s="3"/>
      <c r="AL15" s="3"/>
      <c r="AM15" s="3"/>
      <c r="AN15" s="3"/>
      <c r="AO15" s="3"/>
      <c r="AQ15" s="58"/>
      <c r="AR15" s="1">
        <v>80.571670184356748</v>
      </c>
      <c r="AS15" s="1"/>
      <c r="AT15" s="58"/>
      <c r="AU15" s="58">
        <v>54.041973904141727</v>
      </c>
      <c r="AV15" s="58"/>
    </row>
    <row r="16" spans="2:48">
      <c r="B16" s="6">
        <f t="shared" si="12"/>
        <v>2024</v>
      </c>
      <c r="C16" s="3"/>
      <c r="D16" s="5"/>
      <c r="E16" s="5">
        <f t="shared" si="4"/>
        <v>34.508104574746383</v>
      </c>
      <c r="F16" s="5">
        <f t="shared" si="5"/>
        <v>25.014912621925195</v>
      </c>
      <c r="G16" s="5">
        <f t="shared" si="6"/>
        <v>36.413232933205897</v>
      </c>
      <c r="H16" s="5">
        <v>0</v>
      </c>
      <c r="I16" s="5">
        <v>28.39</v>
      </c>
      <c r="J16" s="5">
        <f t="shared" si="7"/>
        <v>25.014912621925195</v>
      </c>
      <c r="K16" s="5">
        <v>55.354999999999997</v>
      </c>
      <c r="L16" s="5">
        <v>43.480390624999998</v>
      </c>
      <c r="M16" s="5">
        <v>14.618237184000003</v>
      </c>
      <c r="N16" s="5">
        <v>16.431000000000001</v>
      </c>
      <c r="O16" s="5">
        <v>55.354999999999997</v>
      </c>
      <c r="P16" s="5">
        <v>81.644999999999996</v>
      </c>
      <c r="Q16" s="5"/>
      <c r="R16" s="63">
        <f t="shared" si="13"/>
        <v>2024</v>
      </c>
      <c r="S16" s="5"/>
      <c r="T16" s="5"/>
      <c r="U16" s="5"/>
      <c r="V16" s="5"/>
      <c r="W16" s="5"/>
      <c r="X16" s="5">
        <v>31.305547105820903</v>
      </c>
      <c r="Y16" s="5">
        <v>22.69337986203864</v>
      </c>
      <c r="Z16" s="5">
        <v>33.0338682148289</v>
      </c>
      <c r="AA16" s="5">
        <v>0</v>
      </c>
      <c r="AB16" s="5">
        <v>31.591268254218406</v>
      </c>
      <c r="AC16" s="5">
        <f t="shared" si="8"/>
        <v>22.69337986203864</v>
      </c>
      <c r="AD16" s="5">
        <f t="shared" si="9"/>
        <v>50.217726571713683</v>
      </c>
      <c r="AE16" s="3">
        <f t="shared" si="10"/>
        <v>39.445151614805404</v>
      </c>
      <c r="AF16" s="3">
        <f t="shared" si="11"/>
        <v>13.261577777374583</v>
      </c>
      <c r="AG16" s="3">
        <f>N16*VLOOKUP($R16,Inflation!$B$27:$L$69,11,FALSE)</f>
        <v>18.567029999999999</v>
      </c>
      <c r="AH16" s="3">
        <f>O16*VLOOKUP($R16,Inflation!$B$27:$L$69,11,FALSE)</f>
        <v>62.551149999999993</v>
      </c>
      <c r="AI16" s="3">
        <f>P16*VLOOKUP($R16,Inflation!$B$27:$L$69,11,FALSE)</f>
        <v>92.258849999999981</v>
      </c>
      <c r="AJ16" s="3"/>
      <c r="AK16" s="3"/>
      <c r="AL16" s="3"/>
      <c r="AM16" s="3"/>
      <c r="AN16" s="3"/>
      <c r="AO16" s="3"/>
      <c r="AQ16" s="58"/>
      <c r="AR16" s="1">
        <v>83.850544128322596</v>
      </c>
      <c r="AS16" s="1"/>
      <c r="AT16" s="58"/>
      <c r="AU16" s="58">
        <v>56.486144996624517</v>
      </c>
      <c r="AV16" s="58"/>
    </row>
    <row r="17" spans="1:48">
      <c r="A17" s="61">
        <f t="shared" ref="A17:A21" si="14">D16/D17</f>
        <v>0</v>
      </c>
      <c r="B17" s="6">
        <f t="shared" si="12"/>
        <v>2025</v>
      </c>
      <c r="C17" s="3">
        <f>C18/C19*C18</f>
        <v>0.24249999999999999</v>
      </c>
      <c r="D17" s="5">
        <f t="shared" ref="D17:D19" si="15">D18*A19</f>
        <v>5.8648314676029294</v>
      </c>
      <c r="E17" s="5">
        <f t="shared" si="4"/>
        <v>38.676309768037015</v>
      </c>
      <c r="F17" s="5">
        <f t="shared" si="5"/>
        <v>26.850674199368061</v>
      </c>
      <c r="G17" s="5">
        <f t="shared" si="6"/>
        <v>41.549188092503144</v>
      </c>
      <c r="H17" s="5">
        <v>6.39</v>
      </c>
      <c r="I17" s="5">
        <v>30.58</v>
      </c>
      <c r="J17" s="5">
        <f t="shared" si="7"/>
        <v>26.850674199368061</v>
      </c>
      <c r="K17" s="5">
        <v>56.423000000000002</v>
      </c>
      <c r="L17" s="5">
        <v>46.741419921874993</v>
      </c>
      <c r="M17" s="5">
        <v>15.612277312512004</v>
      </c>
      <c r="N17" s="5">
        <v>16.919</v>
      </c>
      <c r="O17" s="5">
        <v>56.423000000000002</v>
      </c>
      <c r="P17" s="5">
        <v>82.950999999999993</v>
      </c>
      <c r="Q17" s="5"/>
      <c r="R17" s="63">
        <f t="shared" si="13"/>
        <v>2025</v>
      </c>
      <c r="S17" s="5">
        <f>C17*VLOOKUP($R17,Inflation!$B$28:$M$69,12,FALSE)</f>
        <v>0.29225905525737894</v>
      </c>
      <c r="T17" s="5">
        <f>D17*VLOOKUP($R17,Inflation!$B$28:$M$69,12,FALSE)</f>
        <v>7.0682478514036262</v>
      </c>
      <c r="U17" s="104">
        <f>U18/(1+U$46)</f>
        <v>15.523219674512619</v>
      </c>
      <c r="V17" s="104">
        <f t="shared" ref="V17:W18" si="16">V18/(1+V$46)</f>
        <v>25.910124894001946</v>
      </c>
      <c r="W17" s="104">
        <f t="shared" si="16"/>
        <v>36.247927093814738</v>
      </c>
      <c r="X17" s="5">
        <v>35.086918051380763</v>
      </c>
      <c r="Y17" s="5">
        <v>24.358771840123431</v>
      </c>
      <c r="Z17" s="5">
        <v>37.693176170283174</v>
      </c>
      <c r="AA17" s="5">
        <v>7.2759494296166745</v>
      </c>
      <c r="AB17" s="5">
        <v>34.799450459508954</v>
      </c>
      <c r="AC17" s="5">
        <f t="shared" si="8"/>
        <v>24.358771840123431</v>
      </c>
      <c r="AD17" s="5">
        <f t="shared" si="9"/>
        <v>51.18660981583961</v>
      </c>
      <c r="AE17" s="3">
        <f t="shared" ref="AE17:AE27" si="17">L17/1.1023</f>
        <v>42.403537985915804</v>
      </c>
      <c r="AF17" s="3">
        <f t="shared" si="11"/>
        <v>14.163365066236056</v>
      </c>
      <c r="AG17" s="3">
        <f>N17*VLOOKUP($R17,Inflation!$B$27:$L$69,11,FALSE)</f>
        <v>19.456849999999999</v>
      </c>
      <c r="AH17" s="3">
        <f>O17*VLOOKUP($R17,Inflation!$B$27:$L$69,11,FALSE)</f>
        <v>64.886449999999996</v>
      </c>
      <c r="AI17" s="3">
        <f>P17*VLOOKUP($R17,Inflation!$B$27:$L$69,11,FALSE)</f>
        <v>95.39364999999998</v>
      </c>
      <c r="AJ17" s="3"/>
      <c r="AK17" s="3"/>
      <c r="AL17" s="3"/>
      <c r="AM17" s="3"/>
      <c r="AN17" s="3"/>
      <c r="AO17" s="3"/>
      <c r="AP17" s="1">
        <f>AQ17</f>
        <v>9.9298941093544322</v>
      </c>
      <c r="AQ17" s="1">
        <f>AT17</f>
        <v>9.9298941093544322</v>
      </c>
      <c r="AR17" s="1">
        <v>87.149334996125461</v>
      </c>
      <c r="AS17" s="1">
        <f>AV17</f>
        <v>22.573976139511714</v>
      </c>
      <c r="AT17" s="58">
        <v>9.9298941093544322</v>
      </c>
      <c r="AU17" s="58">
        <v>58.9539619091437</v>
      </c>
      <c r="AV17" s="58">
        <v>22.573976139511714</v>
      </c>
    </row>
    <row r="18" spans="1:48">
      <c r="A18" s="61">
        <f t="shared" si="14"/>
        <v>0.90909090909090873</v>
      </c>
      <c r="B18" s="6">
        <f t="shared" si="12"/>
        <v>2026</v>
      </c>
      <c r="C18" s="3">
        <f>C19/C20*C19</f>
        <v>0.48499999999999999</v>
      </c>
      <c r="D18" s="5">
        <f t="shared" si="15"/>
        <v>6.4513146143632252</v>
      </c>
      <c r="E18" s="5">
        <f t="shared" si="4"/>
        <v>43.347988992934972</v>
      </c>
      <c r="F18" s="5">
        <f t="shared" si="5"/>
        <v>28.813799303556657</v>
      </c>
      <c r="G18" s="5">
        <f t="shared" si="6"/>
        <v>47.409551201149412</v>
      </c>
      <c r="H18" s="5">
        <v>6.89</v>
      </c>
      <c r="I18" s="5">
        <v>32.94</v>
      </c>
      <c r="J18" s="5">
        <f t="shared" si="7"/>
        <v>28.813799303556657</v>
      </c>
      <c r="K18" s="5">
        <v>57.491</v>
      </c>
      <c r="L18" s="5">
        <v>50.247026416015615</v>
      </c>
      <c r="M18" s="5">
        <v>16.673912169762822</v>
      </c>
      <c r="N18" s="5">
        <v>17.408000000000001</v>
      </c>
      <c r="O18" s="5">
        <v>57.491</v>
      </c>
      <c r="P18" s="5">
        <v>84.257000000000005</v>
      </c>
      <c r="Q18" s="5"/>
      <c r="R18" s="63">
        <f t="shared" si="13"/>
        <v>2026</v>
      </c>
      <c r="S18" s="5">
        <f>C18*VLOOKUP($R18,Inflation!$B$28:$M$69,12,FALSE)</f>
        <v>0.59737750894608255</v>
      </c>
      <c r="T18" s="5">
        <f>D18*VLOOKUP($R18,Inflation!$B$28:$M$69,12,FALSE)</f>
        <v>7.9461242345479599</v>
      </c>
      <c r="U18" s="104">
        <f>U19/(1+U$46)</f>
        <v>16.533720043237917</v>
      </c>
      <c r="V18" s="104">
        <f t="shared" si="16"/>
        <v>27.576478485095901</v>
      </c>
      <c r="W18" s="104">
        <f t="shared" si="16"/>
        <v>38.593099438693024</v>
      </c>
      <c r="X18" s="5">
        <v>39.32503764214367</v>
      </c>
      <c r="Y18" s="5">
        <v>26.139707251707026</v>
      </c>
      <c r="Z18" s="5">
        <v>43.009662706295394</v>
      </c>
      <c r="AA18" s="5">
        <v>8.0148425724576171</v>
      </c>
      <c r="AB18" s="5">
        <v>38.333432597221446</v>
      </c>
      <c r="AC18" s="5">
        <f t="shared" si="8"/>
        <v>26.139707251707026</v>
      </c>
      <c r="AD18" s="5">
        <f t="shared" si="9"/>
        <v>52.155493059965522</v>
      </c>
      <c r="AE18" s="3">
        <f t="shared" si="17"/>
        <v>45.583803334859489</v>
      </c>
      <c r="AF18" s="3">
        <f t="shared" si="11"/>
        <v>15.126473890740108</v>
      </c>
      <c r="AG18" s="3">
        <f>N18*VLOOKUP($R18,Inflation!$B$27:$L$69,11,FALSE)</f>
        <v>20.541440000000001</v>
      </c>
      <c r="AH18" s="3">
        <f>O18*VLOOKUP($R18,Inflation!$B$27:$L$69,11,FALSE)</f>
        <v>67.839379999999991</v>
      </c>
      <c r="AI18" s="3">
        <f>P18*VLOOKUP($R18,Inflation!$B$27:$L$69,11,FALSE)</f>
        <v>99.423259999999999</v>
      </c>
      <c r="AJ18" s="3"/>
      <c r="AK18" s="3"/>
      <c r="AL18" s="3"/>
      <c r="AM18" s="3"/>
      <c r="AN18" s="3"/>
      <c r="AO18" s="3"/>
      <c r="AP18" s="1">
        <f>AP17*(1+AQ$34)</f>
        <v>11.169010453329191</v>
      </c>
      <c r="AQ18" s="1">
        <f t="shared" ref="AQ18:AQ30" si="18">AT18</f>
        <v>11.15226407421596</v>
      </c>
      <c r="AR18" s="1">
        <v>90.287992663853572</v>
      </c>
      <c r="AS18" s="1">
        <f t="shared" ref="AS18:AS30" si="19">AV18</f>
        <v>24.932128762521273</v>
      </c>
      <c r="AT18" s="58">
        <v>11.15226407421596</v>
      </c>
      <c r="AU18" s="58">
        <v>61.500516742045193</v>
      </c>
      <c r="AV18" s="58">
        <v>24.932128762521273</v>
      </c>
    </row>
    <row r="19" spans="1:48">
      <c r="A19" s="61">
        <f t="shared" si="14"/>
        <v>0.90909090909090873</v>
      </c>
      <c r="B19" s="6">
        <f t="shared" si="12"/>
        <v>2027</v>
      </c>
      <c r="C19" s="3">
        <f>C20/C21*C20</f>
        <v>0.97</v>
      </c>
      <c r="D19" s="5">
        <f t="shared" si="15"/>
        <v>7.0964460757995509</v>
      </c>
      <c r="E19" s="5">
        <f t="shared" si="4"/>
        <v>48.583956458133954</v>
      </c>
      <c r="F19" s="5">
        <f t="shared" si="5"/>
        <v>30.874048076051693</v>
      </c>
      <c r="G19" s="5">
        <f t="shared" si="6"/>
        <v>54.096497387393271</v>
      </c>
      <c r="H19" s="5">
        <v>7.42</v>
      </c>
      <c r="I19" s="5">
        <v>35.47</v>
      </c>
      <c r="J19" s="5">
        <f t="shared" si="7"/>
        <v>30.874048076051693</v>
      </c>
      <c r="K19" s="5">
        <v>58.56</v>
      </c>
      <c r="L19" s="5">
        <v>54.015553397216785</v>
      </c>
      <c r="M19" s="5">
        <v>17.807738197306694</v>
      </c>
      <c r="N19" s="5">
        <v>17.896999999999998</v>
      </c>
      <c r="O19" s="5">
        <v>58.56</v>
      </c>
      <c r="P19" s="5">
        <v>85.563000000000002</v>
      </c>
      <c r="Q19" s="5"/>
      <c r="R19" s="63">
        <f t="shared" si="13"/>
        <v>2027</v>
      </c>
      <c r="S19" s="5">
        <f>C19*VLOOKUP($R19,Inflation!$B$28:$M$69,12,FALSE)</f>
        <v>1.2210396282857927</v>
      </c>
      <c r="T19" s="5">
        <f>D19*VLOOKUP($R19,Inflation!$B$28:$M$69,12,FALSE)</f>
        <v>8.9330328644788199</v>
      </c>
      <c r="U19" s="111">
        <v>17.61</v>
      </c>
      <c r="V19" s="111">
        <v>29.35</v>
      </c>
      <c r="W19" s="111">
        <v>41.09</v>
      </c>
      <c r="X19" s="5">
        <v>44.075076166319469</v>
      </c>
      <c r="Y19" s="5">
        <v>28.008752677176531</v>
      </c>
      <c r="Z19" s="5">
        <v>49.076020491148753</v>
      </c>
      <c r="AA19" s="5">
        <v>8.8354309063308989</v>
      </c>
      <c r="AB19" s="5">
        <v>42.258146938423103</v>
      </c>
      <c r="AC19" s="5">
        <f t="shared" si="8"/>
        <v>28.008752677176531</v>
      </c>
      <c r="AD19" s="5">
        <f t="shared" si="9"/>
        <v>53.125283498140249</v>
      </c>
      <c r="AE19" s="3">
        <f t="shared" si="17"/>
        <v>49.00258858497395</v>
      </c>
      <c r="AF19" s="3">
        <f t="shared" si="11"/>
        <v>16.155074115310434</v>
      </c>
      <c r="AG19" s="3">
        <f>N19*VLOOKUP($R19,Inflation!$B$27:$L$69,11,FALSE)</f>
        <v>21.655369999999998</v>
      </c>
      <c r="AH19" s="3">
        <f>O19*VLOOKUP($R19,Inflation!$B$27:$L$69,11,FALSE)</f>
        <v>70.857600000000005</v>
      </c>
      <c r="AI19" s="3">
        <f>P19*VLOOKUP($R19,Inflation!$B$27:$L$69,11,FALSE)</f>
        <v>103.53122999999999</v>
      </c>
      <c r="AJ19" s="3"/>
      <c r="AK19" s="3"/>
      <c r="AL19" s="3"/>
      <c r="AM19" s="3"/>
      <c r="AN19" s="3"/>
      <c r="AO19" s="3"/>
      <c r="AP19" s="1">
        <f t="shared" ref="AP19:AP32" si="20">AP18*(1+AQ$34)</f>
        <v>12.562751740631287</v>
      </c>
      <c r="AQ19" s="1">
        <f t="shared" si="18"/>
        <v>12.537375272233584</v>
      </c>
      <c r="AR19" s="1">
        <v>93.611637611189636</v>
      </c>
      <c r="AS19" s="1">
        <f t="shared" si="19"/>
        <v>27.5635920978354</v>
      </c>
      <c r="AT19" s="58">
        <v>12.537375272233584</v>
      </c>
      <c r="AU19" s="58">
        <v>64.190837219101468</v>
      </c>
      <c r="AV19" s="58">
        <v>27.5635920978354</v>
      </c>
    </row>
    <row r="20" spans="1:48">
      <c r="A20" s="61">
        <f t="shared" si="14"/>
        <v>0.90909090909090873</v>
      </c>
      <c r="B20" s="6">
        <f t="shared" si="12"/>
        <v>2028</v>
      </c>
      <c r="C20" s="3">
        <v>1.94</v>
      </c>
      <c r="D20" s="5">
        <f>D21*A22</f>
        <v>7.8060906833795087</v>
      </c>
      <c r="E20" s="5">
        <f t="shared" si="4"/>
        <v>54.452372069914588</v>
      </c>
      <c r="F20" s="5">
        <f t="shared" si="5"/>
        <v>33.072760724369253</v>
      </c>
      <c r="G20" s="5">
        <f t="shared" si="6"/>
        <v>61.726613212767504</v>
      </c>
      <c r="H20" s="5">
        <v>7.99</v>
      </c>
      <c r="I20" s="5">
        <v>38.200000000000003</v>
      </c>
      <c r="J20" s="5">
        <f t="shared" si="7"/>
        <v>33.072760724369253</v>
      </c>
      <c r="K20" s="5">
        <v>59.628</v>
      </c>
      <c r="L20" s="5">
        <v>58.066719902008039</v>
      </c>
      <c r="M20" s="5">
        <v>19.018664394723551</v>
      </c>
      <c r="N20" s="5">
        <v>18.385999999999999</v>
      </c>
      <c r="O20" s="5">
        <v>59.628</v>
      </c>
      <c r="P20" s="5">
        <v>86.869</v>
      </c>
      <c r="Q20" s="5"/>
      <c r="R20" s="63">
        <f t="shared" si="13"/>
        <v>2028</v>
      </c>
      <c r="S20" s="5">
        <f>C20*VLOOKUP($R20,Inflation!$B$28:$M$69,12,FALSE)</f>
        <v>2.4958050002161603</v>
      </c>
      <c r="T20" s="5">
        <f>D20*VLOOKUP($R20,Inflation!$B$28:$M$69,12,FALSE)</f>
        <v>10.042515546247095</v>
      </c>
      <c r="U20" s="111">
        <v>18.899999999999999</v>
      </c>
      <c r="V20" s="111">
        <v>31.51</v>
      </c>
      <c r="W20" s="111">
        <v>44.11</v>
      </c>
      <c r="X20" s="5">
        <v>49.398867885253182</v>
      </c>
      <c r="Y20" s="5">
        <v>30.003411706766986</v>
      </c>
      <c r="Z20" s="5">
        <v>55.99801615963667</v>
      </c>
      <c r="AA20" s="5">
        <v>9.7457533341508711</v>
      </c>
      <c r="AB20" s="5">
        <v>46.612041991644979</v>
      </c>
      <c r="AC20" s="5">
        <f t="shared" ref="AC20:AC32" si="21">J20/1.1023</f>
        <v>30.00341170676699</v>
      </c>
      <c r="AD20" s="5">
        <f t="shared" si="9"/>
        <v>54.094166742266168</v>
      </c>
      <c r="AE20" s="3">
        <f t="shared" si="17"/>
        <v>52.677782728846992</v>
      </c>
      <c r="AF20" s="3">
        <f t="shared" ref="AF20:AF30" si="22">M20/1.1023</f>
        <v>17.253619155151547</v>
      </c>
      <c r="AG20" s="3">
        <f>N20*VLOOKUP($R20,Inflation!$B$27:$L$69,11,FALSE)</f>
        <v>22.61478</v>
      </c>
      <c r="AH20" s="3">
        <f>O20*VLOOKUP($R20,Inflation!$B$27:$L$69,11,FALSE)</f>
        <v>73.342439999999996</v>
      </c>
      <c r="AI20" s="3">
        <f>P20*VLOOKUP($R20,Inflation!$B$27:$L$69,11,FALSE)</f>
        <v>106.84887000000001</v>
      </c>
      <c r="AJ20" s="3"/>
      <c r="AK20" s="3"/>
      <c r="AL20" s="3"/>
      <c r="AM20" s="3"/>
      <c r="AN20" s="3"/>
      <c r="AO20" s="3"/>
      <c r="AP20" s="1">
        <f t="shared" si="20"/>
        <v>14.130413070720294</v>
      </c>
      <c r="AQ20" s="1">
        <f t="shared" si="18"/>
        <v>14.094517281044997</v>
      </c>
      <c r="AR20" s="1">
        <v>97.037823547759174</v>
      </c>
      <c r="AS20" s="1">
        <f t="shared" si="19"/>
        <v>30.472793421391895</v>
      </c>
      <c r="AT20" s="58">
        <v>14.094517281044997</v>
      </c>
      <c r="AU20" s="58">
        <v>66.969765547045057</v>
      </c>
      <c r="AV20" s="58">
        <v>30.472793421391895</v>
      </c>
    </row>
    <row r="21" spans="1:48">
      <c r="A21" s="61">
        <f t="shared" si="14"/>
        <v>0.90909090909090873</v>
      </c>
      <c r="B21" s="6">
        <f t="shared" si="12"/>
        <v>2029</v>
      </c>
      <c r="C21" s="3">
        <v>3.88</v>
      </c>
      <c r="D21" s="5">
        <f>D22*A23</f>
        <v>8.5866997517174628</v>
      </c>
      <c r="E21" s="5">
        <f t="shared" si="4"/>
        <v>61.029628712834104</v>
      </c>
      <c r="F21" s="5">
        <f t="shared" si="5"/>
        <v>35.422664912342732</v>
      </c>
      <c r="G21" s="5">
        <f t="shared" si="6"/>
        <v>70.432929352770458</v>
      </c>
      <c r="H21" s="5">
        <v>8.6</v>
      </c>
      <c r="I21" s="5">
        <v>41.14</v>
      </c>
      <c r="J21" s="5">
        <f t="shared" si="7"/>
        <v>35.422664912342732</v>
      </c>
      <c r="K21" s="5">
        <v>60.695999999999998</v>
      </c>
      <c r="L21" s="5">
        <v>62.421723894658641</v>
      </c>
      <c r="M21" s="5">
        <v>20.311933573564755</v>
      </c>
      <c r="N21" s="5">
        <v>18.873999999999999</v>
      </c>
      <c r="O21" s="5">
        <v>60.695999999999998</v>
      </c>
      <c r="P21" s="5">
        <v>88.174999999999997</v>
      </c>
      <c r="Q21" s="5"/>
      <c r="R21" s="63">
        <f t="shared" si="13"/>
        <v>2029</v>
      </c>
      <c r="S21" s="5">
        <f>C21*VLOOKUP($R21,Inflation!$B$28:$M$69,12,FALSE)</f>
        <v>5.1064170304422642</v>
      </c>
      <c r="T21" s="5">
        <f>D21*VLOOKUP($R21,Inflation!$B$28:$M$69,12,FALSE)</f>
        <v>11.30084274419186</v>
      </c>
      <c r="U21" s="111">
        <v>20.3</v>
      </c>
      <c r="V21" s="111">
        <v>33.83</v>
      </c>
      <c r="W21" s="111">
        <v>47.36</v>
      </c>
      <c r="X21" s="5">
        <v>55.36571596918634</v>
      </c>
      <c r="Y21" s="5">
        <v>32.135230801363271</v>
      </c>
      <c r="Z21" s="5">
        <v>63.896334348880032</v>
      </c>
      <c r="AA21" s="5">
        <v>10.752068701552995</v>
      </c>
      <c r="AB21" s="5">
        <v>51.425052597794547</v>
      </c>
      <c r="AC21" s="5">
        <f t="shared" si="21"/>
        <v>32.135230801363271</v>
      </c>
      <c r="AD21" s="5">
        <f t="shared" si="9"/>
        <v>55.063049986392087</v>
      </c>
      <c r="AE21" s="3">
        <f t="shared" si="17"/>
        <v>56.628616433510508</v>
      </c>
      <c r="AF21" s="3">
        <f t="shared" si="22"/>
        <v>18.426865257701852</v>
      </c>
      <c r="AG21" s="3">
        <f>N21*VLOOKUP($R21,Inflation!$B$27:$L$69,11,FALSE)</f>
        <v>23.78124</v>
      </c>
      <c r="AH21" s="3">
        <f>O21*VLOOKUP($R21,Inflation!$B$27:$L$69,11,FALSE)</f>
        <v>76.476959999999991</v>
      </c>
      <c r="AI21" s="3">
        <f>P21*VLOOKUP($R21,Inflation!$B$27:$L$69,11,FALSE)</f>
        <v>111.1005</v>
      </c>
      <c r="AJ21" s="3"/>
      <c r="AK21" s="3"/>
      <c r="AL21" s="3"/>
      <c r="AM21" s="3"/>
      <c r="AN21" s="3"/>
      <c r="AO21" s="3"/>
      <c r="AP21" s="1">
        <f t="shared" si="20"/>
        <v>15.893697310231929</v>
      </c>
      <c r="AQ21" s="1">
        <f t="shared" si="18"/>
        <v>15.845056327350784</v>
      </c>
      <c r="AR21" s="1">
        <v>100.56945363293396</v>
      </c>
      <c r="AS21" s="1">
        <f t="shared" si="19"/>
        <v>33.689046609267905</v>
      </c>
      <c r="AT21" s="58">
        <v>15.845056327350784</v>
      </c>
      <c r="AU21" s="58">
        <v>68.443100389080044</v>
      </c>
      <c r="AV21" s="58">
        <v>33.689046609267905</v>
      </c>
    </row>
    <row r="22" spans="1:48">
      <c r="A22" s="61">
        <f t="shared" ref="A22:A31" si="23">D21/D22</f>
        <v>0.90909090909090873</v>
      </c>
      <c r="B22" s="6">
        <f t="shared" si="12"/>
        <v>2030</v>
      </c>
      <c r="C22" s="3">
        <v>5.82</v>
      </c>
      <c r="D22" s="5">
        <v>9.4453697268892132</v>
      </c>
      <c r="E22" s="5">
        <f t="shared" si="4"/>
        <v>68.401346704311251</v>
      </c>
      <c r="F22" s="5">
        <f t="shared" si="5"/>
        <v>37.938059678322979</v>
      </c>
      <c r="G22" s="5">
        <f t="shared" si="6"/>
        <v>80.367239979825612</v>
      </c>
      <c r="H22" s="5">
        <v>9.26</v>
      </c>
      <c r="I22" s="5">
        <v>44.31</v>
      </c>
      <c r="J22" s="5">
        <f t="shared" si="7"/>
        <v>37.938059678322979</v>
      </c>
      <c r="K22" s="5">
        <v>61.764000000000003</v>
      </c>
      <c r="L22" s="5">
        <v>67.103353186758042</v>
      </c>
      <c r="M22" s="5">
        <v>21.693145056567158</v>
      </c>
      <c r="N22" s="5">
        <v>19.363</v>
      </c>
      <c r="O22" s="5">
        <v>61.764000000000003</v>
      </c>
      <c r="P22" s="5">
        <v>89.480999999999995</v>
      </c>
      <c r="Q22" s="5"/>
      <c r="R22" s="63">
        <f t="shared" si="13"/>
        <v>2030</v>
      </c>
      <c r="S22" s="5">
        <f>C22*VLOOKUP($R22,Inflation!$B$28:$M$69,12,FALSE)</f>
        <v>7.8357969332136532</v>
      </c>
      <c r="T22" s="5">
        <f>D22*VLOOKUP($R22,Inflation!$B$28:$M$69,12,FALSE)</f>
        <v>12.716838340039102</v>
      </c>
      <c r="U22" s="111">
        <v>21.79</v>
      </c>
      <c r="V22" s="111">
        <v>36.32</v>
      </c>
      <c r="W22" s="111">
        <v>50.85</v>
      </c>
      <c r="X22" s="5">
        <v>62.053294660538185</v>
      </c>
      <c r="Y22" s="5">
        <v>34.417181963460926</v>
      </c>
      <c r="Z22" s="5">
        <v>72.908681828744989</v>
      </c>
      <c r="AA22" s="5">
        <v>11.860161405093679</v>
      </c>
      <c r="AB22" s="5">
        <v>56.724844400146196</v>
      </c>
      <c r="AC22" s="5">
        <f t="shared" si="21"/>
        <v>34.417181963460926</v>
      </c>
      <c r="AD22" s="5">
        <f t="shared" si="9"/>
        <v>56.031933230518007</v>
      </c>
      <c r="AE22" s="3">
        <f t="shared" si="17"/>
        <v>60.875762666023803</v>
      </c>
      <c r="AF22" s="3">
        <f t="shared" si="22"/>
        <v>19.679892095225579</v>
      </c>
      <c r="AG22" s="3">
        <f>N22*VLOOKUP($R22,Inflation!$B$27:$L$69,11,FALSE)</f>
        <v>24.978269999999998</v>
      </c>
      <c r="AH22" s="3">
        <f>O22*VLOOKUP($R22,Inflation!$B$27:$L$69,11,FALSE)</f>
        <v>79.675560000000004</v>
      </c>
      <c r="AI22" s="3">
        <f>P22*VLOOKUP($R22,Inflation!$B$27:$L$69,11,FALSE)</f>
        <v>115.43048999999999</v>
      </c>
      <c r="AJ22" s="3"/>
      <c r="AK22" s="3"/>
      <c r="AL22" s="3"/>
      <c r="AM22" s="3"/>
      <c r="AN22" s="3"/>
      <c r="AO22" s="3"/>
      <c r="AP22" s="1">
        <f t="shared" si="20"/>
        <v>17.877015549722845</v>
      </c>
      <c r="AQ22" s="1">
        <f t="shared" si="18"/>
        <v>17.830441885167836</v>
      </c>
      <c r="AR22" s="1">
        <v>104.31147538685937</v>
      </c>
      <c r="AS22" s="1">
        <f t="shared" si="19"/>
        <v>37.281202485896131</v>
      </c>
      <c r="AT22" s="58">
        <v>17.830441885167836</v>
      </c>
      <c r="AU22" s="58">
        <v>71.446216018396839</v>
      </c>
      <c r="AV22" s="58">
        <v>37.281202485896131</v>
      </c>
    </row>
    <row r="23" spans="1:48">
      <c r="A23" s="61">
        <f t="shared" si="23"/>
        <v>0.90909090909090862</v>
      </c>
      <c r="B23" s="6">
        <f t="shared" si="12"/>
        <v>2031</v>
      </c>
      <c r="C23" s="3">
        <v>7.76</v>
      </c>
      <c r="D23" s="5">
        <v>10.389906699578139</v>
      </c>
      <c r="E23" s="5">
        <f t="shared" si="4"/>
        <v>76.663488368551839</v>
      </c>
      <c r="F23" s="5">
        <f t="shared" si="5"/>
        <v>40.632917719603469</v>
      </c>
      <c r="G23" s="5">
        <f t="shared" si="6"/>
        <v>91.702749286840699</v>
      </c>
      <c r="H23" s="5">
        <v>9.98</v>
      </c>
      <c r="I23" s="5">
        <v>45.42</v>
      </c>
      <c r="J23" s="5">
        <f t="shared" si="7"/>
        <v>40.632917719603469</v>
      </c>
      <c r="K23" s="5">
        <v>62.908000000000001</v>
      </c>
      <c r="L23" s="5">
        <v>72.136104675764898</v>
      </c>
      <c r="M23" s="5">
        <v>23.168278920413726</v>
      </c>
      <c r="N23" s="5">
        <v>19.946999999999999</v>
      </c>
      <c r="O23" s="5">
        <v>62.908000000000001</v>
      </c>
      <c r="P23" s="5">
        <v>90.843999999999994</v>
      </c>
      <c r="Q23" s="5"/>
      <c r="R23" s="63">
        <f t="shared" si="13"/>
        <v>2031</v>
      </c>
      <c r="S23" s="5">
        <f>C23*VLOOKUP($R23,Inflation!$B$28:$M$69,12,FALSE)</f>
        <v>10.688027016903423</v>
      </c>
      <c r="T23" s="5">
        <f>D23*VLOOKUP($R23,Inflation!$B$28:$M$69,12,FALSE)</f>
        <v>14.310258184046008</v>
      </c>
      <c r="U23" s="111">
        <v>23.34</v>
      </c>
      <c r="V23" s="111">
        <v>38.9</v>
      </c>
      <c r="W23" s="111">
        <v>54.46</v>
      </c>
      <c r="X23" s="5">
        <v>69.548660408737945</v>
      </c>
      <c r="Y23" s="5">
        <v>36.86194114089038</v>
      </c>
      <c r="Z23" s="5">
        <v>83.192188412265892</v>
      </c>
      <c r="AA23" s="5">
        <v>13.073198122490565</v>
      </c>
      <c r="AB23" s="5">
        <v>59.507638883141567</v>
      </c>
      <c r="AC23" s="5">
        <f t="shared" si="21"/>
        <v>36.86194114089038</v>
      </c>
      <c r="AD23" s="5">
        <f t="shared" si="9"/>
        <v>57.069763222353259</v>
      </c>
      <c r="AE23" s="3">
        <f t="shared" si="17"/>
        <v>65.441444865975598</v>
      </c>
      <c r="AF23" s="3">
        <f t="shared" si="22"/>
        <v>21.018124757700921</v>
      </c>
      <c r="AG23" s="3">
        <f>N23*VLOOKUP($R23,Inflation!$B$27:$L$69,11,FALSE)</f>
        <v>26.33004</v>
      </c>
      <c r="AH23" s="3">
        <f>O23*VLOOKUP($R23,Inflation!$B$27:$L$69,11,FALSE)</f>
        <v>83.038560000000004</v>
      </c>
      <c r="AI23" s="3">
        <f>P23*VLOOKUP($R23,Inflation!$B$27:$L$69,11,FALSE)</f>
        <v>119.91408</v>
      </c>
      <c r="AJ23" s="3"/>
      <c r="AK23" s="3"/>
      <c r="AL23" s="3"/>
      <c r="AM23" s="3"/>
      <c r="AN23" s="3"/>
      <c r="AO23" s="3"/>
      <c r="AP23" s="1">
        <f t="shared" si="20"/>
        <v>20.107825053349327</v>
      </c>
      <c r="AQ23" s="1">
        <f t="shared" si="18"/>
        <v>20.064596253379367</v>
      </c>
      <c r="AR23" s="1">
        <v>108.17242890049356</v>
      </c>
      <c r="AS23" s="1">
        <f t="shared" si="19"/>
        <v>41.256378517165501</v>
      </c>
      <c r="AT23" s="58">
        <v>20.064596253379367</v>
      </c>
      <c r="AU23" s="58">
        <v>74.551268566556345</v>
      </c>
      <c r="AV23" s="58">
        <v>41.256378517165501</v>
      </c>
    </row>
    <row r="24" spans="1:48">
      <c r="A24" s="61">
        <f t="shared" si="23"/>
        <v>0.90909090909090939</v>
      </c>
      <c r="B24" s="6">
        <f t="shared" si="12"/>
        <v>2032</v>
      </c>
      <c r="C24" s="3">
        <v>9.6999999999999993</v>
      </c>
      <c r="D24" s="5">
        <v>11.428897369535949</v>
      </c>
      <c r="E24" s="5">
        <f t="shared" si="4"/>
        <v>85.923607238929492</v>
      </c>
      <c r="F24" s="5">
        <f t="shared" si="5"/>
        <v>43.527767554034178</v>
      </c>
      <c r="G24" s="5">
        <f t="shared" si="6"/>
        <v>104.63709129336978</v>
      </c>
      <c r="H24" s="5">
        <v>10.75</v>
      </c>
      <c r="I24" s="5">
        <v>46.56</v>
      </c>
      <c r="J24" s="5">
        <f t="shared" si="7"/>
        <v>43.527767554034178</v>
      </c>
      <c r="K24" s="5">
        <v>64.052000000000007</v>
      </c>
      <c r="L24" s="5">
        <v>77.546312526447267</v>
      </c>
      <c r="M24" s="5">
        <v>24.743721887001861</v>
      </c>
      <c r="N24" s="5">
        <v>20.53</v>
      </c>
      <c r="O24" s="5">
        <v>64.052000000000007</v>
      </c>
      <c r="P24" s="5">
        <v>92.206999999999994</v>
      </c>
      <c r="Q24" s="5"/>
      <c r="R24" s="63">
        <f t="shared" si="13"/>
        <v>2032</v>
      </c>
      <c r="S24" s="5">
        <f>C24*VLOOKUP($R24,Inflation!$B$28:$M$69,12,FALSE)</f>
        <v>13.667314547865249</v>
      </c>
      <c r="T24" s="5">
        <f>D24*VLOOKUP($R24,Inflation!$B$28:$M$69,12,FALSE)</f>
        <v>16.103333534506966</v>
      </c>
      <c r="U24" s="111">
        <v>24.99</v>
      </c>
      <c r="V24" s="111">
        <v>41.66</v>
      </c>
      <c r="W24" s="111">
        <v>58.32</v>
      </c>
      <c r="X24" s="5">
        <v>77.949385139190312</v>
      </c>
      <c r="Y24" s="5">
        <v>39.488131682875967</v>
      </c>
      <c r="Z24" s="5">
        <v>94.926146505823979</v>
      </c>
      <c r="AA24" s="5">
        <v>14.417985351509845</v>
      </c>
      <c r="AB24" s="5">
        <v>62.460235593541604</v>
      </c>
      <c r="AC24" s="5">
        <f t="shared" si="21"/>
        <v>39.488131682875967</v>
      </c>
      <c r="AD24" s="5">
        <f t="shared" si="9"/>
        <v>58.107593214188519</v>
      </c>
      <c r="AE24" s="3">
        <f t="shared" si="17"/>
        <v>70.34955323092376</v>
      </c>
      <c r="AF24" s="3">
        <f t="shared" si="22"/>
        <v>22.447357241224584</v>
      </c>
      <c r="AG24" s="3">
        <f>N24*VLOOKUP($R24,Inflation!$B$27:$L$69,11,FALSE)</f>
        <v>27.715500000000002</v>
      </c>
      <c r="AH24" s="3">
        <f>O24*VLOOKUP($R24,Inflation!$B$27:$L$69,11,FALSE)</f>
        <v>86.47020000000002</v>
      </c>
      <c r="AI24" s="3">
        <f>P24*VLOOKUP($R24,Inflation!$B$27:$L$69,11,FALSE)</f>
        <v>124.47945</v>
      </c>
      <c r="AJ24" s="3"/>
      <c r="AK24" s="3"/>
      <c r="AL24" s="3"/>
      <c r="AM24" s="3"/>
      <c r="AN24" s="3"/>
      <c r="AO24" s="3"/>
      <c r="AP24" s="1">
        <f t="shared" si="20"/>
        <v>22.617009380090362</v>
      </c>
      <c r="AQ24" s="1">
        <f t="shared" si="18"/>
        <v>22.578690163927799</v>
      </c>
      <c r="AR24" s="1">
        <v>112.15580550527523</v>
      </c>
      <c r="AS24" s="1">
        <f t="shared" si="19"/>
        <v>45.655414923795789</v>
      </c>
      <c r="AT24" s="58">
        <v>22.578690163927799</v>
      </c>
      <c r="AU24" s="58">
        <v>77.761358483657489</v>
      </c>
      <c r="AV24" s="58">
        <v>45.655414923795789</v>
      </c>
    </row>
    <row r="25" spans="1:48">
      <c r="A25" s="61">
        <f t="shared" si="23"/>
        <v>0.90909090909090895</v>
      </c>
      <c r="B25" s="6">
        <f t="shared" si="12"/>
        <v>2033</v>
      </c>
      <c r="C25" s="3">
        <v>11.63</v>
      </c>
      <c r="D25" s="5">
        <v>12.571787106489547</v>
      </c>
      <c r="E25" s="5">
        <f t="shared" si="4"/>
        <v>96.302248150481205</v>
      </c>
      <c r="F25" s="5">
        <f t="shared" si="5"/>
        <v>46.639858495405456</v>
      </c>
      <c r="G25" s="5">
        <f t="shared" si="6"/>
        <v>119.39577558454026</v>
      </c>
      <c r="H25" s="5">
        <v>11.57</v>
      </c>
      <c r="I25" s="5">
        <v>47.72</v>
      </c>
      <c r="J25" s="5">
        <f t="shared" si="7"/>
        <v>46.639858495405456</v>
      </c>
      <c r="K25" s="5">
        <v>65.195999999999998</v>
      </c>
      <c r="L25" s="5">
        <v>83.362285965930809</v>
      </c>
      <c r="M25" s="5">
        <v>26.42629497531799</v>
      </c>
      <c r="N25" s="5">
        <v>21.114000000000001</v>
      </c>
      <c r="O25" s="5">
        <v>65.195999999999998</v>
      </c>
      <c r="P25" s="5">
        <v>93.57</v>
      </c>
      <c r="Q25" s="5"/>
      <c r="R25" s="63">
        <f t="shared" si="13"/>
        <v>2033</v>
      </c>
      <c r="S25" s="5">
        <f>C25*VLOOKUP($R25,Inflation!$B$28:$M$69,12,FALSE)</f>
        <v>16.747194566174194</v>
      </c>
      <c r="T25" s="5">
        <f>D25*VLOOKUP($R25,Inflation!$B$28:$M$69,12,FALSE)</f>
        <v>18.103367559492735</v>
      </c>
      <c r="U25" s="111">
        <v>26.77</v>
      </c>
      <c r="V25" s="111">
        <v>44.62</v>
      </c>
      <c r="W25" s="111">
        <v>62.46</v>
      </c>
      <c r="X25" s="5">
        <v>87.364826408855308</v>
      </c>
      <c r="Y25" s="5">
        <v>42.311402064234287</v>
      </c>
      <c r="Z25" s="5">
        <v>108.31513706299579</v>
      </c>
      <c r="AA25" s="5">
        <v>15.899200130275478</v>
      </c>
      <c r="AB25" s="5">
        <v>65.551476180211424</v>
      </c>
      <c r="AC25" s="5">
        <f t="shared" si="21"/>
        <v>42.311402064234287</v>
      </c>
      <c r="AD25" s="5">
        <f t="shared" si="9"/>
        <v>59.145423206023764</v>
      </c>
      <c r="AE25" s="3">
        <f t="shared" si="17"/>
        <v>75.625769723243039</v>
      </c>
      <c r="AF25" s="3">
        <f t="shared" si="22"/>
        <v>23.97377753362786</v>
      </c>
      <c r="AG25" s="3">
        <f>N25*VLOOKUP($R25,Inflation!$B$27:$L$69,11,FALSE)</f>
        <v>29.137319999999999</v>
      </c>
      <c r="AH25" s="3">
        <f>O25*VLOOKUP($R25,Inflation!$B$27:$L$69,11,FALSE)</f>
        <v>89.970479999999995</v>
      </c>
      <c r="AI25" s="3">
        <f>P25*VLOOKUP($R25,Inflation!$B$27:$L$69,11,FALSE)</f>
        <v>129.12659999999997</v>
      </c>
      <c r="AJ25" s="3"/>
      <c r="AK25" s="3"/>
      <c r="AL25" s="3"/>
      <c r="AM25" s="3"/>
      <c r="AN25" s="3"/>
      <c r="AO25" s="3"/>
      <c r="AP25" s="1">
        <f t="shared" si="20"/>
        <v>25.439305938952902</v>
      </c>
      <c r="AQ25" s="1">
        <f t="shared" si="18"/>
        <v>25.407800041467951</v>
      </c>
      <c r="AR25" s="1">
        <v>116.2651942189885</v>
      </c>
      <c r="AS25" s="1">
        <f t="shared" si="19"/>
        <v>50.523506589331248</v>
      </c>
      <c r="AT25" s="58">
        <v>25.407800041467951</v>
      </c>
      <c r="AU25" s="58">
        <v>81.079674915873554</v>
      </c>
      <c r="AV25" s="58">
        <v>50.523506589331248</v>
      </c>
    </row>
    <row r="26" spans="1:48">
      <c r="A26" s="61">
        <f t="shared" si="23"/>
        <v>0.90909090909090884</v>
      </c>
      <c r="B26" s="6">
        <f t="shared" si="12"/>
        <v>2034</v>
      </c>
      <c r="C26" s="3">
        <v>13.57</v>
      </c>
      <c r="D26" s="5">
        <v>13.828965817138505</v>
      </c>
      <c r="E26" s="5">
        <f t="shared" si="4"/>
        <v>107.934516448409</v>
      </c>
      <c r="F26" s="5">
        <f t="shared" si="5"/>
        <v>49.985521737249755</v>
      </c>
      <c r="G26" s="5">
        <f t="shared" si="6"/>
        <v>136.23611905902794</v>
      </c>
      <c r="H26" s="5">
        <v>12.47</v>
      </c>
      <c r="I26" s="5">
        <v>48.91</v>
      </c>
      <c r="J26" s="5">
        <f t="shared" si="7"/>
        <v>49.985521737249755</v>
      </c>
      <c r="K26" s="5">
        <v>66.34</v>
      </c>
      <c r="L26" s="5">
        <v>89.614457413375618</v>
      </c>
      <c r="M26" s="5">
        <v>28.223283033639614</v>
      </c>
      <c r="N26" s="5">
        <v>21.696999999999999</v>
      </c>
      <c r="O26" s="5">
        <v>66.34</v>
      </c>
      <c r="P26" s="5">
        <v>94.933999999999997</v>
      </c>
      <c r="Q26" s="5"/>
      <c r="R26" s="63">
        <f t="shared" si="13"/>
        <v>2034</v>
      </c>
      <c r="S26" s="5">
        <f>C26*VLOOKUP($R26,Inflation!$B$28:$M$69,12,FALSE)</f>
        <v>19.970691120272523</v>
      </c>
      <c r="T26" s="5">
        <f>D26*VLOOKUP($R26,Inflation!$B$28:$M$69,12,FALSE)</f>
        <v>20.351805810381737</v>
      </c>
      <c r="U26" s="111">
        <v>28.67</v>
      </c>
      <c r="V26" s="111">
        <v>47.78</v>
      </c>
      <c r="W26" s="111">
        <v>66.900000000000006</v>
      </c>
      <c r="X26" s="5">
        <v>97.917550982862195</v>
      </c>
      <c r="Y26" s="5">
        <v>45.346567846547899</v>
      </c>
      <c r="Z26" s="5">
        <v>123.59259644291748</v>
      </c>
      <c r="AA26" s="5">
        <v>17.530884286024015</v>
      </c>
      <c r="AB26" s="5">
        <v>68.78902999026873</v>
      </c>
      <c r="AC26" s="5">
        <f t="shared" si="21"/>
        <v>45.346567846547899</v>
      </c>
      <c r="AD26" s="5">
        <f t="shared" si="9"/>
        <v>60.183253197859024</v>
      </c>
      <c r="AE26" s="3">
        <f t="shared" si="17"/>
        <v>81.297702452486263</v>
      </c>
      <c r="AF26" s="3">
        <f t="shared" si="22"/>
        <v>25.603994405914555</v>
      </c>
      <c r="AG26" s="3">
        <f>N26*VLOOKUP($R26,Inflation!$B$27:$L$69,11,FALSE)</f>
        <v>30.592769999999998</v>
      </c>
      <c r="AH26" s="3">
        <f>O26*VLOOKUP($R26,Inflation!$B$27:$L$69,11,FALSE)</f>
        <v>93.539400000000001</v>
      </c>
      <c r="AI26" s="3">
        <f>P26*VLOOKUP($R26,Inflation!$B$27:$L$69,11,FALSE)</f>
        <v>133.85693999999998</v>
      </c>
      <c r="AJ26" s="3"/>
      <c r="AK26" s="3"/>
      <c r="AL26" s="3"/>
      <c r="AM26" s="3"/>
      <c r="AN26" s="3"/>
      <c r="AO26" s="3"/>
      <c r="AP26" s="1">
        <f t="shared" si="20"/>
        <v>28.61378689727805</v>
      </c>
      <c r="AQ26" s="1">
        <f t="shared" si="18"/>
        <v>28.591397386663886</v>
      </c>
      <c r="AR26" s="1">
        <v>120.50428439242027</v>
      </c>
      <c r="AS26" s="1">
        <f t="shared" si="19"/>
        <v>55.910667383985597</v>
      </c>
      <c r="AT26" s="58">
        <v>28.591397386663886</v>
      </c>
      <c r="AU26" s="58">
        <v>84.509498145333708</v>
      </c>
      <c r="AV26" s="58">
        <v>55.910667383985597</v>
      </c>
    </row>
    <row r="27" spans="1:48">
      <c r="A27" s="61">
        <f t="shared" si="23"/>
        <v>0.90909090909090917</v>
      </c>
      <c r="B27" s="6">
        <f t="shared" si="12"/>
        <v>2035</v>
      </c>
      <c r="C27" s="3">
        <v>15.51</v>
      </c>
      <c r="D27" s="5">
        <v>15.211862398852354</v>
      </c>
      <c r="E27" s="5">
        <f t="shared" si="4"/>
        <v>120.97183673996776</v>
      </c>
      <c r="F27" s="5">
        <f t="shared" si="5"/>
        <v>53.578514066506585</v>
      </c>
      <c r="G27" s="5">
        <f t="shared" si="6"/>
        <v>155.45173223590078</v>
      </c>
      <c r="H27" s="5">
        <v>13.43</v>
      </c>
      <c r="I27" s="5">
        <v>50.14</v>
      </c>
      <c r="J27" s="5">
        <f t="shared" si="7"/>
        <v>53.578514066506585</v>
      </c>
      <c r="K27" s="5">
        <v>67.483999999999995</v>
      </c>
      <c r="L27" s="5">
        <v>96.335541719378782</v>
      </c>
      <c r="M27" s="5">
        <v>30.14246627992711</v>
      </c>
      <c r="N27" s="5">
        <v>22.280999999999999</v>
      </c>
      <c r="O27" s="5">
        <v>67.483999999999995</v>
      </c>
      <c r="P27" s="5">
        <v>96.296999999999997</v>
      </c>
      <c r="Q27" s="5"/>
      <c r="R27" s="63">
        <f t="shared" si="13"/>
        <v>2035</v>
      </c>
      <c r="S27" s="5">
        <f>C27*VLOOKUP($R27,Inflation!$B$28:$M$69,12,FALSE)</f>
        <v>23.327915880581148</v>
      </c>
      <c r="T27" s="5">
        <f>D27*VLOOKUP($R27,Inflation!$B$28:$M$69,12,FALSE)</f>
        <v>22.879500092031147</v>
      </c>
      <c r="U27" s="111">
        <v>30.71</v>
      </c>
      <c r="V27" s="111">
        <v>51.18</v>
      </c>
      <c r="W27" s="111">
        <v>71.650000000000006</v>
      </c>
      <c r="X27" s="5">
        <v>109.74493036375556</v>
      </c>
      <c r="Y27" s="5">
        <v>48.606109105059041</v>
      </c>
      <c r="Z27" s="5">
        <v>141.02488636115464</v>
      </c>
      <c r="AA27" s="5">
        <v>19.332051408310473</v>
      </c>
      <c r="AB27" s="5">
        <v>72.194059940682465</v>
      </c>
      <c r="AC27" s="5">
        <f t="shared" si="21"/>
        <v>48.606109105059041</v>
      </c>
      <c r="AD27" s="5">
        <f t="shared" si="9"/>
        <v>61.221083189694269</v>
      </c>
      <c r="AE27" s="3">
        <f t="shared" si="17"/>
        <v>87.395030136422733</v>
      </c>
      <c r="AF27" s="3">
        <f t="shared" si="22"/>
        <v>27.345066025516743</v>
      </c>
      <c r="AG27" s="3">
        <f>N27*VLOOKUP($R27,Inflation!$B$27:$L$69,11,FALSE)</f>
        <v>32.08464</v>
      </c>
      <c r="AH27" s="3">
        <f>O27*VLOOKUP($R27,Inflation!$B$27:$L$69,11,FALSE)</f>
        <v>97.176959999999994</v>
      </c>
      <c r="AI27" s="3">
        <f>P27*VLOOKUP($R27,Inflation!$B$27:$L$69,11,FALSE)</f>
        <v>138.66767999999999</v>
      </c>
      <c r="AJ27" s="3"/>
      <c r="AK27" s="3"/>
      <c r="AL27" s="3"/>
      <c r="AM27" s="3"/>
      <c r="AN27" s="3"/>
      <c r="AO27" s="3"/>
      <c r="AP27" s="1">
        <f t="shared" si="20"/>
        <v>32.184400099892869</v>
      </c>
      <c r="AQ27" s="1">
        <f t="shared" si="18"/>
        <v>32.14244894208754</v>
      </c>
      <c r="AR27" s="1">
        <v>124.7547991509893</v>
      </c>
      <c r="AS27" s="1">
        <f t="shared" si="19"/>
        <v>61.811762820933083</v>
      </c>
      <c r="AT27" s="58">
        <v>32.14244894208754</v>
      </c>
      <c r="AU27" s="58">
        <v>87.968127606466808</v>
      </c>
      <c r="AV27" s="58">
        <v>61.811762820933083</v>
      </c>
    </row>
    <row r="28" spans="1:48">
      <c r="A28" s="61">
        <f t="shared" si="23"/>
        <v>0.90909090909090873</v>
      </c>
      <c r="B28" s="6">
        <f t="shared" si="12"/>
        <v>2036</v>
      </c>
      <c r="C28" s="3">
        <v>17.45</v>
      </c>
      <c r="D28" s="5">
        <v>16.733048638737596</v>
      </c>
      <c r="E28" s="5">
        <f t="shared" si="4"/>
        <v>127.24472687445756</v>
      </c>
      <c r="F28" s="5">
        <f t="shared" si="5"/>
        <v>57.440419162087181</v>
      </c>
      <c r="G28" s="5">
        <f t="shared" si="6"/>
        <v>163.21159155742978</v>
      </c>
      <c r="H28" s="5">
        <v>14.46</v>
      </c>
      <c r="I28" s="5">
        <v>51.39</v>
      </c>
      <c r="J28" s="5">
        <f t="shared" si="7"/>
        <v>57.440419162087181</v>
      </c>
      <c r="K28" s="5">
        <v>68.628</v>
      </c>
      <c r="L28" s="5">
        <v>103.56070734833219</v>
      </c>
      <c r="M28" s="5">
        <v>32.192153986962154</v>
      </c>
      <c r="N28" s="5">
        <v>22.864000000000001</v>
      </c>
      <c r="O28" s="5">
        <v>68.628</v>
      </c>
      <c r="P28" s="5">
        <v>97.66</v>
      </c>
      <c r="Q28" s="5"/>
      <c r="R28" s="63">
        <f t="shared" si="13"/>
        <v>2036</v>
      </c>
      <c r="S28" s="5">
        <f>C28*VLOOKUP($R28,Inflation!$B$28:$M$69,12,FALSE)</f>
        <v>26.823192715841145</v>
      </c>
      <c r="T28" s="5">
        <f>D28*VLOOKUP($R28,Inflation!$B$28:$M$69,12,FALSE)</f>
        <v>25.721134003461426</v>
      </c>
      <c r="U28" s="111">
        <v>32.89</v>
      </c>
      <c r="V28" s="111">
        <v>54.81</v>
      </c>
      <c r="W28" s="111">
        <v>76.73</v>
      </c>
      <c r="X28" s="5">
        <v>115.43565896258509</v>
      </c>
      <c r="Y28" s="5">
        <v>52.109606424827341</v>
      </c>
      <c r="Z28" s="5">
        <v>148.0645845572256</v>
      </c>
      <c r="AA28" s="5">
        <v>21.317479470677906</v>
      </c>
      <c r="AB28" s="5">
        <v>75.764810242715669</v>
      </c>
      <c r="AC28" s="5">
        <f t="shared" si="21"/>
        <v>52.109606424827341</v>
      </c>
      <c r="AD28" s="5">
        <f t="shared" si="9"/>
        <v>62.258913181529529</v>
      </c>
      <c r="AE28" s="3">
        <f t="shared" ref="AE28:AE42" si="24">L28/1.1023</f>
        <v>93.94965739665443</v>
      </c>
      <c r="AF28" s="3">
        <f t="shared" si="22"/>
        <v>29.204530515251886</v>
      </c>
      <c r="AG28" s="3">
        <f>N28*VLOOKUP($R28,Inflation!$B$27:$L$69,11,FALSE)</f>
        <v>33.610080000000004</v>
      </c>
      <c r="AH28" s="3">
        <f>O28*VLOOKUP($R28,Inflation!$B$27:$L$69,11,FALSE)</f>
        <v>100.88316</v>
      </c>
      <c r="AI28" s="3">
        <f>P28*VLOOKUP($R28,Inflation!$B$27:$L$69,11,FALSE)</f>
        <v>143.56019999999998</v>
      </c>
      <c r="AJ28" s="3"/>
      <c r="AK28" s="3"/>
      <c r="AL28" s="3"/>
      <c r="AM28" s="3"/>
      <c r="AN28" s="3"/>
      <c r="AO28" s="3"/>
      <c r="AP28" s="1">
        <f t="shared" si="20"/>
        <v>36.2005774876488</v>
      </c>
      <c r="AQ28" s="1">
        <f t="shared" si="18"/>
        <v>36.134541100694811</v>
      </c>
      <c r="AR28" s="1">
        <v>129.46093403588512</v>
      </c>
      <c r="AS28" s="1">
        <f t="shared" si="19"/>
        <v>68.335689803009572</v>
      </c>
      <c r="AT28" s="58">
        <v>36.134541100694811</v>
      </c>
      <c r="AU28" s="58">
        <v>91.53803416678744</v>
      </c>
      <c r="AV28" s="58">
        <v>68.335689803009572</v>
      </c>
    </row>
    <row r="29" spans="1:48">
      <c r="A29" s="61">
        <f t="shared" si="23"/>
        <v>0.90909090909090939</v>
      </c>
      <c r="B29" s="6">
        <f t="shared" si="12"/>
        <v>2037</v>
      </c>
      <c r="C29" s="3">
        <v>19.39</v>
      </c>
      <c r="D29" s="5">
        <v>18.406353502611349</v>
      </c>
      <c r="E29" s="5">
        <f t="shared" si="4"/>
        <v>133.8428923102058</v>
      </c>
      <c r="F29" s="5">
        <f t="shared" si="5"/>
        <v>61.589988269472961</v>
      </c>
      <c r="G29" s="5">
        <f t="shared" si="6"/>
        <v>171.35880852254294</v>
      </c>
      <c r="H29" s="5">
        <v>15.57</v>
      </c>
      <c r="I29" s="5">
        <v>52.67</v>
      </c>
      <c r="J29" s="5">
        <f t="shared" si="7"/>
        <v>61.589988269472961</v>
      </c>
      <c r="K29" s="5">
        <v>69.772000000000006</v>
      </c>
      <c r="L29" s="5">
        <v>111.32776039945709</v>
      </c>
      <c r="M29" s="5">
        <v>34.381220458075582</v>
      </c>
      <c r="N29" s="5">
        <v>23.448</v>
      </c>
      <c r="O29" s="5">
        <v>69.772000000000006</v>
      </c>
      <c r="P29" s="5">
        <v>99.022999999999996</v>
      </c>
      <c r="Q29" s="5"/>
      <c r="R29" s="63">
        <f t="shared" si="13"/>
        <v>2037</v>
      </c>
      <c r="S29" s="5">
        <f>C29*VLOOKUP($R29,Inflation!$B$28:$M$69,12,FALSE)</f>
        <v>30.460971020566383</v>
      </c>
      <c r="T29" s="5">
        <f>D29*VLOOKUP($R29,Inflation!$B$28:$M$69,12,FALSE)</f>
        <v>28.915698846691324</v>
      </c>
      <c r="U29" s="111">
        <v>35.22</v>
      </c>
      <c r="V29" s="111">
        <v>58.7</v>
      </c>
      <c r="W29" s="111">
        <v>82.18</v>
      </c>
      <c r="X29" s="5">
        <v>121.42147537894022</v>
      </c>
      <c r="Y29" s="5">
        <v>55.874070824161258</v>
      </c>
      <c r="Z29" s="5">
        <v>155.45569130231601</v>
      </c>
      <c r="AA29" s="5">
        <v>23.506535594001665</v>
      </c>
      <c r="AB29" s="5">
        <v>79.511230728735583</v>
      </c>
      <c r="AC29" s="5">
        <f t="shared" si="21"/>
        <v>55.874070824161258</v>
      </c>
      <c r="AD29" s="5">
        <f t="shared" si="9"/>
        <v>63.296743173364781</v>
      </c>
      <c r="AE29" s="3">
        <f t="shared" si="24"/>
        <v>100.9958817014035</v>
      </c>
      <c r="AF29" s="3">
        <f t="shared" si="22"/>
        <v>31.190438590289013</v>
      </c>
      <c r="AG29" s="3">
        <f>N29*VLOOKUP($R29,Inflation!$B$27:$L$69,11,FALSE)</f>
        <v>35.406480000000002</v>
      </c>
      <c r="AH29" s="3">
        <f>O29*VLOOKUP($R29,Inflation!$B$27:$L$69,11,FALSE)</f>
        <v>105.35572000000001</v>
      </c>
      <c r="AI29" s="3">
        <f>P29*VLOOKUP($R29,Inflation!$B$27:$L$69,11,FALSE)</f>
        <v>149.52473000000001</v>
      </c>
      <c r="AJ29" s="3"/>
      <c r="AK29" s="3"/>
      <c r="AL29" s="3"/>
      <c r="AM29" s="3"/>
      <c r="AN29" s="3"/>
      <c r="AO29" s="3"/>
      <c r="AP29" s="1">
        <f t="shared" si="20"/>
        <v>40.717919438356333</v>
      </c>
      <c r="AQ29" s="1">
        <f t="shared" si="18"/>
        <v>40.662199100611872</v>
      </c>
      <c r="AR29" s="1">
        <v>134.44517999626666</v>
      </c>
      <c r="AS29" s="1">
        <f t="shared" si="19"/>
        <v>75.622107033997466</v>
      </c>
      <c r="AT29" s="58">
        <v>40.662199100611872</v>
      </c>
      <c r="AU29" s="58">
        <v>95.315612683920378</v>
      </c>
      <c r="AV29" s="58">
        <v>75.622107033997466</v>
      </c>
    </row>
    <row r="30" spans="1:48">
      <c r="A30" s="61">
        <f t="shared" si="23"/>
        <v>0.90909090909090906</v>
      </c>
      <c r="B30" s="6">
        <f t="shared" si="12"/>
        <v>2038</v>
      </c>
      <c r="C30" s="3">
        <v>21.33</v>
      </c>
      <c r="D30" s="5">
        <v>20.246988852872484</v>
      </c>
      <c r="E30" s="5">
        <f t="shared" si="4"/>
        <v>140.78319991708273</v>
      </c>
      <c r="F30" s="5">
        <f t="shared" si="5"/>
        <v>66.051424914763018</v>
      </c>
      <c r="G30" s="5">
        <f t="shared" si="6"/>
        <v>179.91271929931006</v>
      </c>
      <c r="H30" s="5">
        <v>16.77</v>
      </c>
      <c r="I30" s="5">
        <v>53.99</v>
      </c>
      <c r="J30" s="5">
        <f t="shared" si="7"/>
        <v>66.051424914763018</v>
      </c>
      <c r="K30" s="5">
        <v>70.915999999999997</v>
      </c>
      <c r="L30" s="5">
        <v>119.67734242941637</v>
      </c>
      <c r="M30" s="5">
        <v>36.719143449224724</v>
      </c>
      <c r="N30" s="5">
        <v>24.030999999999999</v>
      </c>
      <c r="O30" s="5">
        <v>70.915999999999997</v>
      </c>
      <c r="P30" s="5">
        <v>100.387</v>
      </c>
      <c r="Q30" s="5"/>
      <c r="R30" s="63">
        <f t="shared" si="13"/>
        <v>2038</v>
      </c>
      <c r="S30" s="5">
        <f>C30*VLOOKUP($R30,Inflation!$B$28:$M$69,12,FALSE)</f>
        <v>34.245829145425056</v>
      </c>
      <c r="T30" s="5">
        <f>D30*VLOOKUP($R30,Inflation!$B$28:$M$69,12,FALSE)</f>
        <v>32.50702864345039</v>
      </c>
      <c r="U30" s="111">
        <v>37.72</v>
      </c>
      <c r="V30" s="111">
        <v>62.87</v>
      </c>
      <c r="W30" s="111">
        <v>88.02</v>
      </c>
      <c r="X30" s="5">
        <v>127.71768113678918</v>
      </c>
      <c r="Y30" s="5">
        <v>59.921459597898043</v>
      </c>
      <c r="Z30" s="5">
        <v>163.21574825302554</v>
      </c>
      <c r="AA30" s="5">
        <v>25.920927466697119</v>
      </c>
      <c r="AB30" s="5">
        <v>83.444659612048341</v>
      </c>
      <c r="AC30" s="5">
        <f t="shared" si="21"/>
        <v>59.921459597898043</v>
      </c>
      <c r="AD30" s="5">
        <f t="shared" si="9"/>
        <v>64.334573165200027</v>
      </c>
      <c r="AE30" s="3">
        <f t="shared" si="24"/>
        <v>108.57057282900877</v>
      </c>
      <c r="AF30" s="3">
        <f t="shared" si="22"/>
        <v>33.31138841442867</v>
      </c>
      <c r="AG30" s="3">
        <f>N30*VLOOKUP($R30,Inflation!$B$27:$L$69,11,FALSE)</f>
        <v>37.007739999999998</v>
      </c>
      <c r="AH30" s="3">
        <f>O30*VLOOKUP($R30,Inflation!$B$27:$L$69,11,FALSE)</f>
        <v>109.21064</v>
      </c>
      <c r="AI30" s="3">
        <f>P30*VLOOKUP($R30,Inflation!$B$27:$L$69,11,FALSE)</f>
        <v>154.59598</v>
      </c>
      <c r="AJ30" s="3"/>
      <c r="AK30" s="3"/>
      <c r="AL30" s="3"/>
      <c r="AM30" s="3"/>
      <c r="AN30" s="3"/>
      <c r="AO30" s="3"/>
      <c r="AP30" s="1">
        <f t="shared" si="20"/>
        <v>45.798964504202964</v>
      </c>
      <c r="AQ30" s="1">
        <f t="shared" si="18"/>
        <v>45.757172647918537</v>
      </c>
      <c r="AR30" s="1">
        <v>139.59021643672079</v>
      </c>
      <c r="AS30" s="1">
        <f t="shared" si="19"/>
        <v>83.685451756565342</v>
      </c>
      <c r="AT30" s="58">
        <v>45.757172647918537</v>
      </c>
      <c r="AU30" s="58">
        <v>99.218536192767232</v>
      </c>
      <c r="AV30" s="58">
        <v>83.685451756565342</v>
      </c>
    </row>
    <row r="31" spans="1:48">
      <c r="A31" s="61">
        <f t="shared" si="23"/>
        <v>0.90909090909090884</v>
      </c>
      <c r="B31" s="6">
        <f t="shared" si="12"/>
        <v>2039</v>
      </c>
      <c r="C31" s="3">
        <v>23.27</v>
      </c>
      <c r="D31" s="5">
        <v>22.271687738159738</v>
      </c>
      <c r="E31" s="5">
        <f t="shared" si="4"/>
        <v>148.08339118193106</v>
      </c>
      <c r="F31" s="5">
        <f t="shared" si="5"/>
        <v>70.847553537217919</v>
      </c>
      <c r="G31" s="5">
        <f t="shared" si="6"/>
        <v>188.89362528109615</v>
      </c>
      <c r="H31" s="5">
        <v>18.059999999999999</v>
      </c>
      <c r="I31" s="5">
        <v>55.34</v>
      </c>
      <c r="J31" s="5">
        <f t="shared" si="7"/>
        <v>70.847553537217919</v>
      </c>
      <c r="K31" s="5">
        <v>72.06</v>
      </c>
      <c r="L31" s="5">
        <v>128.6531431116226</v>
      </c>
      <c r="M31" s="5">
        <v>39.216045203772005</v>
      </c>
      <c r="N31" s="5">
        <v>24.614999999999998</v>
      </c>
      <c r="O31" s="5">
        <v>72.06</v>
      </c>
      <c r="P31" s="5">
        <v>101.75</v>
      </c>
      <c r="Q31" s="5"/>
      <c r="R31" s="63">
        <f t="shared" si="13"/>
        <v>2039</v>
      </c>
      <c r="S31" s="5">
        <f>C31*VLOOKUP($R31,Inflation!$B$28:$M$69,12,FALSE)</f>
        <v>38.182477917803567</v>
      </c>
      <c r="T31" s="5">
        <f>D31*VLOOKUP($R31,Inflation!$B$28:$M$69,12,FALSE)</f>
        <v>36.544401600966935</v>
      </c>
      <c r="U31" s="111">
        <v>40.4</v>
      </c>
      <c r="V31" s="111">
        <v>67.33</v>
      </c>
      <c r="W31" s="111">
        <v>94.27</v>
      </c>
      <c r="X31" s="5">
        <v>134.34037120741274</v>
      </c>
      <c r="Y31" s="5">
        <v>64.272478941502243</v>
      </c>
      <c r="Z31" s="5">
        <v>171.36317271259742</v>
      </c>
      <c r="AA31" s="5">
        <v>28.583017738011844</v>
      </c>
      <c r="AB31" s="5">
        <v>87.571794960203476</v>
      </c>
      <c r="AC31" s="5">
        <f t="shared" si="21"/>
        <v>64.272478941502243</v>
      </c>
      <c r="AD31" s="5">
        <f t="shared" si="9"/>
        <v>65.372403157035293</v>
      </c>
      <c r="AE31" s="3">
        <f t="shared" si="24"/>
        <v>116.71336579118443</v>
      </c>
      <c r="AF31" s="3">
        <f t="shared" ref="AF31:AF42" si="25">M31/1.1023</f>
        <v>35.576562826609816</v>
      </c>
      <c r="AG31" s="3">
        <f>N31*VLOOKUP($R31,Inflation!$B$27:$L$69,11,FALSE)</f>
        <v>38.64555</v>
      </c>
      <c r="AH31" s="3">
        <f>O31*VLOOKUP($R31,Inflation!$B$27:$L$69,11,FALSE)</f>
        <v>113.13420000000001</v>
      </c>
      <c r="AI31" s="3">
        <f>P31*VLOOKUP($R31,Inflation!$B$27:$L$69,11,FALSE)</f>
        <v>159.7475</v>
      </c>
      <c r="AJ31" s="3"/>
      <c r="AK31" s="3"/>
      <c r="AL31" s="3"/>
      <c r="AM31" s="3"/>
      <c r="AN31" s="3"/>
      <c r="AO31" s="3"/>
      <c r="AP31" s="1">
        <f t="shared" si="20"/>
        <v>51.514055201979524</v>
      </c>
      <c r="AQ31" s="1">
        <f>AQ30*(AQ30/AQ29)</f>
        <v>51.490546380702732</v>
      </c>
      <c r="AR31" s="1">
        <v>144.90080305321777</v>
      </c>
      <c r="AS31" s="1">
        <f>AS30*(AS30/AS29)</f>
        <v>92.608565277769472</v>
      </c>
      <c r="AT31" s="58"/>
      <c r="AU31" s="58"/>
    </row>
    <row r="32" spans="1:48">
      <c r="A32" s="13">
        <f>D31/D32</f>
        <v>0.90909090909090873</v>
      </c>
      <c r="B32" s="6">
        <f t="shared" si="12"/>
        <v>2040</v>
      </c>
      <c r="C32" s="3">
        <v>25.21</v>
      </c>
      <c r="D32" s="5">
        <v>24.49885651197572</v>
      </c>
      <c r="E32" s="5">
        <f t="shared" si="4"/>
        <v>155.76212756107401</v>
      </c>
      <c r="F32" s="5">
        <f t="shared" si="5"/>
        <v>76.001943885034052</v>
      </c>
      <c r="G32" s="5">
        <f t="shared" si="6"/>
        <v>198.32284126879975</v>
      </c>
      <c r="H32" s="5">
        <v>19.45</v>
      </c>
      <c r="I32" s="5">
        <v>56.72</v>
      </c>
      <c r="J32" s="5">
        <f t="shared" si="7"/>
        <v>76.001943885034052</v>
      </c>
      <c r="K32" s="5">
        <v>73.203999999999994</v>
      </c>
      <c r="L32" s="5">
        <v>138.30212884499429</v>
      </c>
      <c r="M32" s="5">
        <v>41.882736277628503</v>
      </c>
      <c r="N32" s="5">
        <v>25.199000000000002</v>
      </c>
      <c r="O32" s="5">
        <v>73.203999999999994</v>
      </c>
      <c r="P32" s="5">
        <v>103.113</v>
      </c>
      <c r="Q32" s="5"/>
      <c r="R32" s="63">
        <f t="shared" si="13"/>
        <v>2040</v>
      </c>
      <c r="S32" s="5">
        <f>C32*VLOOKUP($R32,Inflation!$B$28:$M$69,12,FALSE)</f>
        <v>42.275764254860341</v>
      </c>
      <c r="T32" s="5">
        <f>D32*VLOOKUP($R32,Inflation!$B$28:$M$69,12,FALSE)</f>
        <v>41.08321627980704</v>
      </c>
      <c r="U32" s="111">
        <v>43.27</v>
      </c>
      <c r="V32" s="111">
        <v>72.11</v>
      </c>
      <c r="W32" s="111">
        <v>100.96</v>
      </c>
      <c r="X32" s="5">
        <v>141.30647515292932</v>
      </c>
      <c r="Y32" s="5">
        <v>68.948511190269485</v>
      </c>
      <c r="Z32" s="5">
        <v>179.91730134155833</v>
      </c>
      <c r="AA32" s="5">
        <v>31.518483461463305</v>
      </c>
      <c r="AB32" s="5">
        <v>91.902991396458148</v>
      </c>
      <c r="AC32" s="5">
        <f t="shared" si="21"/>
        <v>68.948511190269485</v>
      </c>
      <c r="AD32" s="5">
        <f t="shared" si="9"/>
        <v>66.410233148870532</v>
      </c>
      <c r="AE32" s="3">
        <f t="shared" si="24"/>
        <v>125.46686822552326</v>
      </c>
      <c r="AF32" s="3">
        <f t="shared" si="25"/>
        <v>37.995769098819288</v>
      </c>
      <c r="AG32" s="3">
        <f>N32*VLOOKUP($R32,Inflation!$B$27:$L$69,11,FALSE)</f>
        <v>40.570390000000003</v>
      </c>
      <c r="AH32" s="3">
        <f>O32*VLOOKUP($R32,Inflation!$B$27:$L$69,11,FALSE)</f>
        <v>117.85844</v>
      </c>
      <c r="AI32" s="3">
        <f>P32*VLOOKUP($R32,Inflation!$B$27:$L$69,11,FALSE)</f>
        <v>166.01193000000001</v>
      </c>
      <c r="AJ32" s="3"/>
      <c r="AK32" s="3"/>
      <c r="AL32" s="3"/>
      <c r="AM32" s="3"/>
      <c r="AN32" s="3"/>
      <c r="AO32" s="3"/>
      <c r="AP32" s="1">
        <f t="shared" si="20"/>
        <v>57.942311842204731</v>
      </c>
      <c r="AQ32" s="1">
        <f>AQ31*(AQ31/AQ30)</f>
        <v>57.942311842204781</v>
      </c>
      <c r="AR32" s="1">
        <v>150.38183342957865</v>
      </c>
      <c r="AS32" s="1">
        <f>AS31*(AS31/AS30)</f>
        <v>102.48312200972319</v>
      </c>
      <c r="AT32" s="58"/>
      <c r="AU32" s="58"/>
    </row>
    <row r="33" spans="1:48">
      <c r="A33" s="61">
        <v>0.90909090909090873</v>
      </c>
      <c r="B33" s="6">
        <f t="shared" si="12"/>
        <v>2041</v>
      </c>
      <c r="C33" s="1">
        <f>C32/A33</f>
        <v>27.731000000000012</v>
      </c>
      <c r="D33" s="1">
        <f>D32/A33</f>
        <v>26.948742163173304</v>
      </c>
      <c r="E33" s="5">
        <f t="shared" si="4"/>
        <v>163.83903818453805</v>
      </c>
      <c r="F33" s="5">
        <f t="shared" si="5"/>
        <v>81.532730415698111</v>
      </c>
      <c r="G33" s="5">
        <f t="shared" si="6"/>
        <v>208.22274605825845</v>
      </c>
      <c r="H33" s="5">
        <v>20.95</v>
      </c>
      <c r="I33" s="5">
        <v>58.14</v>
      </c>
      <c r="J33" s="5">
        <f t="shared" si="7"/>
        <v>81.532730415698111</v>
      </c>
      <c r="K33" s="5">
        <v>74.349999999999994</v>
      </c>
      <c r="L33" s="5">
        <v>148.67478850836886</v>
      </c>
      <c r="M33" s="5">
        <v>44.730762344507241</v>
      </c>
      <c r="N33" s="5">
        <v>25.844999999999999</v>
      </c>
      <c r="O33" s="5">
        <v>74.349999999999994</v>
      </c>
      <c r="P33" s="5">
        <v>104.449</v>
      </c>
      <c r="Q33" s="5"/>
      <c r="R33" s="63">
        <f t="shared" si="13"/>
        <v>2041</v>
      </c>
      <c r="S33" s="5">
        <f>C33*VLOOKUP($R33,Inflation!$B$28:$M$69,12,FALSE)</f>
        <v>47.526414175314009</v>
      </c>
      <c r="T33" s="5">
        <f>D33*VLOOKUP($R33,Inflation!$B$28:$M$69,12,FALSE)</f>
        <v>46.185751741759098</v>
      </c>
      <c r="U33" s="111">
        <v>46.34</v>
      </c>
      <c r="V33" s="111">
        <v>77.23</v>
      </c>
      <c r="W33" s="111">
        <v>108.13</v>
      </c>
      <c r="X33" s="5">
        <v>148.63380040328227</v>
      </c>
      <c r="Y33" s="5">
        <v>73.96600781611005</v>
      </c>
      <c r="Z33" s="5">
        <v>188.89843605031157</v>
      </c>
      <c r="AA33" s="5">
        <v>34.755520439680517</v>
      </c>
      <c r="AB33" s="5">
        <v>96.44868106717513</v>
      </c>
      <c r="AC33" s="5">
        <f t="shared" ref="AC33:AC42" si="26">J33/1.1023</f>
        <v>73.96600781611005</v>
      </c>
      <c r="AD33" s="5">
        <f t="shared" ref="AD33:AD42" si="27">K33/1.1023</f>
        <v>67.449877528803398</v>
      </c>
      <c r="AE33" s="3">
        <f t="shared" si="24"/>
        <v>134.87688334243751</v>
      </c>
      <c r="AF33" s="3">
        <f t="shared" si="25"/>
        <v>40.579481397538999</v>
      </c>
      <c r="AG33" s="3">
        <f>N33*VLOOKUP($R33,Inflation!$B$27:$L$69,11,FALSE)</f>
        <v>42.385799999999996</v>
      </c>
      <c r="AH33" s="3">
        <f>O33*VLOOKUP($R33,Inflation!$B$27:$L$69,11,FALSE)</f>
        <v>121.93399999999998</v>
      </c>
      <c r="AI33" s="3">
        <f>P33*VLOOKUP($R33,Inflation!$B$27:$L$69,11,FALSE)</f>
        <v>171.29635999999999</v>
      </c>
      <c r="AJ33" s="3"/>
      <c r="AK33" s="3"/>
      <c r="AL33" s="3"/>
      <c r="AM33" s="3"/>
      <c r="AN33" s="3"/>
      <c r="AO33" s="3"/>
      <c r="AQ33" s="1"/>
      <c r="AR33" s="1"/>
    </row>
    <row r="34" spans="1:48">
      <c r="A34" s="61">
        <v>0.90909090909090873</v>
      </c>
      <c r="B34" s="6">
        <f t="shared" si="12"/>
        <v>2042</v>
      </c>
      <c r="C34" s="1">
        <f t="shared" ref="C34:C42" si="28">C33/A34</f>
        <v>30.504100000000026</v>
      </c>
      <c r="D34" s="1">
        <f t="shared" ref="D34:D42" si="29">D33/A34</f>
        <v>29.643616379490645</v>
      </c>
      <c r="E34" s="5">
        <f t="shared" si="4"/>
        <v>172.33477003393745</v>
      </c>
      <c r="F34" s="5">
        <f t="shared" si="5"/>
        <v>87.458427615420476</v>
      </c>
      <c r="G34" s="5">
        <f t="shared" si="6"/>
        <v>218.6168355528844</v>
      </c>
      <c r="H34" s="5">
        <v>22.56</v>
      </c>
      <c r="I34" s="5">
        <v>59.59</v>
      </c>
      <c r="J34" s="5">
        <f t="shared" si="7"/>
        <v>87.458427615420476</v>
      </c>
      <c r="K34" s="5">
        <v>75.495999999999995</v>
      </c>
      <c r="L34" s="5">
        <v>159.82539764649653</v>
      </c>
      <c r="M34" s="5">
        <v>47.772454183933739</v>
      </c>
      <c r="N34" s="5">
        <v>26.491</v>
      </c>
      <c r="O34" s="5">
        <v>75.495999999999995</v>
      </c>
      <c r="P34" s="5">
        <v>105.785</v>
      </c>
      <c r="Q34" s="5"/>
      <c r="R34" s="63">
        <f t="shared" si="13"/>
        <v>2042</v>
      </c>
      <c r="S34" s="5">
        <f>C34*VLOOKUP($R34,Inflation!$B$28:$M$69,12,FALSE)</f>
        <v>53.429194815888032</v>
      </c>
      <c r="T34" s="5">
        <f>D34*VLOOKUP($R34,Inflation!$B$28:$M$69,12,FALSE)</f>
        <v>51.922022108085592</v>
      </c>
      <c r="U34" s="5">
        <f>U33*(1+U$45)</f>
        <v>48.940615304791386</v>
      </c>
      <c r="V34" s="5">
        <f t="shared" ref="V34:W42" si="30">V33*(1+V$45)</f>
        <v>81.420649210522313</v>
      </c>
      <c r="W34" s="5">
        <f t="shared" si="30"/>
        <v>114.09556295423626</v>
      </c>
      <c r="X34" s="5">
        <v>156.34107777731782</v>
      </c>
      <c r="Y34" s="5">
        <v>79.341765050730714</v>
      </c>
      <c r="Z34" s="5">
        <v>198.32789218260399</v>
      </c>
      <c r="AA34" s="5">
        <v>38.324974027925393</v>
      </c>
      <c r="AB34" s="5">
        <v>101.21911323734302</v>
      </c>
      <c r="AC34" s="5">
        <f t="shared" si="26"/>
        <v>79.341765050730714</v>
      </c>
      <c r="AD34" s="5">
        <f t="shared" si="27"/>
        <v>68.489521908736265</v>
      </c>
      <c r="AE34" s="3">
        <f t="shared" si="24"/>
        <v>144.99264959312032</v>
      </c>
      <c r="AF34" s="3">
        <f t="shared" si="25"/>
        <v>43.338886132571659</v>
      </c>
      <c r="AG34" s="3">
        <f>N34*VLOOKUP($R34,Inflation!$B$27:$L$69,11,FALSE)</f>
        <v>44.50488</v>
      </c>
      <c r="AH34" s="3">
        <f>O34*VLOOKUP($R34,Inflation!$B$27:$L$69,11,FALSE)</f>
        <v>126.83327999999999</v>
      </c>
      <c r="AI34" s="3">
        <f>P34*VLOOKUP($R34,Inflation!$B$27:$L$69,11,FALSE)</f>
        <v>177.71879999999999</v>
      </c>
      <c r="AJ34" s="3"/>
      <c r="AK34" s="3"/>
      <c r="AL34" s="3"/>
      <c r="AM34" s="3"/>
      <c r="AN34" s="3"/>
      <c r="AO34" s="3"/>
      <c r="AP34" t="s">
        <v>50</v>
      </c>
      <c r="AQ34" s="67">
        <f>(AQ32/AQ17)^(1/15)-1</f>
        <v>0.12478646099634161</v>
      </c>
      <c r="AR34" s="67">
        <f>(AR32/AR13)^(1/19)-1</f>
        <v>3.795290935335438E-2</v>
      </c>
      <c r="AS34" s="67">
        <f>(AS32/AS17)^(1/15)-1</f>
        <v>0.10612180168669738</v>
      </c>
      <c r="AT34" s="67">
        <f>(AT30/AT17)^(1/13)-1</f>
        <v>0.12470747579940378</v>
      </c>
      <c r="AU34" s="67">
        <f>(AU30/AU16)^(1/14)-1</f>
        <v>4.1058328267355559E-2</v>
      </c>
      <c r="AV34" s="67">
        <f>(AV30/AV17)^(1/13)-1</f>
        <v>0.10604412716680112</v>
      </c>
    </row>
    <row r="35" spans="1:48">
      <c r="A35" s="61">
        <v>0.90909090909090873</v>
      </c>
      <c r="B35" s="6">
        <f t="shared" si="12"/>
        <v>2043</v>
      </c>
      <c r="C35" s="1">
        <f t="shared" si="28"/>
        <v>33.554510000000043</v>
      </c>
      <c r="D35" s="1">
        <f t="shared" si="29"/>
        <v>32.60797801743972</v>
      </c>
      <c r="E35" s="5">
        <f t="shared" si="4"/>
        <v>181.27104072228926</v>
      </c>
      <c r="F35" s="5">
        <f t="shared" si="5"/>
        <v>93.817601505239779</v>
      </c>
      <c r="G35" s="5">
        <f t="shared" si="6"/>
        <v>229.52977852758161</v>
      </c>
      <c r="H35" s="5">
        <v>24.3</v>
      </c>
      <c r="I35" s="5">
        <v>61.08</v>
      </c>
      <c r="J35" s="5">
        <f t="shared" si="7"/>
        <v>93.817601505239779</v>
      </c>
      <c r="K35" s="5">
        <v>76.641999999999996</v>
      </c>
      <c r="L35" s="5">
        <v>171.81230246998376</v>
      </c>
      <c r="M35" s="5">
        <v>51.020981068441237</v>
      </c>
      <c r="N35" s="5">
        <v>27.137</v>
      </c>
      <c r="O35" s="5">
        <v>76.641999999999996</v>
      </c>
      <c r="P35" s="5">
        <v>107.12</v>
      </c>
      <c r="Q35" s="5"/>
      <c r="R35" s="63">
        <f t="shared" si="13"/>
        <v>2043</v>
      </c>
      <c r="S35" s="5">
        <f>C35*VLOOKUP($R35,Inflation!$B$28:$M$69,12,FALSE)</f>
        <v>60.065100812021356</v>
      </c>
      <c r="T35" s="5">
        <f>D35*VLOOKUP($R35,Inflation!$B$28:$M$69,12,FALSE)</f>
        <v>58.370737253909844</v>
      </c>
      <c r="U35" s="5">
        <f t="shared" ref="U35:U42" si="31">U34*(1+U$45)</f>
        <v>51.687177954501095</v>
      </c>
      <c r="V35" s="5">
        <f t="shared" si="30"/>
        <v>85.838691154511565</v>
      </c>
      <c r="W35" s="5">
        <f t="shared" si="30"/>
        <v>120.39024771889476</v>
      </c>
      <c r="X35" s="5">
        <v>164.44800936431938</v>
      </c>
      <c r="Y35" s="5">
        <v>85.110769758903899</v>
      </c>
      <c r="Z35" s="5">
        <v>208.22804910421991</v>
      </c>
      <c r="AA35" s="5">
        <v>42.261004177345875</v>
      </c>
      <c r="AB35" s="5">
        <v>106.225463156033</v>
      </c>
      <c r="AC35" s="5">
        <f t="shared" si="26"/>
        <v>85.110769758903899</v>
      </c>
      <c r="AD35" s="5">
        <f t="shared" si="27"/>
        <v>69.529166288669146</v>
      </c>
      <c r="AE35" s="3">
        <f t="shared" si="24"/>
        <v>155.86709831260433</v>
      </c>
      <c r="AF35" s="3">
        <f t="shared" si="25"/>
        <v>46.285930389586532</v>
      </c>
      <c r="AG35" s="3">
        <f>N35*VLOOKUP($R35,Inflation!$B$27:$L$69,11,FALSE)</f>
        <v>46.675640000000001</v>
      </c>
      <c r="AH35" s="3">
        <f>O35*VLOOKUP($R35,Inflation!$B$27:$L$69,11,FALSE)</f>
        <v>131.82424</v>
      </c>
      <c r="AI35" s="3">
        <f>P35*VLOOKUP($R35,Inflation!$B$27:$L$69,11,FALSE)</f>
        <v>184.24639999999999</v>
      </c>
      <c r="AJ35" s="3"/>
      <c r="AK35" s="3"/>
      <c r="AL35" s="3"/>
      <c r="AM35" s="3"/>
      <c r="AN35" s="3"/>
      <c r="AO35" s="3"/>
      <c r="AQ35" s="1"/>
    </row>
    <row r="36" spans="1:48">
      <c r="A36" s="61">
        <v>0.90909090909090873</v>
      </c>
      <c r="B36" s="6">
        <f t="shared" si="12"/>
        <v>2044</v>
      </c>
      <c r="C36" s="1">
        <f t="shared" si="28"/>
        <v>36.90996100000006</v>
      </c>
      <c r="D36" s="1">
        <f t="shared" si="29"/>
        <v>35.868775819183703</v>
      </c>
      <c r="E36" s="5">
        <f t="shared" si="4"/>
        <v>190.67069401068034</v>
      </c>
      <c r="F36" s="5">
        <f t="shared" si="5"/>
        <v>100.64150640981386</v>
      </c>
      <c r="G36" s="5">
        <f t="shared" si="6"/>
        <v>240.98747517629377</v>
      </c>
      <c r="H36" s="5">
        <v>26.17</v>
      </c>
      <c r="I36" s="5">
        <v>62.61</v>
      </c>
      <c r="J36" s="5">
        <f t="shared" si="7"/>
        <v>100.64150640981386</v>
      </c>
      <c r="K36" s="5">
        <v>77.787999999999997</v>
      </c>
      <c r="L36" s="5">
        <v>184.69822515523254</v>
      </c>
      <c r="M36" s="5">
        <v>54.490407781095243</v>
      </c>
      <c r="N36" s="5">
        <v>27.783000000000001</v>
      </c>
      <c r="O36" s="5">
        <v>77.787999999999997</v>
      </c>
      <c r="P36" s="5">
        <v>108.456</v>
      </c>
      <c r="Q36" s="5"/>
      <c r="R36" s="63">
        <f t="shared" si="13"/>
        <v>2044</v>
      </c>
      <c r="S36" s="5">
        <f>C36*VLOOKUP($R36,Inflation!$B$28:$M$69,12,FALSE)</f>
        <v>67.525186332874426</v>
      </c>
      <c r="T36" s="5">
        <f>D36*VLOOKUP($R36,Inflation!$B$28:$M$69,12,FALSE)</f>
        <v>65.620382820845464</v>
      </c>
      <c r="U36" s="5">
        <f t="shared" si="31"/>
        <v>54.587878559808637</v>
      </c>
      <c r="V36" s="5">
        <f t="shared" si="30"/>
        <v>90.496464601603662</v>
      </c>
      <c r="W36" s="5">
        <f t="shared" si="30"/>
        <v>127.03221203816939</v>
      </c>
      <c r="X36" s="5">
        <v>172.97531888839728</v>
      </c>
      <c r="Y36" s="5">
        <v>91.301375677958674</v>
      </c>
      <c r="Z36" s="5">
        <v>218.62240331696793</v>
      </c>
      <c r="AA36" s="5">
        <v>46.601270001828084</v>
      </c>
      <c r="AB36" s="5">
        <v>111.47942901884883</v>
      </c>
      <c r="AC36" s="5">
        <f t="shared" si="26"/>
        <v>91.301375677958674</v>
      </c>
      <c r="AD36" s="5">
        <f t="shared" si="27"/>
        <v>70.568810668602012</v>
      </c>
      <c r="AE36" s="3">
        <f t="shared" si="24"/>
        <v>167.55713068604965</v>
      </c>
      <c r="AF36" s="3">
        <f t="shared" si="25"/>
        <v>49.433373656078416</v>
      </c>
      <c r="AG36" s="3">
        <f>N36*VLOOKUP($R36,Inflation!$B$27:$L$69,11,FALSE)</f>
        <v>48.89808</v>
      </c>
      <c r="AH36" s="3">
        <f>O36*VLOOKUP($R36,Inflation!$B$27:$L$69,11,FALSE)</f>
        <v>136.90688</v>
      </c>
      <c r="AI36" s="3">
        <f>P36*VLOOKUP($R36,Inflation!$B$27:$L$69,11,FALSE)</f>
        <v>190.88256000000001</v>
      </c>
      <c r="AJ36" s="3"/>
      <c r="AK36" s="3"/>
      <c r="AL36" s="3"/>
      <c r="AM36" s="3"/>
      <c r="AN36" s="3"/>
      <c r="AO36" s="3"/>
      <c r="AQ36" s="1"/>
    </row>
    <row r="37" spans="1:48">
      <c r="A37" s="61">
        <v>0.90909090909090873</v>
      </c>
      <c r="B37" s="6">
        <f t="shared" si="12"/>
        <v>2045</v>
      </c>
      <c r="C37" s="1">
        <f t="shared" si="28"/>
        <v>40.60095710000008</v>
      </c>
      <c r="D37" s="1">
        <f t="shared" si="29"/>
        <v>39.45565340110209</v>
      </c>
      <c r="E37" s="5">
        <f t="shared" si="4"/>
        <v>200.557758203703</v>
      </c>
      <c r="F37" s="5">
        <f t="shared" si="5"/>
        <v>107.95678139338669</v>
      </c>
      <c r="G37" s="5">
        <f t="shared" si="6"/>
        <v>253.01711858213721</v>
      </c>
      <c r="H37" s="5">
        <v>28.19</v>
      </c>
      <c r="I37" s="5">
        <v>64.180000000000007</v>
      </c>
      <c r="J37" s="5">
        <f t="shared" si="7"/>
        <v>107.95678139338669</v>
      </c>
      <c r="K37" s="5">
        <v>78.933000000000007</v>
      </c>
      <c r="L37" s="5">
        <v>198.55059204187498</v>
      </c>
      <c r="M37" s="5">
        <v>58.195755510209722</v>
      </c>
      <c r="N37" s="5">
        <v>28.428999999999998</v>
      </c>
      <c r="O37" s="5">
        <v>78.933000000000007</v>
      </c>
      <c r="P37" s="5">
        <v>109.792</v>
      </c>
      <c r="Q37" s="5"/>
      <c r="R37" s="63">
        <f t="shared" si="13"/>
        <v>2045</v>
      </c>
      <c r="S37" s="5">
        <f>C37*VLOOKUP($R37,Inflation!$B$28:$M$69,12,FALSE)</f>
        <v>75.911814475417458</v>
      </c>
      <c r="T37" s="5">
        <f>D37*VLOOKUP($R37,Inflation!$B$28:$M$69,12,FALSE)</f>
        <v>73.770434367194511</v>
      </c>
      <c r="U37" s="5">
        <f t="shared" si="31"/>
        <v>57.651367391028572</v>
      </c>
      <c r="V37" s="5">
        <f t="shared" si="30"/>
        <v>95.406977846945765</v>
      </c>
      <c r="W37" s="5">
        <f t="shared" si="30"/>
        <v>134.04061542418242</v>
      </c>
      <c r="X37" s="5">
        <v>181.94480468448063</v>
      </c>
      <c r="Y37" s="5">
        <v>97.937749608442971</v>
      </c>
      <c r="Z37" s="5">
        <v>229.53562422401995</v>
      </c>
      <c r="AA37" s="5">
        <v>51.387285558932838</v>
      </c>
      <c r="AB37" s="5">
        <v>116.99325462614237</v>
      </c>
      <c r="AC37" s="5">
        <f t="shared" si="26"/>
        <v>97.937749608442971</v>
      </c>
      <c r="AD37" s="5">
        <f t="shared" si="27"/>
        <v>71.607547854486072</v>
      </c>
      <c r="AE37" s="3">
        <f t="shared" si="24"/>
        <v>180.12391548750338</v>
      </c>
      <c r="AF37" s="3">
        <f t="shared" si="25"/>
        <v>52.794843064691754</v>
      </c>
      <c r="AG37" s="3">
        <f>N37*VLOOKUP($R37,Inflation!$B$27:$L$69,11,FALSE)</f>
        <v>50.887909999999998</v>
      </c>
      <c r="AH37" s="3">
        <f>O37*VLOOKUP($R37,Inflation!$B$27:$L$69,11,FALSE)</f>
        <v>141.29007000000001</v>
      </c>
      <c r="AI37" s="3">
        <f>P37*VLOOKUP($R37,Inflation!$B$27:$L$69,11,FALSE)</f>
        <v>196.52768</v>
      </c>
      <c r="AJ37" s="3"/>
      <c r="AK37" s="3"/>
      <c r="AL37" s="3"/>
      <c r="AM37" s="3"/>
      <c r="AN37" s="3"/>
      <c r="AO37" s="3"/>
      <c r="AQ37" s="1"/>
    </row>
    <row r="38" spans="1:48">
      <c r="A38" s="61">
        <v>0.90909090909090873</v>
      </c>
      <c r="B38" s="6">
        <f t="shared" si="12"/>
        <v>2046</v>
      </c>
      <c r="C38" s="1">
        <f t="shared" si="28"/>
        <v>44.661052810000108</v>
      </c>
      <c r="D38" s="1">
        <f t="shared" si="29"/>
        <v>43.401218741212318</v>
      </c>
      <c r="E38" s="5">
        <f t="shared" si="4"/>
        <v>210.9575075729357</v>
      </c>
      <c r="F38" s="5">
        <f t="shared" si="5"/>
        <v>115.80634478726768</v>
      </c>
      <c r="G38" s="5">
        <f t="shared" si="6"/>
        <v>265.64725925600646</v>
      </c>
      <c r="H38" s="5">
        <v>30.36</v>
      </c>
      <c r="I38" s="5">
        <v>64.180000000000007</v>
      </c>
      <c r="J38" s="5">
        <f t="shared" si="7"/>
        <v>115.80634478726768</v>
      </c>
      <c r="K38" s="5">
        <v>80.078999999999994</v>
      </c>
      <c r="L38" s="5">
        <v>213.4418864450156</v>
      </c>
      <c r="M38" s="5">
        <v>62.153066884903986</v>
      </c>
      <c r="N38" s="5">
        <v>29.076000000000001</v>
      </c>
      <c r="O38" s="5">
        <v>80.078999999999994</v>
      </c>
      <c r="P38" s="5">
        <v>111.128</v>
      </c>
      <c r="Q38" s="5"/>
      <c r="R38" s="63">
        <f t="shared" si="13"/>
        <v>2046</v>
      </c>
      <c r="S38" s="5">
        <f>C38*VLOOKUP($R38,Inflation!$B$28:$M$69,12,FALSE)</f>
        <v>85.423564829187299</v>
      </c>
      <c r="T38" s="5">
        <f>D38*VLOOKUP($R38,Inflation!$B$28:$M$69,12,FALSE)</f>
        <v>83.013869793404012</v>
      </c>
      <c r="U38" s="5">
        <f t="shared" si="31"/>
        <v>60.886780174353127</v>
      </c>
      <c r="V38" s="5">
        <f t="shared" si="30"/>
        <v>100.58394504094581</v>
      </c>
      <c r="W38" s="5">
        <f t="shared" si="30"/>
        <v>141.43567442480696</v>
      </c>
      <c r="X38" s="5">
        <v>191.3793954213333</v>
      </c>
      <c r="Y38" s="5">
        <v>105.05882680510538</v>
      </c>
      <c r="Z38" s="5">
        <v>240.99361267894989</v>
      </c>
      <c r="AA38" s="5">
        <v>56.664811427270493</v>
      </c>
      <c r="AB38" s="5">
        <v>119.78512483576969</v>
      </c>
      <c r="AC38" s="5">
        <f t="shared" si="26"/>
        <v>105.05882680510538</v>
      </c>
      <c r="AD38" s="5">
        <f t="shared" si="27"/>
        <v>72.647192234418938</v>
      </c>
      <c r="AE38" s="3">
        <f t="shared" si="24"/>
        <v>193.63320914906612</v>
      </c>
      <c r="AF38" s="3">
        <f t="shared" si="25"/>
        <v>56.384892393090794</v>
      </c>
      <c r="AG38" s="3">
        <f>N38*VLOOKUP($R38,Inflation!$B$27:$L$69,11,FALSE)</f>
        <v>53.20908</v>
      </c>
      <c r="AH38" s="3">
        <f>O38*VLOOKUP($R38,Inflation!$B$27:$L$69,11,FALSE)</f>
        <v>146.54456999999999</v>
      </c>
      <c r="AI38" s="3">
        <f>P38*VLOOKUP($R38,Inflation!$B$27:$L$69,11,FALSE)</f>
        <v>203.36424</v>
      </c>
      <c r="AJ38" s="3"/>
      <c r="AK38" s="3"/>
      <c r="AL38" s="3"/>
      <c r="AM38" s="3"/>
      <c r="AN38" s="3"/>
      <c r="AO38" s="3"/>
    </row>
    <row r="39" spans="1:48">
      <c r="A39" s="61">
        <v>0.90909090909090873</v>
      </c>
      <c r="B39" s="6">
        <f t="shared" si="12"/>
        <v>2047</v>
      </c>
      <c r="C39" s="1">
        <f t="shared" si="28"/>
        <v>49.12715809100014</v>
      </c>
      <c r="D39" s="1">
        <f t="shared" si="29"/>
        <v>47.74134061533357</v>
      </c>
      <c r="E39" s="5">
        <f t="shared" si="4"/>
        <v>221.89652696548509</v>
      </c>
      <c r="F39" s="5">
        <f t="shared" si="5"/>
        <v>124.23140797006836</v>
      </c>
      <c r="G39" s="5">
        <f t="shared" si="6"/>
        <v>278.90787289682589</v>
      </c>
      <c r="H39" s="5">
        <v>32.700000000000003</v>
      </c>
      <c r="I39" s="5">
        <v>64.180000000000007</v>
      </c>
      <c r="J39" s="5">
        <f t="shared" si="7"/>
        <v>124.23140797006836</v>
      </c>
      <c r="K39" s="5">
        <v>81.224999999999994</v>
      </c>
      <c r="L39" s="5">
        <v>229.45002792839176</v>
      </c>
      <c r="M39" s="5">
        <v>66.379475433077459</v>
      </c>
      <c r="N39" s="5">
        <v>29.722000000000001</v>
      </c>
      <c r="O39" s="5">
        <v>81.224999999999994</v>
      </c>
      <c r="P39" s="5">
        <v>112.464</v>
      </c>
      <c r="Q39" s="5"/>
      <c r="R39" s="63">
        <f t="shared" si="13"/>
        <v>2047</v>
      </c>
      <c r="S39" s="5">
        <f>C39*VLOOKUP($R39,Inflation!$B$28:$M$69,12,FALSE)</f>
        <v>96.127137502284512</v>
      </c>
      <c r="T39" s="5">
        <f>D39*VLOOKUP($R39,Inflation!$B$28:$M$69,12,FALSE)</f>
        <v>93.415507678517571</v>
      </c>
      <c r="U39" s="5">
        <f t="shared" si="31"/>
        <v>64.303765335787986</v>
      </c>
      <c r="V39" s="5">
        <f t="shared" si="30"/>
        <v>106.04182449034448</v>
      </c>
      <c r="W39" s="5">
        <f t="shared" si="30"/>
        <v>149.23872094063097</v>
      </c>
      <c r="X39" s="5">
        <v>201.3032087140389</v>
      </c>
      <c r="Y39" s="5">
        <v>112.70199398536546</v>
      </c>
      <c r="Z39" s="5">
        <v>253.02356245743073</v>
      </c>
      <c r="AA39" s="5">
        <v>62.48441113659878</v>
      </c>
      <c r="AB39" s="5">
        <v>122.6437496621968</v>
      </c>
      <c r="AC39" s="5">
        <f t="shared" si="26"/>
        <v>112.70199398536546</v>
      </c>
      <c r="AD39" s="5">
        <f t="shared" si="27"/>
        <v>73.686836614351805</v>
      </c>
      <c r="AE39" s="3">
        <f t="shared" si="24"/>
        <v>208.15569983524608</v>
      </c>
      <c r="AF39" s="3">
        <f t="shared" si="25"/>
        <v>60.219065075820971</v>
      </c>
      <c r="AG39" s="3">
        <f>N39*VLOOKUP($R39,Inflation!$B$27:$L$69,11,FALSE)</f>
        <v>55.877359999999996</v>
      </c>
      <c r="AH39" s="3">
        <f>O39*VLOOKUP($R39,Inflation!$B$27:$L$69,11,FALSE)</f>
        <v>152.70299999999997</v>
      </c>
      <c r="AI39" s="3">
        <f>P39*VLOOKUP($R39,Inflation!$B$27:$L$69,11,FALSE)</f>
        <v>211.43231999999998</v>
      </c>
      <c r="AJ39" s="3"/>
      <c r="AK39" s="3"/>
      <c r="AL39" s="3"/>
      <c r="AM39" s="3"/>
      <c r="AN39" s="3"/>
      <c r="AO39" s="3"/>
    </row>
    <row r="40" spans="1:48">
      <c r="A40" s="61">
        <v>0.90909090909090873</v>
      </c>
      <c r="B40" s="6">
        <f t="shared" si="12"/>
        <v>2048</v>
      </c>
      <c r="C40" s="1">
        <f t="shared" si="28"/>
        <v>54.039873900100176</v>
      </c>
      <c r="D40" s="1">
        <f t="shared" si="29"/>
        <v>52.515474676866951</v>
      </c>
      <c r="E40" s="5">
        <f t="shared" si="4"/>
        <v>233.40277976274848</v>
      </c>
      <c r="F40" s="5">
        <f t="shared" si="5"/>
        <v>133.27476291235632</v>
      </c>
      <c r="G40" s="5">
        <f t="shared" si="6"/>
        <v>292.8304315342682</v>
      </c>
      <c r="H40" s="5">
        <v>35.21</v>
      </c>
      <c r="I40" s="5">
        <v>64.180000000000007</v>
      </c>
      <c r="J40" s="5">
        <f t="shared" si="7"/>
        <v>133.27476291235632</v>
      </c>
      <c r="K40" s="5">
        <v>82.370999999999995</v>
      </c>
      <c r="L40" s="5">
        <v>246.65878002302114</v>
      </c>
      <c r="M40" s="5">
        <v>70.893279762526731</v>
      </c>
      <c r="N40" s="5">
        <v>30.367999999999999</v>
      </c>
      <c r="O40" s="5">
        <v>82.370999999999995</v>
      </c>
      <c r="P40" s="5">
        <v>113.79900000000001</v>
      </c>
      <c r="Q40" s="5"/>
      <c r="R40" s="63">
        <f t="shared" si="13"/>
        <v>2048</v>
      </c>
      <c r="S40" s="5">
        <f>C40*VLOOKUP($R40,Inflation!$B$28:$M$69,12,FALSE)</f>
        <v>108.17186783132081</v>
      </c>
      <c r="T40" s="5">
        <f>D40*VLOOKUP($R40,Inflation!$B$28:$M$69,12,FALSE)</f>
        <v>105.12047079063588</v>
      </c>
      <c r="U40" s="5">
        <f t="shared" si="31"/>
        <v>67.912512774026311</v>
      </c>
      <c r="V40" s="5">
        <f t="shared" si="30"/>
        <v>111.79585903757753</v>
      </c>
      <c r="W40" s="5">
        <f t="shared" si="30"/>
        <v>157.47226375928474</v>
      </c>
      <c r="X40" s="5">
        <v>211.7416127757856</v>
      </c>
      <c r="Y40" s="5">
        <v>120.90607177025883</v>
      </c>
      <c r="Z40" s="5">
        <v>265.65402479748542</v>
      </c>
      <c r="AA40" s="5">
        <v>68.901703354030886</v>
      </c>
      <c r="AB40" s="5">
        <v>125.57060706741926</v>
      </c>
      <c r="AC40" s="5">
        <f t="shared" si="26"/>
        <v>120.90607177025883</v>
      </c>
      <c r="AD40" s="5">
        <f t="shared" si="27"/>
        <v>74.726480994284671</v>
      </c>
      <c r="AE40" s="3">
        <f t="shared" si="24"/>
        <v>223.76737732288953</v>
      </c>
      <c r="AF40" s="3">
        <f t="shared" si="25"/>
        <v>64.313961500976802</v>
      </c>
      <c r="AG40" s="3">
        <f>N40*VLOOKUP($R40,Inflation!$B$27:$L$69,11,FALSE)</f>
        <v>58.306559999999998</v>
      </c>
      <c r="AH40" s="3">
        <f>O40*VLOOKUP($R40,Inflation!$B$27:$L$69,11,FALSE)</f>
        <v>158.15231999999997</v>
      </c>
      <c r="AI40" s="3">
        <f>P40*VLOOKUP($R40,Inflation!$B$27:$L$69,11,FALSE)</f>
        <v>218.49408</v>
      </c>
      <c r="AJ40" s="3"/>
      <c r="AK40" s="3"/>
      <c r="AL40" s="3"/>
      <c r="AM40" s="3"/>
      <c r="AN40" s="3"/>
      <c r="AO40" s="3"/>
    </row>
    <row r="41" spans="1:48">
      <c r="A41" s="61">
        <v>0.90909090909090873</v>
      </c>
      <c r="B41" s="6">
        <f t="shared" si="12"/>
        <v>2049</v>
      </c>
      <c r="C41" s="1">
        <f t="shared" si="28"/>
        <v>59.44386129011022</v>
      </c>
      <c r="D41" s="1">
        <f t="shared" si="29"/>
        <v>57.767022144553671</v>
      </c>
      <c r="E41" s="5">
        <f t="shared" si="4"/>
        <v>245.50567936311896</v>
      </c>
      <c r="F41" s="5">
        <f t="shared" si="5"/>
        <v>142.97107360104584</v>
      </c>
      <c r="G41" s="5">
        <f t="shared" si="6"/>
        <v>307.44797822278207</v>
      </c>
      <c r="H41" s="5">
        <v>37.93</v>
      </c>
      <c r="I41" s="5">
        <v>64.180000000000007</v>
      </c>
      <c r="J41" s="5">
        <f t="shared" si="7"/>
        <v>142.97107360104584</v>
      </c>
      <c r="K41" s="5">
        <v>83.516000000000005</v>
      </c>
      <c r="L41" s="5">
        <v>265.15818852474769</v>
      </c>
      <c r="M41" s="5">
        <v>75.71402278637855</v>
      </c>
      <c r="N41" s="5">
        <v>31.013999999999999</v>
      </c>
      <c r="O41" s="5">
        <v>83.516000000000005</v>
      </c>
      <c r="P41" s="5">
        <v>115.13500000000001</v>
      </c>
      <c r="Q41" s="5"/>
      <c r="R41" s="63">
        <f t="shared" si="13"/>
        <v>2049</v>
      </c>
      <c r="S41" s="5">
        <f>C41*VLOOKUP($R41,Inflation!$B$28:$M$69,12,FALSE)</f>
        <v>121.72580287058534</v>
      </c>
      <c r="T41" s="5">
        <f>D41*VLOOKUP($R41,Inflation!$B$28:$M$69,12,FALSE)</f>
        <v>118.29206578070259</v>
      </c>
      <c r="U41" s="5">
        <f t="shared" si="31"/>
        <v>71.723784248065442</v>
      </c>
      <c r="V41" s="5">
        <f t="shared" si="30"/>
        <v>117.86211863120032</v>
      </c>
      <c r="W41" s="5">
        <f t="shared" si="30"/>
        <v>166.16005348463489</v>
      </c>
      <c r="X41" s="5">
        <v>222.72129126655079</v>
      </c>
      <c r="Y41" s="5">
        <v>129.70250712242205</v>
      </c>
      <c r="Z41" s="5">
        <v>278.91497616146427</v>
      </c>
      <c r="AA41" s="5">
        <v>75.97798460084438</v>
      </c>
      <c r="AB41" s="5">
        <v>128.56717501343269</v>
      </c>
      <c r="AC41" s="5">
        <f t="shared" si="26"/>
        <v>129.70250712242205</v>
      </c>
      <c r="AD41" s="5">
        <f t="shared" si="27"/>
        <v>75.765218180168745</v>
      </c>
      <c r="AE41" s="3">
        <f t="shared" si="24"/>
        <v>240.54993062210622</v>
      </c>
      <c r="AF41" s="3">
        <f t="shared" si="25"/>
        <v>68.687310883043224</v>
      </c>
      <c r="AG41" s="3">
        <f>N41*VLOOKUP($R41,Inflation!$B$27:$L$69,11,FALSE)</f>
        <v>60.787439999999997</v>
      </c>
      <c r="AH41" s="3">
        <f>O41*VLOOKUP($R41,Inflation!$B$27:$L$69,11,FALSE)</f>
        <v>163.69136</v>
      </c>
      <c r="AI41" s="3">
        <f>P41*VLOOKUP($R41,Inflation!$B$27:$L$69,11,FALSE)</f>
        <v>225.66460000000001</v>
      </c>
      <c r="AJ41" s="3"/>
      <c r="AK41" s="3"/>
      <c r="AL41" s="3"/>
      <c r="AM41" s="3"/>
      <c r="AN41" s="3"/>
      <c r="AO41" s="3"/>
    </row>
    <row r="42" spans="1:48">
      <c r="A42" s="61">
        <v>0.90909090909090873</v>
      </c>
      <c r="B42" s="6">
        <f t="shared" si="12"/>
        <v>2050</v>
      </c>
      <c r="C42" s="1">
        <f t="shared" si="28"/>
        <v>65.388247419121271</v>
      </c>
      <c r="D42" s="1">
        <f t="shared" si="29"/>
        <v>63.543724359009062</v>
      </c>
      <c r="E42" s="5">
        <f t="shared" si="4"/>
        <v>258.23616437136479</v>
      </c>
      <c r="F42" s="5">
        <f t="shared" si="5"/>
        <v>153.36177300846154</v>
      </c>
      <c r="G42" s="5">
        <f t="shared" si="6"/>
        <v>322.79520546420605</v>
      </c>
      <c r="H42" s="5">
        <v>40.85</v>
      </c>
      <c r="I42" s="5">
        <v>64.180000000000007</v>
      </c>
      <c r="J42" s="5">
        <f t="shared" si="7"/>
        <v>153.36177300846154</v>
      </c>
      <c r="K42" s="5">
        <v>84.662000000000006</v>
      </c>
      <c r="L42" s="5">
        <v>285.04505266410376</v>
      </c>
      <c r="M42" s="5">
        <v>80.862576335852296</v>
      </c>
      <c r="N42" s="5">
        <v>31.66</v>
      </c>
      <c r="O42" s="5">
        <v>84.662000000000006</v>
      </c>
      <c r="P42" s="5">
        <v>116.471</v>
      </c>
      <c r="Q42" s="5"/>
      <c r="R42" s="63">
        <f t="shared" si="13"/>
        <v>2050</v>
      </c>
      <c r="S42" s="5">
        <f>C42*VLOOKUP($R42,Inflation!$B$28:$M$69,12,FALSE)</f>
        <v>136.97804597026973</v>
      </c>
      <c r="T42" s="5">
        <f>D42*VLOOKUP($R42,Inflation!$B$28:$M$69,12,FALSE)</f>
        <v>133.11406162302464</v>
      </c>
      <c r="U42" s="5">
        <f t="shared" si="31"/>
        <v>75.748945470186158</v>
      </c>
      <c r="V42" s="5">
        <f t="shared" si="30"/>
        <v>124.25754520626606</v>
      </c>
      <c r="W42" s="5">
        <f t="shared" si="30"/>
        <v>175.32715104814042</v>
      </c>
      <c r="X42" s="5">
        <v>234.27031150445868</v>
      </c>
      <c r="Y42" s="5">
        <v>139.12888778777241</v>
      </c>
      <c r="Z42" s="5">
        <v>292.83788938057336</v>
      </c>
      <c r="AA42" s="5">
        <v>83.780960608500664</v>
      </c>
      <c r="AB42" s="5">
        <v>131.6351777892319</v>
      </c>
      <c r="AC42" s="5">
        <f t="shared" si="26"/>
        <v>139.12888778777241</v>
      </c>
      <c r="AD42" s="5">
        <f t="shared" si="27"/>
        <v>76.804862560101611</v>
      </c>
      <c r="AE42" s="3">
        <f t="shared" si="24"/>
        <v>258.59117541876418</v>
      </c>
      <c r="AF42" s="3">
        <f t="shared" si="25"/>
        <v>73.358048023090163</v>
      </c>
      <c r="AG42" s="3">
        <f>N42*VLOOKUP($R42,Inflation!$B$27:$L$69,11,FALSE)</f>
        <v>63.636599999999994</v>
      </c>
      <c r="AH42" s="3">
        <f>O42*VLOOKUP($R42,Inflation!$B$27:$L$69,11,FALSE)</f>
        <v>170.17061999999999</v>
      </c>
      <c r="AI42" s="3">
        <f>P42*VLOOKUP($R42,Inflation!$B$27:$L$69,11,FALSE)</f>
        <v>234.10670999999999</v>
      </c>
      <c r="AJ42" s="3"/>
      <c r="AK42" s="3"/>
      <c r="AL42" s="3"/>
      <c r="AM42" s="3"/>
      <c r="AN42" s="3"/>
      <c r="AO42" s="3"/>
    </row>
    <row r="43" spans="1:48">
      <c r="H43" s="5"/>
      <c r="I43" s="5"/>
      <c r="J43" s="5"/>
      <c r="K43" s="5"/>
      <c r="L43" s="5"/>
      <c r="M43" s="5"/>
      <c r="N43" s="5"/>
      <c r="O43" s="5"/>
      <c r="P43" s="5"/>
      <c r="Q43" s="5"/>
      <c r="R43" s="63">
        <v>2051</v>
      </c>
      <c r="S43" s="5"/>
      <c r="T43" s="5"/>
      <c r="U43" s="5">
        <v>80</v>
      </c>
      <c r="V43" s="5">
        <v>131</v>
      </c>
      <c r="W43" s="5">
        <v>185</v>
      </c>
      <c r="X43" s="5"/>
      <c r="Y43" s="5"/>
      <c r="Z43" s="5"/>
      <c r="AA43" s="5"/>
      <c r="AB43" s="5"/>
      <c r="AC43" s="5"/>
      <c r="AD43" s="5"/>
    </row>
    <row r="44" spans="1:48">
      <c r="H44" s="5"/>
      <c r="I44" s="5"/>
      <c r="J44" s="5"/>
      <c r="K44" s="5"/>
      <c r="L44" s="5"/>
      <c r="M44" s="5"/>
      <c r="N44" s="5"/>
      <c r="O44" s="5"/>
      <c r="P44" s="5"/>
      <c r="Q44" s="5"/>
      <c r="R44" s="63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48">
      <c r="S45" t="s">
        <v>84</v>
      </c>
      <c r="U45" s="67">
        <f>(U43/U33)^(1/10)-1</f>
        <v>5.6120313008014344E-2</v>
      </c>
      <c r="V45" s="67">
        <f t="shared" ref="V45:W45" si="32">(V43/V33)^(1/10)-1</f>
        <v>5.4261934617665597E-2</v>
      </c>
      <c r="W45" s="67">
        <f t="shared" si="32"/>
        <v>5.5170285343903336E-2</v>
      </c>
    </row>
    <row r="46" spans="1:48">
      <c r="R46" s="61" t="s">
        <v>50</v>
      </c>
      <c r="S46" s="112" t="s">
        <v>85</v>
      </c>
      <c r="T46" s="112"/>
      <c r="U46" s="113">
        <f>(U43/U19)^(1/24)-1</f>
        <v>6.5096055451977275E-2</v>
      </c>
      <c r="V46" s="113">
        <f t="shared" ref="V46:W46" si="33">(V43/V19)^(1/24)-1</f>
        <v>6.4312835152705361E-2</v>
      </c>
      <c r="W46" s="113">
        <f t="shared" si="33"/>
        <v>6.469810918590313E-2</v>
      </c>
    </row>
    <row r="47" spans="1:48">
      <c r="T47" t="s">
        <v>51</v>
      </c>
      <c r="U47" s="64">
        <f>U42*(1+U45)</f>
        <v>80.000000000000014</v>
      </c>
      <c r="V47" s="64">
        <f t="shared" ref="V47:W47" si="34">V42*(1+V45)</f>
        <v>131.00000000000009</v>
      </c>
      <c r="W47" s="64">
        <f t="shared" si="34"/>
        <v>184.99999999999997</v>
      </c>
    </row>
    <row r="60" spans="21:47">
      <c r="U60"/>
      <c r="V60" s="13"/>
      <c r="W60" s="13"/>
      <c r="AA60"/>
      <c r="AB60"/>
      <c r="AE60" s="61"/>
      <c r="AF60" s="61"/>
      <c r="AG60" s="61"/>
      <c r="AH60" s="61"/>
      <c r="AI60" s="61"/>
      <c r="AK60"/>
      <c r="AL60"/>
      <c r="AM60"/>
      <c r="AN60"/>
      <c r="AO60"/>
      <c r="AP60" s="13"/>
      <c r="AU60"/>
    </row>
    <row r="61" spans="21:47">
      <c r="U61"/>
      <c r="V61" s="13"/>
      <c r="W61" s="13"/>
      <c r="AA61"/>
      <c r="AB61"/>
      <c r="AE61" s="61"/>
      <c r="AF61" s="61"/>
      <c r="AG61" s="61"/>
      <c r="AH61" s="61"/>
      <c r="AI61" s="61"/>
      <c r="AK61"/>
      <c r="AL61"/>
      <c r="AM61"/>
      <c r="AN61"/>
      <c r="AO61"/>
      <c r="AP61" s="13"/>
      <c r="AU61"/>
    </row>
    <row r="62" spans="21:47">
      <c r="U62"/>
      <c r="V62" s="13"/>
      <c r="W62" s="13"/>
      <c r="AA62"/>
      <c r="AB62"/>
      <c r="AE62" s="61"/>
      <c r="AF62" s="61"/>
      <c r="AG62" s="61"/>
      <c r="AH62" s="61"/>
      <c r="AI62" s="61"/>
      <c r="AK62"/>
      <c r="AL62"/>
      <c r="AM62"/>
      <c r="AN62"/>
      <c r="AO62"/>
      <c r="AP62" s="13"/>
      <c r="AU62"/>
    </row>
    <row r="63" spans="21:47">
      <c r="U63"/>
      <c r="V63" s="13"/>
      <c r="W63" s="13"/>
      <c r="AA63"/>
      <c r="AB63"/>
      <c r="AE63" s="61"/>
      <c r="AF63" s="61"/>
      <c r="AG63" s="61"/>
      <c r="AH63" s="61"/>
      <c r="AI63" s="61"/>
      <c r="AK63"/>
      <c r="AL63"/>
      <c r="AM63"/>
      <c r="AN63"/>
      <c r="AO63"/>
      <c r="AP63" s="13"/>
      <c r="AU63"/>
    </row>
    <row r="64" spans="21:47">
      <c r="U64"/>
      <c r="V64" s="13"/>
      <c r="W64" s="13"/>
      <c r="AA64"/>
      <c r="AB64"/>
      <c r="AE64" s="61"/>
      <c r="AF64" s="61"/>
      <c r="AG64" s="61"/>
      <c r="AH64" s="61"/>
      <c r="AI64" s="61"/>
      <c r="AK64"/>
      <c r="AL64"/>
      <c r="AM64"/>
      <c r="AN64"/>
      <c r="AO64"/>
      <c r="AP64" s="13"/>
      <c r="AU64"/>
    </row>
    <row r="65" spans="21:47">
      <c r="U65"/>
      <c r="V65" s="13"/>
      <c r="W65" s="13"/>
      <c r="AA65"/>
      <c r="AB65"/>
      <c r="AE65" s="61"/>
      <c r="AF65" s="61"/>
      <c r="AG65" s="61"/>
      <c r="AH65" s="61"/>
      <c r="AI65" s="61"/>
      <c r="AK65"/>
      <c r="AL65"/>
      <c r="AM65"/>
      <c r="AN65"/>
      <c r="AO65"/>
      <c r="AP65" s="13"/>
      <c r="AU65"/>
    </row>
    <row r="66" spans="21:47">
      <c r="U66"/>
      <c r="V66" s="13"/>
      <c r="W66" s="13"/>
      <c r="AA66"/>
      <c r="AB66"/>
      <c r="AE66" s="61"/>
      <c r="AF66" s="61"/>
      <c r="AG66" s="61"/>
      <c r="AH66" s="61"/>
      <c r="AI66" s="61"/>
      <c r="AK66"/>
      <c r="AL66"/>
      <c r="AM66"/>
      <c r="AN66"/>
      <c r="AO66"/>
      <c r="AP66" s="13"/>
      <c r="AU66"/>
    </row>
    <row r="67" spans="21:47">
      <c r="U67"/>
      <c r="V67" s="13"/>
      <c r="W67" s="13"/>
      <c r="AA67"/>
      <c r="AB67"/>
      <c r="AE67" s="61"/>
      <c r="AF67" s="61"/>
      <c r="AG67" s="61"/>
      <c r="AH67" s="61"/>
      <c r="AI67" s="61"/>
      <c r="AK67"/>
      <c r="AL67"/>
      <c r="AM67"/>
      <c r="AN67"/>
      <c r="AO67"/>
      <c r="AP67" s="13"/>
      <c r="AU67"/>
    </row>
    <row r="68" spans="21:47">
      <c r="U68"/>
      <c r="V68" s="13"/>
      <c r="W68" s="13"/>
      <c r="AA68"/>
      <c r="AB68"/>
      <c r="AE68" s="61"/>
      <c r="AF68" s="61"/>
      <c r="AG68" s="61"/>
      <c r="AH68" s="61"/>
      <c r="AI68" s="61"/>
      <c r="AK68"/>
      <c r="AL68"/>
      <c r="AM68"/>
      <c r="AN68"/>
      <c r="AO68"/>
      <c r="AP68" s="13"/>
      <c r="AU68"/>
    </row>
    <row r="69" spans="21:47">
      <c r="U69"/>
      <c r="V69" s="13"/>
      <c r="W69" s="13"/>
      <c r="AA69"/>
      <c r="AB69"/>
      <c r="AE69" s="61"/>
      <c r="AF69" s="61"/>
      <c r="AG69" s="61"/>
      <c r="AH69" s="61"/>
      <c r="AI69" s="61"/>
      <c r="AK69"/>
      <c r="AL69"/>
      <c r="AM69"/>
      <c r="AN69"/>
      <c r="AO69"/>
      <c r="AP69" s="13"/>
      <c r="AU69"/>
    </row>
    <row r="70" spans="21:47">
      <c r="U70"/>
      <c r="V70" s="13"/>
      <c r="W70" s="13"/>
      <c r="AA70"/>
      <c r="AB70"/>
      <c r="AE70" s="61"/>
      <c r="AF70" s="61"/>
      <c r="AG70" s="61"/>
      <c r="AH70" s="61"/>
      <c r="AI70" s="61"/>
      <c r="AK70"/>
      <c r="AL70"/>
      <c r="AM70"/>
      <c r="AN70"/>
      <c r="AO70"/>
      <c r="AP70" s="13"/>
      <c r="AU70"/>
    </row>
    <row r="71" spans="21:47">
      <c r="U71"/>
      <c r="V71" s="13"/>
      <c r="W71" s="13"/>
      <c r="AA71"/>
      <c r="AB71"/>
      <c r="AE71" s="61"/>
      <c r="AF71" s="61"/>
      <c r="AG71" s="61"/>
      <c r="AH71" s="61"/>
      <c r="AI71" s="61"/>
      <c r="AK71"/>
      <c r="AL71"/>
      <c r="AM71"/>
      <c r="AN71"/>
      <c r="AO71"/>
      <c r="AP71" s="13"/>
      <c r="AU71"/>
    </row>
    <row r="72" spans="21:47">
      <c r="U72"/>
      <c r="V72"/>
      <c r="W72"/>
      <c r="AA72"/>
      <c r="AB72"/>
      <c r="AE72" s="61"/>
      <c r="AF72" s="61"/>
      <c r="AG72" s="61"/>
      <c r="AH72" s="61"/>
      <c r="AI72" s="61"/>
      <c r="AK72"/>
      <c r="AL72"/>
      <c r="AM72"/>
      <c r="AN72"/>
      <c r="AO72"/>
      <c r="AP72" s="13"/>
      <c r="AU72"/>
    </row>
    <row r="73" spans="21:47">
      <c r="U73"/>
      <c r="V73"/>
      <c r="W73"/>
      <c r="AA73"/>
      <c r="AB73"/>
      <c r="AE73" s="61"/>
      <c r="AF73" s="61"/>
      <c r="AG73" s="61"/>
      <c r="AH73" s="61"/>
      <c r="AI73" s="61"/>
      <c r="AK73"/>
      <c r="AL73"/>
      <c r="AM73"/>
      <c r="AN73"/>
      <c r="AO73"/>
      <c r="AP73" s="13"/>
      <c r="AU73"/>
    </row>
    <row r="74" spans="21:47">
      <c r="U74"/>
      <c r="V74"/>
      <c r="W74"/>
      <c r="AA74"/>
      <c r="AB74"/>
      <c r="AE74" s="61"/>
      <c r="AF74" s="61"/>
      <c r="AG74" s="61"/>
      <c r="AH74" s="61"/>
      <c r="AI74" s="61"/>
      <c r="AK74"/>
      <c r="AL74"/>
      <c r="AM74"/>
      <c r="AN74"/>
      <c r="AO74"/>
      <c r="AP74" s="13"/>
      <c r="AU74"/>
    </row>
    <row r="75" spans="21:47">
      <c r="U75"/>
      <c r="V75"/>
      <c r="W75"/>
      <c r="AA75"/>
      <c r="AB75"/>
      <c r="AE75" s="61"/>
      <c r="AF75" s="61"/>
      <c r="AG75" s="61"/>
      <c r="AH75" s="61"/>
      <c r="AI75" s="61"/>
      <c r="AK75"/>
      <c r="AL75"/>
      <c r="AM75"/>
      <c r="AN75"/>
      <c r="AO75"/>
      <c r="AP75" s="13"/>
      <c r="AU75"/>
    </row>
    <row r="76" spans="21:47">
      <c r="U76"/>
      <c r="V76"/>
      <c r="W76"/>
      <c r="AA76"/>
      <c r="AB76"/>
      <c r="AE76" s="61"/>
      <c r="AF76" s="61"/>
      <c r="AG76" s="61"/>
      <c r="AH76" s="61"/>
      <c r="AI76" s="61"/>
      <c r="AK76"/>
      <c r="AL76"/>
      <c r="AM76"/>
      <c r="AN76"/>
      <c r="AO76"/>
      <c r="AP76" s="13"/>
      <c r="AU76"/>
    </row>
    <row r="77" spans="21:47">
      <c r="U77"/>
      <c r="V77"/>
      <c r="W77"/>
      <c r="AA77"/>
      <c r="AB77"/>
      <c r="AE77" s="61"/>
      <c r="AF77" s="61"/>
      <c r="AG77" s="61"/>
      <c r="AH77" s="61"/>
      <c r="AI77" s="61"/>
      <c r="AK77"/>
      <c r="AL77"/>
      <c r="AM77"/>
      <c r="AN77"/>
      <c r="AO77"/>
      <c r="AP77" s="13"/>
      <c r="AU77"/>
    </row>
    <row r="78" spans="21:47">
      <c r="U78"/>
      <c r="V78"/>
      <c r="W78"/>
      <c r="AA78"/>
      <c r="AB78"/>
      <c r="AE78" s="61"/>
      <c r="AF78" s="61"/>
      <c r="AG78" s="61"/>
      <c r="AH78" s="61"/>
      <c r="AI78" s="61"/>
      <c r="AK78"/>
      <c r="AL78"/>
      <c r="AM78"/>
      <c r="AN78"/>
      <c r="AO78"/>
      <c r="AP78" s="13"/>
      <c r="AU78"/>
    </row>
    <row r="79" spans="21:47">
      <c r="U79"/>
      <c r="V79"/>
      <c r="W79"/>
      <c r="AA79"/>
      <c r="AB79"/>
      <c r="AE79" s="61"/>
      <c r="AF79" s="61"/>
      <c r="AG79" s="61"/>
      <c r="AH79" s="61"/>
      <c r="AI79" s="61"/>
      <c r="AK79"/>
      <c r="AL79"/>
      <c r="AM79"/>
      <c r="AN79"/>
      <c r="AO79"/>
      <c r="AP79" s="13"/>
      <c r="AU79"/>
    </row>
    <row r="80" spans="21:47">
      <c r="U80"/>
      <c r="V80"/>
      <c r="W80"/>
      <c r="AA80"/>
      <c r="AB80"/>
      <c r="AE80" s="61"/>
      <c r="AF80" s="61"/>
      <c r="AG80" s="61"/>
      <c r="AH80" s="61"/>
      <c r="AI80" s="61"/>
      <c r="AK80"/>
      <c r="AL80"/>
      <c r="AM80"/>
      <c r="AN80"/>
      <c r="AO80"/>
      <c r="AP80" s="13"/>
      <c r="AU80"/>
    </row>
    <row r="81" spans="20:47">
      <c r="U81"/>
      <c r="V81"/>
      <c r="W81"/>
      <c r="AA81"/>
      <c r="AB81"/>
      <c r="AE81" s="61"/>
      <c r="AF81" s="61"/>
      <c r="AG81" s="61"/>
      <c r="AH81" s="61"/>
      <c r="AI81" s="61"/>
      <c r="AK81"/>
      <c r="AL81"/>
      <c r="AM81"/>
      <c r="AN81"/>
      <c r="AO81"/>
      <c r="AP81" s="13"/>
      <c r="AU81"/>
    </row>
    <row r="82" spans="20:47"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61"/>
      <c r="AF82" s="61"/>
      <c r="AG82" s="61"/>
      <c r="AH82" s="61"/>
      <c r="AI82" s="61"/>
      <c r="AK82"/>
      <c r="AL82"/>
      <c r="AM82"/>
      <c r="AN82"/>
      <c r="AO82"/>
      <c r="AP82" s="13"/>
      <c r="AU82"/>
    </row>
    <row r="83" spans="20:47">
      <c r="T83" s="109">
        <v>2031</v>
      </c>
      <c r="U83" s="109">
        <v>2032</v>
      </c>
      <c r="V83" s="109">
        <v>2033</v>
      </c>
      <c r="W83" s="109">
        <v>2034</v>
      </c>
      <c r="X83" s="109">
        <v>2035</v>
      </c>
      <c r="Y83" s="109">
        <v>2036</v>
      </c>
      <c r="Z83" s="109">
        <v>2037</v>
      </c>
      <c r="AA83" s="109">
        <v>2038</v>
      </c>
      <c r="AB83" s="109">
        <v>2039</v>
      </c>
      <c r="AC83" s="109">
        <v>2040</v>
      </c>
      <c r="AD83" s="109">
        <v>2041</v>
      </c>
      <c r="AE83" s="61"/>
      <c r="AF83" s="61"/>
      <c r="AG83" s="61"/>
      <c r="AH83" s="61"/>
      <c r="AI83" s="61"/>
      <c r="AK83"/>
      <c r="AL83"/>
      <c r="AM83"/>
      <c r="AN83"/>
      <c r="AO83"/>
      <c r="AP83" s="13"/>
      <c r="AU83"/>
    </row>
    <row r="84" spans="20:47">
      <c r="T84" s="110">
        <v>23.34</v>
      </c>
      <c r="U84" s="110">
        <v>24.99</v>
      </c>
      <c r="V84" s="110">
        <v>26.77</v>
      </c>
      <c r="W84" s="110">
        <v>28.67</v>
      </c>
      <c r="X84" s="110">
        <v>30.71</v>
      </c>
      <c r="Y84" s="110">
        <v>32.89</v>
      </c>
      <c r="Z84" s="110">
        <v>35.22</v>
      </c>
      <c r="AA84" s="110">
        <v>37.72</v>
      </c>
      <c r="AB84" s="110">
        <v>40.4</v>
      </c>
      <c r="AC84" s="110">
        <v>43.27</v>
      </c>
      <c r="AD84" s="110">
        <v>46.34</v>
      </c>
      <c r="AE84" s="61"/>
      <c r="AF84" s="61"/>
      <c r="AG84" s="61"/>
      <c r="AH84" s="61"/>
      <c r="AI84" s="61"/>
      <c r="AK84"/>
      <c r="AL84"/>
      <c r="AM84"/>
      <c r="AN84"/>
      <c r="AO84"/>
      <c r="AP84" s="13"/>
      <c r="AU84"/>
    </row>
    <row r="85" spans="20:47">
      <c r="T85" s="110">
        <v>38.9</v>
      </c>
      <c r="U85" s="110">
        <v>41.66</v>
      </c>
      <c r="V85" s="110">
        <v>44.62</v>
      </c>
      <c r="W85" s="110">
        <v>47.78</v>
      </c>
      <c r="X85" s="110">
        <v>51.18</v>
      </c>
      <c r="Y85" s="110">
        <v>54.81</v>
      </c>
      <c r="Z85" s="110">
        <v>58.7</v>
      </c>
      <c r="AA85" s="110">
        <v>62.87</v>
      </c>
      <c r="AB85" s="110">
        <v>67.33</v>
      </c>
      <c r="AC85" s="110">
        <v>72.11</v>
      </c>
      <c r="AD85" s="110">
        <v>77.23</v>
      </c>
      <c r="AE85" s="61"/>
      <c r="AF85" s="61"/>
      <c r="AG85" s="61"/>
      <c r="AH85" s="61"/>
      <c r="AI85" s="61"/>
      <c r="AK85"/>
      <c r="AL85"/>
      <c r="AM85"/>
      <c r="AN85"/>
      <c r="AO85"/>
      <c r="AP85" s="13"/>
      <c r="AU85"/>
    </row>
    <row r="86" spans="20:47">
      <c r="T86" s="110">
        <v>54.46</v>
      </c>
      <c r="U86" s="110">
        <v>58.32</v>
      </c>
      <c r="V86" s="110">
        <v>62.46</v>
      </c>
      <c r="W86" s="110">
        <v>66.900000000000006</v>
      </c>
      <c r="X86" s="110">
        <v>71.650000000000006</v>
      </c>
      <c r="Y86" s="110">
        <v>76.73</v>
      </c>
      <c r="Z86" s="110">
        <v>82.18</v>
      </c>
      <c r="AA86" s="110">
        <v>88.02</v>
      </c>
      <c r="AB86" s="110">
        <v>94.27</v>
      </c>
      <c r="AC86" s="110">
        <v>100.96</v>
      </c>
      <c r="AD86" s="110">
        <v>108.13</v>
      </c>
      <c r="AE86" s="61"/>
      <c r="AF86" s="61"/>
      <c r="AG86" s="61"/>
      <c r="AH86" s="61"/>
      <c r="AI86" s="61"/>
      <c r="AK86"/>
      <c r="AL86"/>
      <c r="AM86"/>
      <c r="AN86"/>
      <c r="AO86"/>
      <c r="AP86" s="13"/>
      <c r="AU86"/>
    </row>
    <row r="87" spans="20:47">
      <c r="U87"/>
      <c r="V87"/>
      <c r="W87"/>
      <c r="AA87"/>
      <c r="AB87"/>
      <c r="AE87" s="61"/>
      <c r="AF87" s="61"/>
      <c r="AG87" s="61"/>
      <c r="AH87" s="61"/>
      <c r="AI87" s="61"/>
      <c r="AK87"/>
      <c r="AL87"/>
      <c r="AM87"/>
      <c r="AN87"/>
      <c r="AO87"/>
      <c r="AP87" s="13"/>
      <c r="AU87"/>
    </row>
    <row r="88" spans="20:47">
      <c r="U88"/>
      <c r="V88"/>
      <c r="W88"/>
      <c r="AA88"/>
      <c r="AB88"/>
      <c r="AE88" s="61"/>
      <c r="AF88" s="61"/>
      <c r="AG88" s="61"/>
      <c r="AH88" s="61"/>
      <c r="AI88" s="61"/>
      <c r="AK88"/>
      <c r="AL88"/>
      <c r="AM88"/>
      <c r="AN88"/>
      <c r="AO88"/>
      <c r="AP88" s="13"/>
      <c r="AU88"/>
    </row>
    <row r="89" spans="20:47">
      <c r="U89"/>
      <c r="V89"/>
      <c r="W89"/>
      <c r="AA89"/>
      <c r="AB89"/>
      <c r="AE89" s="61"/>
      <c r="AF89" s="61"/>
      <c r="AG89" s="61"/>
      <c r="AH89" s="61"/>
      <c r="AI89" s="61"/>
      <c r="AK89"/>
      <c r="AL89"/>
      <c r="AM89"/>
      <c r="AN89"/>
      <c r="AO89"/>
      <c r="AP89" s="13"/>
      <c r="AU89"/>
    </row>
    <row r="90" spans="20:47">
      <c r="U90"/>
      <c r="V90"/>
      <c r="W90"/>
      <c r="AA90"/>
      <c r="AB90"/>
      <c r="AE90" s="61"/>
      <c r="AF90" s="61"/>
      <c r="AG90" s="61"/>
      <c r="AH90" s="61"/>
      <c r="AI90" s="61"/>
      <c r="AK90"/>
      <c r="AL90"/>
      <c r="AM90"/>
      <c r="AN90"/>
      <c r="AO90"/>
      <c r="AP90" s="13"/>
      <c r="AU90"/>
    </row>
    <row r="91" spans="20:47">
      <c r="U91"/>
      <c r="V91"/>
      <c r="W91"/>
      <c r="AA91"/>
      <c r="AB91"/>
      <c r="AE91" s="61"/>
      <c r="AF91" s="61"/>
      <c r="AG91" s="61"/>
      <c r="AH91" s="61"/>
      <c r="AI91" s="61"/>
      <c r="AK91"/>
      <c r="AL91"/>
      <c r="AM91"/>
      <c r="AN91"/>
      <c r="AO91"/>
      <c r="AP91" s="13"/>
      <c r="AU91"/>
    </row>
    <row r="92" spans="20:47">
      <c r="U92"/>
      <c r="V92"/>
      <c r="W92"/>
      <c r="AA92"/>
      <c r="AB92"/>
      <c r="AE92" s="61"/>
      <c r="AF92" s="61"/>
      <c r="AG92" s="61"/>
      <c r="AH92" s="61"/>
      <c r="AI92" s="61"/>
      <c r="AK92"/>
      <c r="AL92"/>
      <c r="AM92"/>
      <c r="AN92"/>
      <c r="AO92"/>
      <c r="AP92" s="13"/>
      <c r="AU92"/>
    </row>
    <row r="93" spans="20:47">
      <c r="U93"/>
      <c r="V93"/>
      <c r="W93"/>
      <c r="AA93"/>
      <c r="AB93"/>
      <c r="AE93" s="61"/>
      <c r="AF93" s="61"/>
      <c r="AG93" s="61"/>
      <c r="AH93" s="61"/>
      <c r="AI93" s="61"/>
      <c r="AK93"/>
      <c r="AL93"/>
      <c r="AM93"/>
      <c r="AN93"/>
      <c r="AO93"/>
      <c r="AP93" s="13"/>
      <c r="AU93"/>
    </row>
    <row r="94" spans="20:47">
      <c r="U94"/>
      <c r="V94" s="13"/>
      <c r="W94" s="13"/>
      <c r="AA94"/>
      <c r="AB94"/>
      <c r="AE94" s="61"/>
      <c r="AF94" s="61"/>
      <c r="AG94" s="61"/>
      <c r="AH94" s="61"/>
      <c r="AI94" s="61"/>
      <c r="AK94"/>
      <c r="AL94"/>
      <c r="AM94"/>
      <c r="AN94"/>
      <c r="AO94"/>
      <c r="AP94" s="13"/>
      <c r="AU94"/>
    </row>
    <row r="95" spans="20:47">
      <c r="U95"/>
      <c r="V95" s="13"/>
      <c r="W95" s="13"/>
      <c r="AA95"/>
      <c r="AB95"/>
      <c r="AE95" s="61"/>
      <c r="AF95" s="61"/>
      <c r="AG95" s="61"/>
      <c r="AH95" s="61"/>
      <c r="AI95" s="61"/>
      <c r="AK95"/>
      <c r="AL95"/>
      <c r="AM95"/>
      <c r="AN95"/>
      <c r="AO95"/>
      <c r="AP95" s="13"/>
      <c r="AU95"/>
    </row>
    <row r="96" spans="20:47">
      <c r="U96"/>
      <c r="V96" s="13"/>
      <c r="W96" s="13"/>
      <c r="AA96"/>
      <c r="AB96"/>
      <c r="AE96" s="61"/>
      <c r="AF96" s="61"/>
      <c r="AG96" s="61"/>
      <c r="AH96" s="61"/>
      <c r="AI96" s="61"/>
      <c r="AK96"/>
      <c r="AL96"/>
      <c r="AM96"/>
      <c r="AN96"/>
      <c r="AO96"/>
      <c r="AP96" s="13"/>
      <c r="AU96"/>
    </row>
  </sheetData>
  <mergeCells count="3">
    <mergeCell ref="X9:Z9"/>
    <mergeCell ref="AA9:AB9"/>
    <mergeCell ref="H9:I9"/>
  </mergeCells>
  <conditionalFormatting sqref="S6:AI8">
    <cfRule type="colorScale" priority="3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72"/>
  <sheetViews>
    <sheetView topLeftCell="A20" workbookViewId="0">
      <selection sqref="A1:L72"/>
    </sheetView>
  </sheetViews>
  <sheetFormatPr defaultRowHeight="15"/>
  <sheetData>
    <row r="1" spans="1:12" ht="18">
      <c r="A1" s="11"/>
      <c r="B1" s="10"/>
      <c r="C1" s="10"/>
      <c r="D1" s="10"/>
      <c r="E1" s="10"/>
      <c r="F1" s="10"/>
      <c r="G1" s="9" t="s">
        <v>4</v>
      </c>
      <c r="H1" s="10"/>
      <c r="I1" s="10"/>
      <c r="J1" s="10"/>
      <c r="K1" s="10"/>
      <c r="L1" s="7"/>
    </row>
    <row r="2" spans="1:12" ht="18">
      <c r="A2" s="15"/>
      <c r="B2" s="16"/>
      <c r="C2" s="16"/>
      <c r="D2" s="16"/>
      <c r="E2" s="16"/>
      <c r="F2" s="16"/>
      <c r="G2" s="17" t="s">
        <v>83</v>
      </c>
      <c r="H2" s="16"/>
      <c r="I2" s="16"/>
      <c r="J2" s="16"/>
      <c r="K2" s="16"/>
      <c r="L2" s="18"/>
    </row>
    <row r="3" spans="1:1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>
      <c r="A4" s="19"/>
      <c r="B4" s="20"/>
      <c r="C4" s="20"/>
      <c r="D4" s="22"/>
      <c r="E4" s="22"/>
      <c r="F4" s="22"/>
      <c r="G4" s="20"/>
      <c r="H4" s="20"/>
      <c r="I4" s="20"/>
      <c r="J4" s="20"/>
      <c r="K4" s="23"/>
      <c r="L4" s="21"/>
    </row>
    <row r="5" spans="1:12">
      <c r="A5" s="19"/>
      <c r="B5" s="20"/>
      <c r="C5" s="20"/>
      <c r="D5" s="20"/>
      <c r="E5" s="20"/>
      <c r="F5" s="20"/>
      <c r="G5" s="20"/>
      <c r="H5" s="20"/>
      <c r="I5" s="24"/>
      <c r="J5" s="20"/>
      <c r="K5" s="23" t="s">
        <v>5</v>
      </c>
      <c r="L5" s="21"/>
    </row>
    <row r="6" spans="1:12">
      <c r="A6" s="19"/>
      <c r="B6" s="20"/>
      <c r="C6" s="20"/>
      <c r="D6" s="25"/>
      <c r="E6" s="25"/>
      <c r="F6" s="25"/>
      <c r="G6" s="20"/>
      <c r="H6" s="26"/>
      <c r="I6" s="20"/>
      <c r="J6" s="20"/>
      <c r="K6" s="27" t="s">
        <v>6</v>
      </c>
      <c r="L6" s="21"/>
    </row>
    <row r="7" spans="1:12">
      <c r="A7" s="19"/>
      <c r="B7" s="20"/>
      <c r="C7" s="20"/>
      <c r="D7" s="20" t="s">
        <v>7</v>
      </c>
      <c r="E7" s="28"/>
      <c r="F7" s="28"/>
      <c r="G7" s="20"/>
      <c r="H7" s="20" t="s">
        <v>8</v>
      </c>
      <c r="I7" s="28"/>
      <c r="J7" s="20"/>
      <c r="K7" s="29" t="s">
        <v>9</v>
      </c>
      <c r="L7" s="21"/>
    </row>
    <row r="8" spans="1:12">
      <c r="A8" s="19"/>
      <c r="B8" s="30" t="s">
        <v>10</v>
      </c>
      <c r="C8" s="20"/>
      <c r="D8" s="20"/>
      <c r="E8" s="28"/>
      <c r="F8" s="28"/>
      <c r="G8" s="20"/>
      <c r="H8" s="20"/>
      <c r="I8" s="28"/>
      <c r="J8" s="20"/>
      <c r="K8" s="29"/>
      <c r="L8" s="21"/>
    </row>
    <row r="9" spans="1:12">
      <c r="A9" s="19"/>
      <c r="B9" s="30" t="s">
        <v>11</v>
      </c>
      <c r="C9" s="31"/>
      <c r="D9" s="32"/>
      <c r="E9" s="28"/>
      <c r="F9" s="28"/>
      <c r="G9" s="31"/>
      <c r="H9" s="32"/>
      <c r="I9" s="28"/>
      <c r="J9" s="20"/>
      <c r="K9" s="33"/>
      <c r="L9" s="21"/>
    </row>
    <row r="10" spans="1:12">
      <c r="A10" s="19"/>
      <c r="B10" s="30" t="s">
        <v>12</v>
      </c>
      <c r="C10" s="31"/>
      <c r="D10" s="32"/>
      <c r="E10" s="28"/>
      <c r="F10" s="28"/>
      <c r="G10" s="31"/>
      <c r="H10" s="32"/>
      <c r="I10" s="28"/>
      <c r="J10" s="20"/>
      <c r="K10" s="33"/>
      <c r="L10" s="21"/>
    </row>
    <row r="11" spans="1:12">
      <c r="A11" s="19"/>
      <c r="B11" s="30" t="s">
        <v>13</v>
      </c>
      <c r="C11" s="31">
        <v>2.0027711687357952</v>
      </c>
      <c r="D11" s="32">
        <v>2.0027711687357952E-2</v>
      </c>
      <c r="E11" s="28"/>
      <c r="F11" s="28"/>
      <c r="G11" s="31">
        <v>2.2979985174203188</v>
      </c>
      <c r="H11" s="32">
        <v>2.2979985174203188E-2</v>
      </c>
      <c r="I11" s="28"/>
      <c r="J11" s="20"/>
      <c r="K11" s="33">
        <v>2.1999999999999999E-2</v>
      </c>
      <c r="L11" s="21"/>
    </row>
    <row r="12" spans="1:12">
      <c r="A12" s="19"/>
      <c r="B12" s="30" t="s">
        <v>14</v>
      </c>
      <c r="C12" s="34">
        <v>2.6701679973134995</v>
      </c>
      <c r="D12" s="32">
        <v>2.6701679973134995E-2</v>
      </c>
      <c r="E12" s="28"/>
      <c r="F12" s="28"/>
      <c r="G12" s="34">
        <v>2.6675724637680975</v>
      </c>
      <c r="H12" s="32">
        <v>2.6675724637680975E-2</v>
      </c>
      <c r="I12" s="28"/>
      <c r="J12" s="20"/>
      <c r="K12" s="33">
        <v>2.7E-2</v>
      </c>
      <c r="L12" s="21"/>
    </row>
    <row r="13" spans="1:12">
      <c r="A13" s="19"/>
      <c r="B13" s="30" t="s">
        <v>15</v>
      </c>
      <c r="C13" s="34">
        <v>3.1213995468033273</v>
      </c>
      <c r="D13" s="32">
        <v>3.1213995468033273E-2</v>
      </c>
      <c r="E13" s="35"/>
      <c r="F13" s="35"/>
      <c r="G13" s="34">
        <v>3.3658299880894749</v>
      </c>
      <c r="H13" s="32">
        <v>3.3658299880894749E-2</v>
      </c>
      <c r="I13" s="35"/>
      <c r="J13" s="36"/>
      <c r="K13" s="33">
        <v>3.2000000000000001E-2</v>
      </c>
      <c r="L13" s="21"/>
    </row>
    <row r="14" spans="1:12">
      <c r="A14" s="19"/>
      <c r="B14" s="30">
        <v>2006</v>
      </c>
      <c r="C14" s="34">
        <v>3.1106412161389763</v>
      </c>
      <c r="D14" s="32">
        <v>3.1106412161389763E-2</v>
      </c>
      <c r="E14" s="35"/>
      <c r="F14" s="35"/>
      <c r="G14" s="34">
        <v>3.2220894503243391</v>
      </c>
      <c r="H14" s="32">
        <v>3.2220894503243391E-2</v>
      </c>
      <c r="I14" s="35"/>
      <c r="J14" s="36"/>
      <c r="K14" s="33">
        <v>3.2000000000000001E-2</v>
      </c>
      <c r="L14" s="21"/>
    </row>
    <row r="15" spans="1:12">
      <c r="A15" s="19"/>
      <c r="B15" s="30">
        <v>2007</v>
      </c>
      <c r="C15" s="34">
        <v>2.7066948227221665</v>
      </c>
      <c r="D15" s="32">
        <v>2.7066948227221665E-2</v>
      </c>
      <c r="E15" s="35"/>
      <c r="F15" s="35"/>
      <c r="G15" s="34">
        <v>2.8705502956133389</v>
      </c>
      <c r="H15" s="32">
        <v>2.8705502956133389E-2</v>
      </c>
      <c r="I15" s="35"/>
      <c r="J15" s="36"/>
      <c r="K15" s="33">
        <v>2.8000000000000001E-2</v>
      </c>
      <c r="L15" s="21"/>
    </row>
    <row r="16" spans="1:12">
      <c r="A16" s="19"/>
      <c r="B16" s="30">
        <v>2008</v>
      </c>
      <c r="C16" s="34">
        <v>1.8822869138427345</v>
      </c>
      <c r="D16" s="32">
        <v>1.8822869138427345E-2</v>
      </c>
      <c r="E16" s="35"/>
      <c r="F16" s="35"/>
      <c r="G16" s="34">
        <v>3.8149533987372086</v>
      </c>
      <c r="H16" s="32">
        <v>3.8149533987372086E-2</v>
      </c>
      <c r="I16" s="35"/>
      <c r="J16" s="36"/>
      <c r="K16" s="33">
        <v>2.8000000000000001E-2</v>
      </c>
      <c r="L16" s="21"/>
    </row>
    <row r="17" spans="1:13">
      <c r="A17" s="19"/>
      <c r="B17" s="30">
        <v>2009</v>
      </c>
      <c r="C17" s="34">
        <v>0.65865266202140837</v>
      </c>
      <c r="D17" s="32">
        <v>6.5865266202140837E-3</v>
      </c>
      <c r="E17" s="35"/>
      <c r="F17" s="35"/>
      <c r="G17" s="34">
        <v>-0.32035759262979413</v>
      </c>
      <c r="H17" s="32">
        <v>-3.2035759262979413E-3</v>
      </c>
      <c r="I17" s="35"/>
      <c r="J17" s="36"/>
      <c r="K17" s="33">
        <v>2E-3</v>
      </c>
      <c r="L17" s="21"/>
    </row>
    <row r="18" spans="1:13">
      <c r="A18" s="19"/>
      <c r="B18" s="30">
        <v>2010</v>
      </c>
      <c r="C18" s="34">
        <v>1.2052852587377094</v>
      </c>
      <c r="D18" s="32">
        <v>1.2052852587377094E-2</v>
      </c>
      <c r="E18" s="35"/>
      <c r="F18" s="35"/>
      <c r="G18" s="34">
        <v>1.6365695501278532</v>
      </c>
      <c r="H18" s="32">
        <v>1.6365695501278532E-2</v>
      </c>
      <c r="I18" s="35"/>
      <c r="J18" s="36"/>
      <c r="K18" s="33">
        <v>1.4E-2</v>
      </c>
      <c r="L18" s="21"/>
    </row>
    <row r="19" spans="1:13">
      <c r="A19" s="19"/>
      <c r="B19" s="30">
        <v>2011</v>
      </c>
      <c r="C19" s="34">
        <v>2.072495755959225</v>
      </c>
      <c r="D19" s="32">
        <v>2.072495755959225E-2</v>
      </c>
      <c r="E19" s="35"/>
      <c r="F19" s="35"/>
      <c r="G19" s="34">
        <v>3.1396522774535196</v>
      </c>
      <c r="H19" s="32">
        <v>3.1396522774535196E-2</v>
      </c>
      <c r="I19" s="35"/>
      <c r="J19" s="37"/>
      <c r="K19" s="33">
        <v>2.5999999999999999E-2</v>
      </c>
      <c r="L19" s="21"/>
    </row>
    <row r="20" spans="1:13">
      <c r="A20" s="19"/>
      <c r="B20" s="30">
        <v>2012</v>
      </c>
      <c r="C20" s="38">
        <v>1.877599464125157</v>
      </c>
      <c r="D20" s="32">
        <v>1.877599464125157E-2</v>
      </c>
      <c r="E20" s="35"/>
      <c r="F20" s="35"/>
      <c r="G20" s="38">
        <v>2.0731909735035359</v>
      </c>
      <c r="H20" s="32">
        <v>2.0731909735035359E-2</v>
      </c>
      <c r="I20" s="35"/>
      <c r="J20" s="37"/>
      <c r="K20" s="33">
        <v>0.02</v>
      </c>
      <c r="L20" s="21"/>
    </row>
    <row r="21" spans="1:13">
      <c r="A21" s="19"/>
      <c r="B21" s="30">
        <v>2013</v>
      </c>
      <c r="C21" s="39">
        <v>1.7684955787610646</v>
      </c>
      <c r="D21" s="32">
        <v>1.7684955787610646E-2</v>
      </c>
      <c r="E21" s="35"/>
      <c r="F21" s="35"/>
      <c r="G21" s="39">
        <v>1.4659715509759863</v>
      </c>
      <c r="H21" s="32">
        <v>1.4659715509759863E-2</v>
      </c>
      <c r="I21" s="35"/>
      <c r="J21" s="37"/>
      <c r="K21" s="33">
        <v>1.6E-2</v>
      </c>
      <c r="L21" s="21"/>
    </row>
    <row r="22" spans="1:13">
      <c r="A22" s="19"/>
      <c r="B22" s="30">
        <v>2014</v>
      </c>
      <c r="C22" s="39">
        <v>1.8608364551986778</v>
      </c>
      <c r="D22" s="32">
        <v>1.8608364551986778E-2</v>
      </c>
      <c r="E22" s="35"/>
      <c r="F22" s="35"/>
      <c r="G22" s="39">
        <v>1.6154632879984865</v>
      </c>
      <c r="H22" s="32">
        <v>1.6154632879984865E-2</v>
      </c>
      <c r="I22" s="35"/>
      <c r="J22" s="37"/>
      <c r="K22" s="33">
        <v>1.7000000000000001E-2</v>
      </c>
      <c r="L22" s="40"/>
    </row>
    <row r="23" spans="1:13">
      <c r="A23" s="19"/>
      <c r="B23" s="30">
        <v>2015</v>
      </c>
      <c r="C23" s="39">
        <v>0.96370432895214186</v>
      </c>
      <c r="D23" s="32">
        <v>9.6370432895214186E-3</v>
      </c>
      <c r="E23" s="35"/>
      <c r="F23" s="35"/>
      <c r="G23" s="39">
        <v>0.12113723253701636</v>
      </c>
      <c r="H23" s="32">
        <v>1.2113723253701636E-3</v>
      </c>
      <c r="I23" s="35"/>
      <c r="J23" s="37"/>
      <c r="K23" s="33">
        <v>5.0000000000000001E-3</v>
      </c>
      <c r="L23" s="40"/>
    </row>
    <row r="24" spans="1:13">
      <c r="A24" s="19"/>
      <c r="B24" s="30">
        <v>2016</v>
      </c>
      <c r="C24" s="39">
        <v>0.9953516813727914</v>
      </c>
      <c r="D24" s="32">
        <v>9.953516813727914E-3</v>
      </c>
      <c r="E24" s="35"/>
      <c r="F24" s="35"/>
      <c r="G24" s="39">
        <v>1.2673605433996427</v>
      </c>
      <c r="H24" s="32">
        <v>1.2673605433996427E-2</v>
      </c>
      <c r="I24" s="35"/>
      <c r="J24" s="37"/>
      <c r="K24" s="33">
        <v>1.0999999999999999E-2</v>
      </c>
      <c r="L24" s="40"/>
    </row>
    <row r="25" spans="1:13">
      <c r="A25" s="19"/>
      <c r="B25" s="30">
        <v>2017</v>
      </c>
      <c r="C25" s="39">
        <v>1.9287486430171308</v>
      </c>
      <c r="D25" s="32">
        <v>1.9287486430171308E-2</v>
      </c>
      <c r="E25" s="35"/>
      <c r="F25" s="35"/>
      <c r="G25" s="39">
        <v>2.1314449500271726</v>
      </c>
      <c r="H25" s="32">
        <v>2.1314449500271726E-2</v>
      </c>
      <c r="I25" s="35"/>
      <c r="J25" s="37"/>
      <c r="K25" s="33">
        <v>0.02</v>
      </c>
      <c r="L25" s="40"/>
    </row>
    <row r="26" spans="1:13">
      <c r="A26" s="19"/>
      <c r="B26" s="30">
        <v>2018</v>
      </c>
      <c r="C26" s="39">
        <v>2.3987859887509178</v>
      </c>
      <c r="D26" s="32">
        <v>2.3987859887509178E-2</v>
      </c>
      <c r="E26" s="35"/>
      <c r="F26" s="35"/>
      <c r="G26" s="39">
        <v>2.4387615368192339</v>
      </c>
      <c r="H26" s="32">
        <v>2.4387615368192339E-2</v>
      </c>
      <c r="I26" s="35"/>
      <c r="J26" s="35"/>
      <c r="K26" s="33">
        <v>2.4E-2</v>
      </c>
      <c r="L26" s="40"/>
    </row>
    <row r="27" spans="1:13">
      <c r="A27" s="19"/>
      <c r="B27" s="30">
        <v>2019</v>
      </c>
      <c r="C27" s="39">
        <v>1.7695204687903532</v>
      </c>
      <c r="D27" s="32">
        <v>1.7695204687903532E-2</v>
      </c>
      <c r="E27" s="35"/>
      <c r="F27" s="35"/>
      <c r="G27" s="39">
        <v>1.811072462479113</v>
      </c>
      <c r="H27" s="32">
        <v>1.811072462479113E-2</v>
      </c>
      <c r="I27" s="35"/>
      <c r="J27" s="35"/>
      <c r="K27" s="33">
        <v>1.7999999999999999E-2</v>
      </c>
      <c r="L27" s="41"/>
    </row>
    <row r="28" spans="1:13">
      <c r="A28" s="19"/>
      <c r="B28" s="30">
        <v>2020</v>
      </c>
      <c r="C28" s="42">
        <v>1.3016710642040463</v>
      </c>
      <c r="D28" s="32">
        <v>1.3016710642040463E-2</v>
      </c>
      <c r="E28" s="35"/>
      <c r="F28" s="35"/>
      <c r="G28" s="42">
        <v>1.2485013485418195</v>
      </c>
      <c r="H28" s="32">
        <v>1.2485013485418195E-2</v>
      </c>
      <c r="I28" s="35"/>
      <c r="J28" s="35"/>
      <c r="K28" s="33">
        <v>1.2999999999999999E-2</v>
      </c>
      <c r="L28" s="41"/>
      <c r="M28" s="14">
        <v>1</v>
      </c>
    </row>
    <row r="29" spans="1:13">
      <c r="A29" s="19"/>
      <c r="B29" s="30">
        <v>2021</v>
      </c>
      <c r="C29" s="43">
        <v>4.1764019333525138</v>
      </c>
      <c r="D29" s="32">
        <v>4.1764019333525138E-2</v>
      </c>
      <c r="E29" s="35">
        <v>1</v>
      </c>
      <c r="F29" s="35"/>
      <c r="G29" s="43">
        <v>4.6852297396797749</v>
      </c>
      <c r="H29" s="32">
        <v>4.6852297396797749E-2</v>
      </c>
      <c r="I29" s="35">
        <v>1</v>
      </c>
      <c r="J29" s="35"/>
      <c r="K29" s="33">
        <v>4.3999999999999997E-2</v>
      </c>
      <c r="L29" s="41">
        <v>1</v>
      </c>
      <c r="M29" s="14">
        <f>M28*(1+K29)</f>
        <v>1.044</v>
      </c>
    </row>
    <row r="30" spans="1:13">
      <c r="A30" s="19"/>
      <c r="B30" s="30">
        <v>2022</v>
      </c>
      <c r="C30" s="42">
        <v>6.6174503441204013</v>
      </c>
      <c r="D30" s="32">
        <v>6.6174503441204013E-2</v>
      </c>
      <c r="E30" s="35">
        <v>1.066174503441204</v>
      </c>
      <c r="F30" s="35"/>
      <c r="G30" s="42">
        <v>7.4921922693086618</v>
      </c>
      <c r="H30" s="32">
        <v>7.4921922693086618E-2</v>
      </c>
      <c r="I30" s="35">
        <v>1.0749219226930866</v>
      </c>
      <c r="J30" s="35"/>
      <c r="K30" s="33">
        <v>7.0999999999999994E-2</v>
      </c>
      <c r="L30" s="41">
        <v>1.07</v>
      </c>
      <c r="M30" s="14">
        <f t="shared" ref="M30:M69" si="0">M29*(1+K30)</f>
        <v>1.1181239999999999</v>
      </c>
    </row>
    <row r="31" spans="1:13">
      <c r="A31" s="19"/>
      <c r="B31" s="30">
        <v>2023</v>
      </c>
      <c r="C31" s="42">
        <v>3.5781639661668141</v>
      </c>
      <c r="D31" s="32">
        <v>3.5781639661668141E-2</v>
      </c>
      <c r="E31" s="35">
        <v>1.1043239753397951</v>
      </c>
      <c r="F31" s="35"/>
      <c r="G31" s="42">
        <v>3.391310940718717</v>
      </c>
      <c r="H31" s="32">
        <v>3.391310940718717E-2</v>
      </c>
      <c r="I31" s="35">
        <v>1.1113758674615613</v>
      </c>
      <c r="J31" s="35"/>
      <c r="K31" s="33">
        <v>3.5000000000000003E-2</v>
      </c>
      <c r="L31" s="41">
        <v>1.1100000000000001</v>
      </c>
      <c r="M31" s="14">
        <f t="shared" si="0"/>
        <v>1.1572583399999998</v>
      </c>
    </row>
    <row r="32" spans="1:13">
      <c r="A32" s="19"/>
      <c r="B32" s="30">
        <v>2024</v>
      </c>
      <c r="C32" s="42">
        <v>2.2724927952899376</v>
      </c>
      <c r="D32" s="32">
        <v>2.2724927952899376E-2</v>
      </c>
      <c r="E32" s="35">
        <v>1.1294196581160514</v>
      </c>
      <c r="F32" s="35"/>
      <c r="G32" s="42">
        <v>1.7400870031048843</v>
      </c>
      <c r="H32" s="32">
        <v>1.7400870031048843E-2</v>
      </c>
      <c r="I32" s="35">
        <v>1.1307147744869039</v>
      </c>
      <c r="J32" s="35"/>
      <c r="K32" s="33">
        <v>0.02</v>
      </c>
      <c r="L32" s="41">
        <v>1.1299999999999999</v>
      </c>
      <c r="M32" s="14">
        <f t="shared" si="0"/>
        <v>1.1804035067999998</v>
      </c>
    </row>
    <row r="33" spans="1:13">
      <c r="A33" s="19"/>
      <c r="B33" s="30">
        <v>2025</v>
      </c>
      <c r="C33" s="42">
        <v>2.1504683337629782</v>
      </c>
      <c r="D33" s="32">
        <v>2.1504683337629782E-2</v>
      </c>
      <c r="E33" s="35">
        <v>1.1537074702191312</v>
      </c>
      <c r="F33" s="35"/>
      <c r="G33" s="42">
        <v>1.9677637191947817</v>
      </c>
      <c r="H33" s="32">
        <v>1.9677637191947817E-2</v>
      </c>
      <c r="I33" s="35">
        <v>1.1529645695868322</v>
      </c>
      <c r="J33" s="35"/>
      <c r="K33" s="33">
        <v>2.1000000000000001E-2</v>
      </c>
      <c r="L33" s="41">
        <v>1.1499999999999999</v>
      </c>
      <c r="M33" s="14">
        <f t="shared" si="0"/>
        <v>1.2051919804427997</v>
      </c>
    </row>
    <row r="34" spans="1:13">
      <c r="A34" s="19"/>
      <c r="B34" s="30">
        <v>2026</v>
      </c>
      <c r="C34" s="42">
        <v>2.2671166677486809</v>
      </c>
      <c r="D34" s="32">
        <v>2.2671166677486809E-2</v>
      </c>
      <c r="E34" s="35">
        <v>1.1798633645735308</v>
      </c>
      <c r="F34" s="35"/>
      <c r="G34" s="42">
        <v>2.2011451008723038</v>
      </c>
      <c r="H34" s="32">
        <v>2.2011451008723038E-2</v>
      </c>
      <c r="I34" s="35">
        <v>1.1783429927250861</v>
      </c>
      <c r="J34" s="35"/>
      <c r="K34" s="33">
        <v>2.1999999999999999E-2</v>
      </c>
      <c r="L34" s="41">
        <v>1.18</v>
      </c>
      <c r="M34" s="14">
        <f t="shared" si="0"/>
        <v>1.2317062040125413</v>
      </c>
    </row>
    <row r="35" spans="1:13">
      <c r="A35" s="19"/>
      <c r="B35" s="30">
        <v>2027</v>
      </c>
      <c r="C35" s="42">
        <v>2.2578621570700452</v>
      </c>
      <c r="D35" s="32">
        <v>2.2578621570700452E-2</v>
      </c>
      <c r="E35" s="35">
        <v>1.2065030529873699</v>
      </c>
      <c r="F35" s="35"/>
      <c r="G35" s="42">
        <v>2.1928953660337758</v>
      </c>
      <c r="H35" s="32">
        <v>2.1928953660337758E-2</v>
      </c>
      <c r="I35" s="35">
        <v>1.2041828216085382</v>
      </c>
      <c r="J35" s="35"/>
      <c r="K35" s="33">
        <v>2.1999999999999999E-2</v>
      </c>
      <c r="L35" s="41">
        <v>1.21</v>
      </c>
      <c r="M35" s="14">
        <f t="shared" si="0"/>
        <v>1.2588037405008172</v>
      </c>
    </row>
    <row r="36" spans="1:13">
      <c r="A36" s="19"/>
      <c r="B36" s="30">
        <v>2028</v>
      </c>
      <c r="C36" s="42">
        <v>2.2876814810384616</v>
      </c>
      <c r="D36" s="32">
        <v>2.2876814810384616E-2</v>
      </c>
      <c r="E36" s="35">
        <v>1.2341039998987255</v>
      </c>
      <c r="F36" s="35"/>
      <c r="G36" s="42">
        <v>2.1771610021578791</v>
      </c>
      <c r="H36" s="32">
        <v>2.1771610021578791E-2</v>
      </c>
      <c r="I36" s="35">
        <v>1.2303998203952837</v>
      </c>
      <c r="J36" s="35"/>
      <c r="K36" s="33">
        <v>2.1999999999999999E-2</v>
      </c>
      <c r="L36" s="41">
        <v>1.23</v>
      </c>
      <c r="M36" s="14">
        <f t="shared" si="0"/>
        <v>1.2864974227918353</v>
      </c>
    </row>
    <row r="37" spans="1:13">
      <c r="A37" s="19"/>
      <c r="B37" s="30">
        <v>2029</v>
      </c>
      <c r="C37" s="42">
        <v>2.3375568284396575</v>
      </c>
      <c r="D37" s="32">
        <v>2.3375568284396575E-2</v>
      </c>
      <c r="E37" s="35">
        <v>1.2629518822184052</v>
      </c>
      <c r="F37" s="35"/>
      <c r="G37" s="42">
        <v>2.2087710763003088</v>
      </c>
      <c r="H37" s="32">
        <v>2.2087710763003088E-2</v>
      </c>
      <c r="I37" s="35">
        <v>1.2575765357510258</v>
      </c>
      <c r="J37" s="35"/>
      <c r="K37" s="33">
        <v>2.3E-2</v>
      </c>
      <c r="L37" s="41">
        <v>1.26</v>
      </c>
      <c r="M37" s="14">
        <f t="shared" si="0"/>
        <v>1.3160868635160474</v>
      </c>
    </row>
    <row r="38" spans="1:13">
      <c r="A38" s="19"/>
      <c r="B38" s="30">
        <v>2030</v>
      </c>
      <c r="C38" s="42">
        <v>2.3651032624602664</v>
      </c>
      <c r="D38" s="32">
        <v>2.3651032624602664E-2</v>
      </c>
      <c r="E38" s="35">
        <v>1.292821998388056</v>
      </c>
      <c r="F38" s="35"/>
      <c r="G38" s="42">
        <v>2.2445872788672938</v>
      </c>
      <c r="H38" s="32">
        <v>2.2445872788672938E-2</v>
      </c>
      <c r="I38" s="35">
        <v>1.2858039386945133</v>
      </c>
      <c r="J38" s="35"/>
      <c r="K38" s="33">
        <v>2.3E-2</v>
      </c>
      <c r="L38" s="41">
        <v>1.29</v>
      </c>
      <c r="M38" s="14">
        <f t="shared" si="0"/>
        <v>1.3463568613769163</v>
      </c>
    </row>
    <row r="39" spans="1:13">
      <c r="A39" s="19"/>
      <c r="B39" s="30">
        <v>2031</v>
      </c>
      <c r="C39" s="44">
        <v>2.3856443549025386</v>
      </c>
      <c r="D39" s="32">
        <v>2.3856443549025386E-2</v>
      </c>
      <c r="E39" s="35">
        <v>1.3236641334115389</v>
      </c>
      <c r="F39" s="35"/>
      <c r="G39" s="44">
        <v>2.2369078931506747</v>
      </c>
      <c r="H39" s="32">
        <v>2.2369078931506747E-2</v>
      </c>
      <c r="I39" s="35">
        <v>1.3145661884896132</v>
      </c>
      <c r="J39" s="35"/>
      <c r="K39" s="33">
        <v>2.3E-2</v>
      </c>
      <c r="L39" s="41">
        <v>1.32</v>
      </c>
      <c r="M39" s="14">
        <f t="shared" si="0"/>
        <v>1.3773230691885854</v>
      </c>
    </row>
    <row r="40" spans="1:13">
      <c r="A40" s="19"/>
      <c r="B40" s="30">
        <v>2032</v>
      </c>
      <c r="C40" s="44">
        <v>2.3639770373458102</v>
      </c>
      <c r="D40" s="32">
        <v>2.3639770373458102E-2</v>
      </c>
      <c r="E40" s="35">
        <v>1.3549552495769701</v>
      </c>
      <c r="F40" s="35"/>
      <c r="G40" s="44">
        <v>2.2344696432410105</v>
      </c>
      <c r="H40" s="32">
        <v>2.2344696432410105E-2</v>
      </c>
      <c r="I40" s="35">
        <v>1.343939770911724</v>
      </c>
      <c r="J40" s="35"/>
      <c r="K40" s="33">
        <v>2.3E-2</v>
      </c>
      <c r="L40" s="41">
        <v>1.35</v>
      </c>
      <c r="M40" s="14">
        <f t="shared" si="0"/>
        <v>1.4090014997799227</v>
      </c>
    </row>
    <row r="41" spans="1:13">
      <c r="A41" s="19"/>
      <c r="B41" s="30">
        <v>2033</v>
      </c>
      <c r="C41" s="44">
        <v>2.2185734339077223</v>
      </c>
      <c r="D41" s="32">
        <v>2.2185734339077223E-2</v>
      </c>
      <c r="E41" s="35">
        <v>1.3850159267854227</v>
      </c>
      <c r="F41" s="35"/>
      <c r="G41" s="44">
        <v>2.2034512751374136</v>
      </c>
      <c r="H41" s="32">
        <v>2.2034512751374136E-2</v>
      </c>
      <c r="I41" s="35">
        <v>1.3735528289309573</v>
      </c>
      <c r="J41" s="35"/>
      <c r="K41" s="33">
        <v>2.1999999999999999E-2</v>
      </c>
      <c r="L41" s="41">
        <v>1.38</v>
      </c>
      <c r="M41" s="14">
        <f t="shared" si="0"/>
        <v>1.439999532775081</v>
      </c>
    </row>
    <row r="42" spans="1:13">
      <c r="A42" s="19"/>
      <c r="B42" s="30">
        <v>2034</v>
      </c>
      <c r="C42" s="44">
        <v>2.1933349245312428</v>
      </c>
      <c r="D42" s="32">
        <v>2.1933349245312428E-2</v>
      </c>
      <c r="E42" s="35">
        <v>1.4153939648179275</v>
      </c>
      <c r="F42" s="35"/>
      <c r="G42" s="44">
        <v>2.2100531657010869</v>
      </c>
      <c r="H42" s="32">
        <v>2.2100531657010869E-2</v>
      </c>
      <c r="I42" s="35">
        <v>1.4039090767093227</v>
      </c>
      <c r="J42" s="35"/>
      <c r="K42" s="33">
        <v>2.1999999999999999E-2</v>
      </c>
      <c r="L42" s="41">
        <v>1.41</v>
      </c>
      <c r="M42" s="14">
        <f t="shared" si="0"/>
        <v>1.4716795224961328</v>
      </c>
    </row>
    <row r="43" spans="1:13">
      <c r="A43" s="19"/>
      <c r="B43" s="30">
        <v>2035</v>
      </c>
      <c r="C43" s="44">
        <v>2.1858088257914243</v>
      </c>
      <c r="D43" s="32">
        <v>2.1858088257914243E-2</v>
      </c>
      <c r="E43" s="35">
        <v>1.4463317710206369</v>
      </c>
      <c r="F43" s="35"/>
      <c r="G43" s="44">
        <v>2.1960312338027865</v>
      </c>
      <c r="H43" s="32">
        <v>2.1960312338027865E-2</v>
      </c>
      <c r="I43" s="35">
        <v>1.4347393585280519</v>
      </c>
      <c r="J43" s="35"/>
      <c r="K43" s="33">
        <v>2.1999999999999999E-2</v>
      </c>
      <c r="L43" s="41">
        <v>1.44</v>
      </c>
      <c r="M43" s="14">
        <f t="shared" si="0"/>
        <v>1.5040564719910476</v>
      </c>
    </row>
    <row r="44" spans="1:13">
      <c r="A44" s="19"/>
      <c r="B44" s="30">
        <v>2036</v>
      </c>
      <c r="C44" s="44">
        <v>2.1907116128205173</v>
      </c>
      <c r="D44" s="32">
        <v>2.1907116128205173E-2</v>
      </c>
      <c r="E44" s="35">
        <v>1.4780167290882986</v>
      </c>
      <c r="F44" s="35"/>
      <c r="G44" s="44">
        <v>2.2249901461311117</v>
      </c>
      <c r="H44" s="32">
        <v>2.2249901461311117E-2</v>
      </c>
      <c r="I44" s="35">
        <v>1.4666621678779659</v>
      </c>
      <c r="J44" s="35"/>
      <c r="K44" s="33">
        <v>2.1999999999999999E-2</v>
      </c>
      <c r="L44" s="41">
        <v>1.47</v>
      </c>
      <c r="M44" s="14">
        <f t="shared" si="0"/>
        <v>1.5371457143748508</v>
      </c>
    </row>
    <row r="45" spans="1:13">
      <c r="A45" s="19"/>
      <c r="B45" s="30">
        <v>2037</v>
      </c>
      <c r="C45" s="44">
        <v>2.1965563778943986</v>
      </c>
      <c r="D45" s="32">
        <v>2.1965563778943986E-2</v>
      </c>
      <c r="E45" s="35">
        <v>1.5104821998174338</v>
      </c>
      <c r="F45" s="35"/>
      <c r="G45" s="44">
        <v>2.2565773259010768</v>
      </c>
      <c r="H45" s="32">
        <v>2.2565773259010768E-2</v>
      </c>
      <c r="I45" s="35">
        <v>1.4997585338058692</v>
      </c>
      <c r="J45" s="35"/>
      <c r="K45" s="33">
        <v>2.1999999999999999E-2</v>
      </c>
      <c r="L45" s="41">
        <v>1.51</v>
      </c>
      <c r="M45" s="14">
        <f t="shared" si="0"/>
        <v>1.5709629200910975</v>
      </c>
    </row>
    <row r="46" spans="1:13">
      <c r="A46" s="19"/>
      <c r="B46" s="30">
        <v>2038</v>
      </c>
      <c r="C46" s="44">
        <v>2.1981495501803172</v>
      </c>
      <c r="D46" s="32">
        <v>2.1981495501803172E-2</v>
      </c>
      <c r="E46" s="35">
        <v>1.5436848574982744</v>
      </c>
      <c r="F46" s="35"/>
      <c r="G46" s="44">
        <v>2.2543381364761306</v>
      </c>
      <c r="H46" s="32">
        <v>2.2543381364761306E-2</v>
      </c>
      <c r="I46" s="35">
        <v>1.5335681623885102</v>
      </c>
      <c r="J46" s="35"/>
      <c r="K46" s="33">
        <v>2.1999999999999999E-2</v>
      </c>
      <c r="L46" s="41">
        <v>1.54</v>
      </c>
      <c r="M46" s="14">
        <f t="shared" si="0"/>
        <v>1.6055241043331017</v>
      </c>
    </row>
    <row r="47" spans="1:13">
      <c r="A47" s="19"/>
      <c r="B47" s="30">
        <v>2039</v>
      </c>
      <c r="C47" s="44">
        <v>2.1834693549059425</v>
      </c>
      <c r="D47" s="32">
        <v>2.1834693549059425E-2</v>
      </c>
      <c r="E47" s="35">
        <v>1.5773907432980727</v>
      </c>
      <c r="F47" s="35"/>
      <c r="G47" s="44">
        <v>2.204085835662517</v>
      </c>
      <c r="H47" s="32">
        <v>2.204085835662517E-2</v>
      </c>
      <c r="I47" s="35">
        <v>1.5673693210359454</v>
      </c>
      <c r="J47" s="35"/>
      <c r="K47" s="33">
        <v>2.1999999999999999E-2</v>
      </c>
      <c r="L47" s="41">
        <v>1.57</v>
      </c>
      <c r="M47" s="14">
        <f t="shared" si="0"/>
        <v>1.6408456346284299</v>
      </c>
    </row>
    <row r="48" spans="1:13">
      <c r="A48" s="19"/>
      <c r="B48" s="30">
        <v>2040</v>
      </c>
      <c r="C48" s="44">
        <v>2.203254638506702</v>
      </c>
      <c r="D48" s="32">
        <v>2.203254638506702E-2</v>
      </c>
      <c r="E48" s="35">
        <v>1.6121446780171629</v>
      </c>
      <c r="F48" s="35"/>
      <c r="G48" s="44">
        <v>2.2059213370878128</v>
      </c>
      <c r="H48" s="32">
        <v>2.2059213370878128E-2</v>
      </c>
      <c r="I48" s="35">
        <v>1.6019442553196457</v>
      </c>
      <c r="J48" s="35"/>
      <c r="K48" s="33">
        <v>2.1999999999999999E-2</v>
      </c>
      <c r="L48" s="41">
        <v>1.61</v>
      </c>
      <c r="M48" s="14">
        <f t="shared" si="0"/>
        <v>1.6769442385902553</v>
      </c>
    </row>
    <row r="49" spans="1:13">
      <c r="A49" s="19"/>
      <c r="B49" s="30">
        <v>2041</v>
      </c>
      <c r="C49" s="44">
        <v>2.203285497926144</v>
      </c>
      <c r="D49" s="32">
        <v>2.203285497926144E-2</v>
      </c>
      <c r="E49" s="35">
        <v>1.6476648279135031</v>
      </c>
      <c r="F49" s="35"/>
      <c r="G49" s="44">
        <v>2.2597266943837901</v>
      </c>
      <c r="H49" s="32">
        <v>2.2597266943837901E-2</v>
      </c>
      <c r="I49" s="35">
        <v>1.6381438172862512</v>
      </c>
      <c r="J49" s="35"/>
      <c r="K49" s="33">
        <v>2.1999999999999999E-2</v>
      </c>
      <c r="L49" s="41">
        <v>1.64</v>
      </c>
      <c r="M49" s="14">
        <f t="shared" si="0"/>
        <v>1.713837011839241</v>
      </c>
    </row>
    <row r="50" spans="1:13">
      <c r="A50" s="19"/>
      <c r="B50" s="30">
        <v>2042</v>
      </c>
      <c r="C50" s="44">
        <v>2.2081016888762628</v>
      </c>
      <c r="D50" s="32">
        <v>2.2081016888762628E-2</v>
      </c>
      <c r="E50" s="35">
        <v>1.6840469428056812</v>
      </c>
      <c r="F50" s="35"/>
      <c r="G50" s="44">
        <v>2.2617372011338288</v>
      </c>
      <c r="H50" s="32">
        <v>2.2617372011338288E-2</v>
      </c>
      <c r="I50" s="35">
        <v>1.6751943254098882</v>
      </c>
      <c r="J50" s="35"/>
      <c r="K50" s="33">
        <v>2.1999999999999999E-2</v>
      </c>
      <c r="L50" s="41">
        <v>1.68</v>
      </c>
      <c r="M50" s="14">
        <f t="shared" si="0"/>
        <v>1.7515414260997042</v>
      </c>
    </row>
    <row r="51" spans="1:13">
      <c r="A51" s="19"/>
      <c r="B51" s="30">
        <v>2043</v>
      </c>
      <c r="C51" s="44">
        <v>2.2072727534676373</v>
      </c>
      <c r="D51" s="32">
        <v>2.2072727534676373E-2</v>
      </c>
      <c r="E51" s="35">
        <v>1.7212184521298357</v>
      </c>
      <c r="F51" s="35"/>
      <c r="G51" s="44">
        <v>2.246162876246216</v>
      </c>
      <c r="H51" s="32">
        <v>2.246162876246216E-2</v>
      </c>
      <c r="I51" s="35">
        <v>1.7128219184522284</v>
      </c>
      <c r="J51" s="35"/>
      <c r="K51" s="33">
        <v>2.1999999999999999E-2</v>
      </c>
      <c r="L51" s="41">
        <v>1.72</v>
      </c>
      <c r="M51" s="14">
        <f t="shared" si="0"/>
        <v>1.7900753374738978</v>
      </c>
    </row>
    <row r="52" spans="1:13">
      <c r="A52" s="19"/>
      <c r="B52" s="30">
        <v>2044</v>
      </c>
      <c r="C52" s="44">
        <v>2.2075687532148836</v>
      </c>
      <c r="D52" s="32">
        <v>2.2075687532148836E-2</v>
      </c>
      <c r="E52" s="35">
        <v>1.7592155328536228</v>
      </c>
      <c r="F52" s="35"/>
      <c r="G52" s="44">
        <v>2.2464447518414143</v>
      </c>
      <c r="H52" s="32">
        <v>2.2464447518414143E-2</v>
      </c>
      <c r="I52" s="35">
        <v>1.7512995165476879</v>
      </c>
      <c r="J52" s="35"/>
      <c r="K52" s="33">
        <v>2.1999999999999999E-2</v>
      </c>
      <c r="L52" s="41">
        <v>1.76</v>
      </c>
      <c r="M52" s="14">
        <f t="shared" si="0"/>
        <v>1.8294569948983235</v>
      </c>
    </row>
    <row r="53" spans="1:13">
      <c r="A53" s="19"/>
      <c r="B53" s="30">
        <v>2045</v>
      </c>
      <c r="C53" s="44">
        <v>2.2147339852737868</v>
      </c>
      <c r="D53" s="32">
        <v>2.2147339852737868E-2</v>
      </c>
      <c r="E53" s="35">
        <v>1.7981774771339474</v>
      </c>
      <c r="F53" s="35"/>
      <c r="G53" s="44">
        <v>2.2633466659558898</v>
      </c>
      <c r="H53" s="32">
        <v>2.2633466659558898E-2</v>
      </c>
      <c r="I53" s="35">
        <v>1.7909374957663715</v>
      </c>
      <c r="J53" s="35"/>
      <c r="K53" s="33">
        <v>2.1999999999999999E-2</v>
      </c>
      <c r="L53" s="41">
        <v>1.79</v>
      </c>
      <c r="M53" s="14">
        <f t="shared" si="0"/>
        <v>1.8697050487860867</v>
      </c>
    </row>
    <row r="54" spans="1:13">
      <c r="A54" s="19"/>
      <c r="B54" s="30">
        <v>2046</v>
      </c>
      <c r="C54" s="44">
        <v>2.223837606787149</v>
      </c>
      <c r="D54" s="32">
        <v>2.223837606787149E-2</v>
      </c>
      <c r="E54" s="35">
        <v>1.8381660241072284</v>
      </c>
      <c r="F54" s="35"/>
      <c r="G54" s="44">
        <v>2.2799629094378382</v>
      </c>
      <c r="H54" s="32">
        <v>2.2799629094378382E-2</v>
      </c>
      <c r="I54" s="35">
        <v>1.8317702064010597</v>
      </c>
      <c r="J54" s="35"/>
      <c r="K54" s="33">
        <v>2.3E-2</v>
      </c>
      <c r="L54" s="41">
        <v>1.83</v>
      </c>
      <c r="M54" s="14">
        <f t="shared" si="0"/>
        <v>1.9127082649081666</v>
      </c>
    </row>
    <row r="55" spans="1:13">
      <c r="A55" s="19"/>
      <c r="B55" s="30">
        <v>2047</v>
      </c>
      <c r="C55" s="44">
        <v>2.2274780869019128</v>
      </c>
      <c r="D55" s="32">
        <v>2.2274780869019128E-2</v>
      </c>
      <c r="E55" s="35">
        <v>1.879110769495093</v>
      </c>
      <c r="F55" s="35"/>
      <c r="G55" s="44">
        <v>2.2808346398867752</v>
      </c>
      <c r="H55" s="32">
        <v>2.2808346398867752E-2</v>
      </c>
      <c r="I55" s="35">
        <v>1.8735498557917805</v>
      </c>
      <c r="J55" s="35"/>
      <c r="K55" s="33">
        <v>2.3E-2</v>
      </c>
      <c r="L55" s="41">
        <v>1.88</v>
      </c>
      <c r="M55" s="14">
        <f t="shared" si="0"/>
        <v>1.9567005550010543</v>
      </c>
    </row>
    <row r="56" spans="1:13">
      <c r="A56" s="19"/>
      <c r="B56" s="30">
        <v>2048</v>
      </c>
      <c r="C56" s="44">
        <v>2.2404804051487481</v>
      </c>
      <c r="D56" s="32">
        <v>2.2404804051487481E-2</v>
      </c>
      <c r="E56" s="35">
        <v>1.9212118780766705</v>
      </c>
      <c r="F56" s="35"/>
      <c r="G56" s="44">
        <v>2.2871958722929575</v>
      </c>
      <c r="H56" s="32">
        <v>2.2871958722929575E-2</v>
      </c>
      <c r="I56" s="35">
        <v>1.9164016107588007</v>
      </c>
      <c r="J56" s="35"/>
      <c r="K56" s="33">
        <v>2.3E-2</v>
      </c>
      <c r="L56" s="41">
        <v>1.92</v>
      </c>
      <c r="M56" s="14">
        <f t="shared" si="0"/>
        <v>2.0017046677660786</v>
      </c>
    </row>
    <row r="57" spans="1:13">
      <c r="A57" s="19"/>
      <c r="B57" s="30">
        <v>2049</v>
      </c>
      <c r="C57" s="44">
        <v>2.2423036001250285</v>
      </c>
      <c r="D57" s="32">
        <v>2.2423036001250285E-2</v>
      </c>
      <c r="E57" s="35">
        <v>1.9642912811848134</v>
      </c>
      <c r="F57" s="35"/>
      <c r="G57" s="44">
        <v>2.2853376143605386</v>
      </c>
      <c r="H57" s="32">
        <v>2.2853376143605386E-2</v>
      </c>
      <c r="I57" s="35">
        <v>1.9601978576116827</v>
      </c>
      <c r="J57" s="35"/>
      <c r="K57" s="33">
        <v>2.3E-2</v>
      </c>
      <c r="L57" s="41">
        <v>1.96</v>
      </c>
      <c r="M57" s="14">
        <f t="shared" si="0"/>
        <v>2.0477438751246981</v>
      </c>
    </row>
    <row r="58" spans="1:13">
      <c r="A58" s="19"/>
      <c r="B58" s="30">
        <v>2050</v>
      </c>
      <c r="C58" s="44">
        <v>2.2648663283542314</v>
      </c>
      <c r="D58" s="32">
        <v>2.2648663283542314E-2</v>
      </c>
      <c r="E58" s="35">
        <v>2.0087798530031664</v>
      </c>
      <c r="F58" s="35"/>
      <c r="G58" s="44">
        <v>2.3029512920340611</v>
      </c>
      <c r="H58" s="32">
        <v>2.3029512920340611E-2</v>
      </c>
      <c r="I58" s="35">
        <v>2.0053402594999752</v>
      </c>
      <c r="J58" s="35"/>
      <c r="K58" s="33">
        <v>2.3E-2</v>
      </c>
      <c r="L58" s="41">
        <v>2.0099999999999998</v>
      </c>
      <c r="M58" s="14">
        <f t="shared" si="0"/>
        <v>2.0948419842525658</v>
      </c>
    </row>
    <row r="59" spans="1:13">
      <c r="A59" s="19"/>
      <c r="B59" s="30">
        <v>2051</v>
      </c>
      <c r="C59" s="39">
        <v>2.2644855349278625</v>
      </c>
      <c r="D59" s="32">
        <v>2.2644855349278625E-2</v>
      </c>
      <c r="E59" s="35">
        <v>2.0542683822029684</v>
      </c>
      <c r="F59" s="35"/>
      <c r="G59" s="39">
        <v>2.2932195277323597</v>
      </c>
      <c r="H59" s="32">
        <v>2.2932195277323597E-2</v>
      </c>
      <c r="I59" s="35">
        <v>2.0513271139283074</v>
      </c>
      <c r="J59" s="35"/>
      <c r="K59" s="33">
        <v>2.3E-2</v>
      </c>
      <c r="L59" s="41">
        <v>2.0499999999999998</v>
      </c>
      <c r="M59" s="14">
        <f t="shared" si="0"/>
        <v>2.1430233498903748</v>
      </c>
    </row>
    <row r="60" spans="1:13">
      <c r="A60" s="19"/>
      <c r="B60" s="30">
        <v>2052</v>
      </c>
      <c r="C60" s="39">
        <v>2.2759898415116719</v>
      </c>
      <c r="D60" s="32">
        <v>2.2759898415116719E-2</v>
      </c>
      <c r="E60" s="35">
        <v>2.101023321899294</v>
      </c>
      <c r="F60" s="35"/>
      <c r="G60" s="39">
        <v>2.285742494012144</v>
      </c>
      <c r="H60" s="32">
        <v>2.285742494012144E-2</v>
      </c>
      <c r="I60" s="35">
        <v>2.0982151694625597</v>
      </c>
      <c r="J60" s="35"/>
      <c r="K60" s="33">
        <v>2.3E-2</v>
      </c>
      <c r="L60" s="41">
        <v>2.1</v>
      </c>
      <c r="M60" s="14">
        <f t="shared" si="0"/>
        <v>2.1923128869378532</v>
      </c>
    </row>
    <row r="61" spans="1:13">
      <c r="A61" s="19"/>
      <c r="B61" s="30">
        <v>2053</v>
      </c>
      <c r="C61" s="39">
        <v>2.2759898415116719</v>
      </c>
      <c r="D61" s="32">
        <v>2.2759898415116719E-2</v>
      </c>
      <c r="E61" s="35">
        <v>2.1488423992735131</v>
      </c>
      <c r="F61" s="35"/>
      <c r="G61" s="39">
        <v>2.285742494012144</v>
      </c>
      <c r="H61" s="32">
        <v>2.285742494012144E-2</v>
      </c>
      <c r="I61" s="35">
        <v>2.1461749652067743</v>
      </c>
      <c r="J61" s="35"/>
      <c r="K61" s="33">
        <v>2.3E-2</v>
      </c>
      <c r="L61" s="41">
        <v>2.15</v>
      </c>
      <c r="M61" s="14">
        <f t="shared" si="0"/>
        <v>2.2427360833374235</v>
      </c>
    </row>
    <row r="62" spans="1:13">
      <c r="A62" s="19"/>
      <c r="B62" s="30">
        <v>2054</v>
      </c>
      <c r="C62" s="39">
        <v>2.2759898415116719</v>
      </c>
      <c r="D62" s="32">
        <v>2.2759898415116719E-2</v>
      </c>
      <c r="E62" s="35">
        <v>2.1977498339910739</v>
      </c>
      <c r="F62" s="35"/>
      <c r="G62" s="39">
        <v>2.285742494012144</v>
      </c>
      <c r="H62" s="32">
        <v>2.285742494012144E-2</v>
      </c>
      <c r="I62" s="35">
        <v>2.1952309983823559</v>
      </c>
      <c r="J62" s="35"/>
      <c r="K62" s="33">
        <v>2.3E-2</v>
      </c>
      <c r="L62" s="41">
        <v>2.2000000000000002</v>
      </c>
      <c r="M62" s="14">
        <f t="shared" si="0"/>
        <v>2.2943190132541842</v>
      </c>
    </row>
    <row r="63" spans="1:13">
      <c r="A63" s="19"/>
      <c r="B63" s="30">
        <v>2055</v>
      </c>
      <c r="C63" s="39">
        <v>2.2759898415116719</v>
      </c>
      <c r="D63" s="32">
        <v>2.2759898415116719E-2</v>
      </c>
      <c r="E63" s="35">
        <v>2.2477703969545506</v>
      </c>
      <c r="F63" s="35"/>
      <c r="G63" s="39">
        <v>2.285742494012144</v>
      </c>
      <c r="H63" s="32">
        <v>2.285742494012144E-2</v>
      </c>
      <c r="I63" s="35">
        <v>2.2454083261541085</v>
      </c>
      <c r="J63" s="35"/>
      <c r="K63" s="33">
        <v>2.3E-2</v>
      </c>
      <c r="L63" s="41">
        <v>2.25</v>
      </c>
      <c r="M63" s="14">
        <f t="shared" si="0"/>
        <v>2.3470883505590301</v>
      </c>
    </row>
    <row r="64" spans="1:13">
      <c r="A64" s="19"/>
      <c r="B64" s="30">
        <v>2056</v>
      </c>
      <c r="C64" s="39">
        <v>2.2759898415116719</v>
      </c>
      <c r="D64" s="32">
        <v>2.2759898415116719E-2</v>
      </c>
      <c r="E64" s="35">
        <v>2.2989294228497426</v>
      </c>
      <c r="F64" s="35"/>
      <c r="G64" s="39">
        <v>2.285742494012144</v>
      </c>
      <c r="H64" s="32">
        <v>2.285742494012144E-2</v>
      </c>
      <c r="I64" s="35">
        <v>2.2967325784290997</v>
      </c>
      <c r="J64" s="35"/>
      <c r="K64" s="33">
        <v>2.3E-2</v>
      </c>
      <c r="L64" s="41">
        <v>2.2999999999999998</v>
      </c>
      <c r="M64" s="14">
        <f t="shared" si="0"/>
        <v>2.4010713826218875</v>
      </c>
    </row>
    <row r="65" spans="1:13">
      <c r="A65" s="19"/>
      <c r="B65" s="30">
        <v>2057</v>
      </c>
      <c r="C65" s="39">
        <v>2.2759898415116719</v>
      </c>
      <c r="D65" s="32">
        <v>2.2759898415116719E-2</v>
      </c>
      <c r="E65" s="35">
        <v>2.3512528229773255</v>
      </c>
      <c r="F65" s="35"/>
      <c r="G65" s="39">
        <v>2.285742494012144</v>
      </c>
      <c r="H65" s="32">
        <v>2.285742494012144E-2</v>
      </c>
      <c r="I65" s="35">
        <v>2.3492299709480746</v>
      </c>
      <c r="J65" s="35"/>
      <c r="K65" s="33">
        <v>2.3E-2</v>
      </c>
      <c r="L65" s="41">
        <v>2.35</v>
      </c>
      <c r="M65" s="14">
        <f t="shared" si="0"/>
        <v>2.4562960244221905</v>
      </c>
    </row>
    <row r="66" spans="1:13">
      <c r="A66" s="19"/>
      <c r="B66" s="30">
        <v>2058</v>
      </c>
      <c r="C66" s="39">
        <v>2.2759898415116719</v>
      </c>
      <c r="D66" s="32">
        <v>2.2759898415116719E-2</v>
      </c>
      <c r="E66" s="35">
        <v>2.4047670983765457</v>
      </c>
      <c r="F66" s="35"/>
      <c r="G66" s="39">
        <v>2.285742494012144</v>
      </c>
      <c r="H66" s="32">
        <v>2.285742494012144E-2</v>
      </c>
      <c r="I66" s="35">
        <v>2.4029273186761038</v>
      </c>
      <c r="J66" s="35"/>
      <c r="K66" s="33">
        <v>2.3E-2</v>
      </c>
      <c r="L66" s="41">
        <v>2.4</v>
      </c>
      <c r="M66" s="14">
        <f t="shared" si="0"/>
        <v>2.5127908329839008</v>
      </c>
    </row>
    <row r="67" spans="1:13">
      <c r="A67" s="19"/>
      <c r="B67" s="30">
        <v>2059</v>
      </c>
      <c r="C67" s="39">
        <v>2.2759898415116719</v>
      </c>
      <c r="D67" s="32">
        <v>2.2759898415116719E-2</v>
      </c>
      <c r="E67" s="35">
        <v>2.4594993532476108</v>
      </c>
      <c r="F67" s="35"/>
      <c r="G67" s="39">
        <v>2.285742494012144</v>
      </c>
      <c r="H67" s="32">
        <v>2.285742494012144E-2</v>
      </c>
      <c r="I67" s="35">
        <v>2.4578520494993099</v>
      </c>
      <c r="J67" s="35"/>
      <c r="K67" s="33">
        <v>2.3E-2</v>
      </c>
      <c r="L67" s="41">
        <v>2.46</v>
      </c>
      <c r="M67" s="14">
        <f t="shared" si="0"/>
        <v>2.5705850221425304</v>
      </c>
    </row>
    <row r="68" spans="1:13">
      <c r="A68" s="19"/>
      <c r="B68" s="30">
        <v>2060</v>
      </c>
      <c r="C68" s="39">
        <v>2.2759898415116719</v>
      </c>
      <c r="D68" s="32">
        <v>2.2759898415116719E-2</v>
      </c>
      <c r="E68" s="35">
        <v>2.5154773086795719</v>
      </c>
      <c r="F68" s="35"/>
      <c r="G68" s="39">
        <v>2.285742494012144</v>
      </c>
      <c r="H68" s="32">
        <v>2.285742494012144E-2</v>
      </c>
      <c r="I68" s="35">
        <v>2.5140322182346639</v>
      </c>
      <c r="J68" s="35"/>
      <c r="K68" s="33">
        <v>2.3E-2</v>
      </c>
      <c r="L68" s="41">
        <v>2.5099999999999998</v>
      </c>
      <c r="M68" s="14">
        <f t="shared" si="0"/>
        <v>2.6297084776518083</v>
      </c>
    </row>
    <row r="69" spans="1:13">
      <c r="A69" s="45"/>
      <c r="B69" s="46">
        <v>2061</v>
      </c>
      <c r="C69" s="47">
        <v>2.2759898415116719</v>
      </c>
      <c r="D69" s="48">
        <v>2.2759898415116719E-2</v>
      </c>
      <c r="E69" s="49">
        <v>2.57272931669065</v>
      </c>
      <c r="F69" s="35"/>
      <c r="G69" s="47">
        <v>2.285742494012144</v>
      </c>
      <c r="H69" s="48">
        <v>2.285742494012144E-2</v>
      </c>
      <c r="I69" s="49">
        <v>2.5714965209600096</v>
      </c>
      <c r="J69" s="35"/>
      <c r="K69" s="50">
        <v>2.3E-2</v>
      </c>
      <c r="L69" s="51">
        <v>2.57</v>
      </c>
      <c r="M69" s="14">
        <f t="shared" si="0"/>
        <v>2.6901917726377995</v>
      </c>
    </row>
    <row r="70" spans="1:13">
      <c r="A70" s="20"/>
      <c r="B70" s="52"/>
      <c r="C70" s="13"/>
      <c r="D70" s="53"/>
      <c r="E70" s="54"/>
      <c r="F70" s="54"/>
      <c r="G70" s="13"/>
      <c r="H70" s="53"/>
      <c r="I70" s="54"/>
      <c r="J70" s="13"/>
      <c r="K70" s="55"/>
      <c r="L70" s="13"/>
    </row>
    <row r="71" spans="1:13">
      <c r="A71" s="20"/>
      <c r="B71" s="56" t="s">
        <v>16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3">
      <c r="A72" s="20"/>
      <c r="B72" s="56" t="s">
        <v>17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F6D76-7C77-4253-BE12-10DDFCE4AD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C49A4B-D966-4F5B-9252-1025F90A8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4817E-68B1-4D96-9F69-2D4C918D3574}"/>
</file>

<file path=customXml/itemProps4.xml><?xml version="1.0" encoding="utf-8"?>
<ds:datastoreItem xmlns:ds="http://schemas.openxmlformats.org/officeDocument/2006/customXml" ds:itemID="{91CA5F17-ADF8-47FA-9EBF-33CC12F015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 8.4 Average CO2 Price</vt:lpstr>
      <vt:lpstr>CO2 WA Cap and Trade</vt:lpstr>
      <vt:lpstr>CO2 Charts</vt:lpstr>
      <vt:lpstr>CO2 Price Forecasts</vt:lpstr>
      <vt:lpstr>Inflation</vt:lpstr>
      <vt:lpstr>'Fig 8.4 Average CO2 Price'!_Ref21796574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Baker, Randy (PacifiCorp)</cp:lastModifiedBy>
  <dcterms:created xsi:type="dcterms:W3CDTF">2020-11-06T18:51:29Z</dcterms:created>
  <dcterms:modified xsi:type="dcterms:W3CDTF">2023-04-14T20:20:00Z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