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4B227E0B-A285-4663-8DE7-7587021DCDCD}" xr6:coauthVersionLast="47" xr6:coauthVersionMax="47" xr10:uidLastSave="{00000000-0000-0000-0000-000000000000}"/>
  <bookViews>
    <workbookView xWindow="-120" yWindow="480" windowWidth="19440" windowHeight="15000" tabRatio="816" xr2:uid="{82922B26-F0A4-4BB8-AD9C-1E7B162F6057}"/>
  </bookViews>
  <sheets>
    <sheet name="Summary" sheetId="24" r:id="rId1"/>
    <sheet name="Rev Req" sheetId="21" r:id="rId2"/>
    <sheet name="Interest Calc" sheetId="22" r:id="rId3"/>
    <sheet name="Variables" sheetId="23" r:id="rId4"/>
    <sheet name="EPIS" sheetId="25" r:id="rId5"/>
    <sheet name="Depr Res" sheetId="44" r:id="rId6"/>
    <sheet name="Depr Exp" sheetId="16" r:id="rId7"/>
    <sheet name="Mine RB" sheetId="28" r:id="rId8"/>
    <sheet name="OMAG" sheetId="27" r:id="rId9"/>
    <sheet name="Labor Esc." sheetId="41" r:id="rId10"/>
    <sheet name="JB OMAG" sheetId="43" r:id="rId11"/>
    <sheet name="Tax" sheetId="33" r:id="rId12"/>
    <sheet name="Def Removal" sheetId="35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__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OM1" hidden="1">{#N/A,#N/A,FALSE,"Summary";#N/A,#N/A,FALSE,"SmPlants";#N/A,#N/A,FALSE,"Utah";#N/A,#N/A,FALSE,"Idaho";#N/A,#N/A,FALSE,"Lewis River";#N/A,#N/A,FALSE,"NrthUmpq";#N/A,#N/A,FALSE,"KlamRog"}</definedName>
    <definedName name="___________________OM1" hidden="1">{#N/A,#N/A,FALSE,"Summary";#N/A,#N/A,FALSE,"SmPlants";#N/A,#N/A,FALSE,"Utah";#N/A,#N/A,FALSE,"Idaho";#N/A,#N/A,FALSE,"Lewis River";#N/A,#N/A,FALSE,"NrthUmpq";#N/A,#N/A,FALSE,"KlamRog"}</definedName>
    <definedName name="_________________OM1" hidden="1">{#N/A,#N/A,FALSE,"Summary";#N/A,#N/A,FALSE,"SmPlants";#N/A,#N/A,FALSE,"Utah";#N/A,#N/A,FALSE,"Idaho";#N/A,#N/A,FALSE,"Lewis River";#N/A,#N/A,FALSE,"NrthUmpq";#N/A,#N/A,FALSE,"KlamRog"}</definedName>
    <definedName name="______________OM1" hidden="1">{#N/A,#N/A,FALSE,"Summary";#N/A,#N/A,FALSE,"SmPlants";#N/A,#N/A,FALSE,"Utah";#N/A,#N/A,FALSE,"Idaho";#N/A,#N/A,FALSE,"Lewis River";#N/A,#N/A,FALSE,"NrthUmpq";#N/A,#N/A,FALSE,"KlamRog"}</definedName>
    <definedName name="_____________j1" hidden="1">{"PRINT",#N/A,TRUE,"APPA";"PRINT",#N/A,TRUE,"APS";"PRINT",#N/A,TRUE,"BHPL";"PRINT",#N/A,TRUE,"BHPL2";"PRINT",#N/A,TRUE,"CDWR";"PRINT",#N/A,TRUE,"EWEB";"PRINT",#N/A,TRUE,"LADWP";"PRINT",#N/A,TRUE,"NEVBASE"}</definedName>
    <definedName name="_____________j2" hidden="1">{"PRINT",#N/A,TRUE,"APPA";"PRINT",#N/A,TRUE,"APS";"PRINT",#N/A,TRUE,"BHPL";"PRINT",#N/A,TRUE,"BHPL2";"PRINT",#N/A,TRUE,"CDWR";"PRINT",#N/A,TRUE,"EWEB";"PRINT",#N/A,TRUE,"LADWP";"PRINT",#N/A,TRUE,"NEVBASE"}</definedName>
    <definedName name="_____________j3" hidden="1">{"PRINT",#N/A,TRUE,"APPA";"PRINT",#N/A,TRUE,"APS";"PRINT",#N/A,TRUE,"BHPL";"PRINT",#N/A,TRUE,"BHPL2";"PRINT",#N/A,TRUE,"CDWR";"PRINT",#N/A,TRUE,"EWEB";"PRINT",#N/A,TRUE,"LADWP";"PRINT",#N/A,TRUE,"NEVBASE"}</definedName>
    <definedName name="_____________j4" hidden="1">{"PRINT",#N/A,TRUE,"APPA";"PRINT",#N/A,TRUE,"APS";"PRINT",#N/A,TRUE,"BHPL";"PRINT",#N/A,TRUE,"BHPL2";"PRINT",#N/A,TRUE,"CDWR";"PRINT",#N/A,TRUE,"EWEB";"PRINT",#N/A,TRUE,"LADWP";"PRINT",#N/A,TRUE,"NEVBASE"}</definedName>
    <definedName name="_____________j5" hidden="1">{"PRINT",#N/A,TRUE,"APPA";"PRINT",#N/A,TRUE,"APS";"PRINT",#N/A,TRUE,"BHPL";"PRINT",#N/A,TRUE,"BHPL2";"PRINT",#N/A,TRUE,"CDWR";"PRINT",#N/A,TRUE,"EWEB";"PRINT",#N/A,TRUE,"LADWP";"PRINT",#N/A,TRUE,"NEVBASE"}</definedName>
    <definedName name="____________j1" hidden="1">{"PRINT",#N/A,TRUE,"APPA";"PRINT",#N/A,TRUE,"APS";"PRINT",#N/A,TRUE,"BHPL";"PRINT",#N/A,TRUE,"BHPL2";"PRINT",#N/A,TRUE,"CDWR";"PRINT",#N/A,TRUE,"EWEB";"PRINT",#N/A,TRUE,"LADWP";"PRINT",#N/A,TRUE,"NEVBASE"}</definedName>
    <definedName name="____________j2" hidden="1">{"PRINT",#N/A,TRUE,"APPA";"PRINT",#N/A,TRUE,"APS";"PRINT",#N/A,TRUE,"BHPL";"PRINT",#N/A,TRUE,"BHPL2";"PRINT",#N/A,TRUE,"CDWR";"PRINT",#N/A,TRUE,"EWEB";"PRINT",#N/A,TRUE,"LADWP";"PRINT",#N/A,TRUE,"NEVBASE"}</definedName>
    <definedName name="____________j3" hidden="1">{"PRINT",#N/A,TRUE,"APPA";"PRINT",#N/A,TRUE,"APS";"PRINT",#N/A,TRUE,"BHPL";"PRINT",#N/A,TRUE,"BHPL2";"PRINT",#N/A,TRUE,"CDWR";"PRINT",#N/A,TRUE,"EWEB";"PRINT",#N/A,TRUE,"LADWP";"PRINT",#N/A,TRUE,"NEVBASE"}</definedName>
    <definedName name="____________j4" hidden="1">{"PRINT",#N/A,TRUE,"APPA";"PRINT",#N/A,TRUE,"APS";"PRINT",#N/A,TRUE,"BHPL";"PRINT",#N/A,TRUE,"BHPL2";"PRINT",#N/A,TRUE,"CDWR";"PRINT",#N/A,TRUE,"EWEB";"PRINT",#N/A,TRUE,"LADWP";"PRINT",#N/A,TRUE,"NEVBASE"}</definedName>
    <definedName name="____________j5" hidden="1">{"PRINT",#N/A,TRUE,"APPA";"PRINT",#N/A,TRUE,"APS";"PRINT",#N/A,TRUE,"BHPL";"PRINT",#N/A,TRUE,"BHPL2";"PRINT",#N/A,TRUE,"CDWR";"PRINT",#N/A,TRUE,"EWEB";"PRINT",#N/A,TRUE,"LADWP";"PRINT",#N/A,TRUE,"NEVBASE"}</definedName>
    <definedName name="____________OM1" hidden="1">{#N/A,#N/A,FALSE,"Summary";#N/A,#N/A,FALSE,"SmPlants";#N/A,#N/A,FALSE,"Utah";#N/A,#N/A,FALSE,"Idaho";#N/A,#N/A,FALSE,"Lewis River";#N/A,#N/A,FALSE,"NrthUmpq";#N/A,#N/A,FALSE,"KlamRog"}</definedName>
    <definedName name="___________OM1" hidden="1">{#N/A,#N/A,FALSE,"Summary";#N/A,#N/A,FALSE,"SmPlants";#N/A,#N/A,FALSE,"Utah";#N/A,#N/A,FALSE,"Idaho";#N/A,#N/A,FALSE,"Lewis River";#N/A,#N/A,FALSE,"NrthUmpq";#N/A,#N/A,FALSE,"KlamRog"}</definedName>
    <definedName name="__________j1" hidden="1">{"PRINT",#N/A,TRUE,"APPA";"PRINT",#N/A,TRUE,"APS";"PRINT",#N/A,TRUE,"BHPL";"PRINT",#N/A,TRUE,"BHPL2";"PRINT",#N/A,TRUE,"CDWR";"PRINT",#N/A,TRUE,"EWEB";"PRINT",#N/A,TRUE,"LADWP";"PRINT",#N/A,TRUE,"NEVBASE"}</definedName>
    <definedName name="__________j2" hidden="1">{"PRINT",#N/A,TRUE,"APPA";"PRINT",#N/A,TRUE,"APS";"PRINT",#N/A,TRUE,"BHPL";"PRINT",#N/A,TRUE,"BHPL2";"PRINT",#N/A,TRUE,"CDWR";"PRINT",#N/A,TRUE,"EWEB";"PRINT",#N/A,TRUE,"LADWP";"PRINT",#N/A,TRUE,"NEVBASE"}</definedName>
    <definedName name="__________j3" hidden="1">{"PRINT",#N/A,TRUE,"APPA";"PRINT",#N/A,TRUE,"APS";"PRINT",#N/A,TRUE,"BHPL";"PRINT",#N/A,TRUE,"BHPL2";"PRINT",#N/A,TRUE,"CDWR";"PRINT",#N/A,TRUE,"EWEB";"PRINT",#N/A,TRUE,"LADWP";"PRINT",#N/A,TRUE,"NEVBASE"}</definedName>
    <definedName name="__________j4" hidden="1">{"PRINT",#N/A,TRUE,"APPA";"PRINT",#N/A,TRUE,"APS";"PRINT",#N/A,TRUE,"BHPL";"PRINT",#N/A,TRUE,"BHPL2";"PRINT",#N/A,TRUE,"CDWR";"PRINT",#N/A,TRUE,"EWEB";"PRINT",#N/A,TRUE,"LADWP";"PRINT",#N/A,TRUE,"NEVBASE"}</definedName>
    <definedName name="__________j5" hidden="1">{"PRINT",#N/A,TRUE,"APPA";"PRINT",#N/A,TRUE,"APS";"PRINT",#N/A,TRUE,"BHPL";"PRINT",#N/A,TRUE,"BHPL2";"PRINT",#N/A,TRUE,"CDWR";"PRINT",#N/A,TRUE,"EWEB";"PRINT",#N/A,TRUE,"LADWP";"PRINT",#N/A,TRUE,"NEVBASE"}</definedName>
    <definedName name="_________j1" hidden="1">{"PRINT",#N/A,TRUE,"APPA";"PRINT",#N/A,TRUE,"APS";"PRINT",#N/A,TRUE,"BHPL";"PRINT",#N/A,TRUE,"BHPL2";"PRINT",#N/A,TRUE,"CDWR";"PRINT",#N/A,TRUE,"EWEB";"PRINT",#N/A,TRUE,"LADWP";"PRINT",#N/A,TRUE,"NEVBASE"}</definedName>
    <definedName name="_________j2" hidden="1">{"PRINT",#N/A,TRUE,"APPA";"PRINT",#N/A,TRUE,"APS";"PRINT",#N/A,TRUE,"BHPL";"PRINT",#N/A,TRUE,"BHPL2";"PRINT",#N/A,TRUE,"CDWR";"PRINT",#N/A,TRUE,"EWEB";"PRINT",#N/A,TRUE,"LADWP";"PRINT",#N/A,TRUE,"NEVBASE"}</definedName>
    <definedName name="_________j3" hidden="1">{"PRINT",#N/A,TRUE,"APPA";"PRINT",#N/A,TRUE,"APS";"PRINT",#N/A,TRUE,"BHPL";"PRINT",#N/A,TRUE,"BHPL2";"PRINT",#N/A,TRUE,"CDWR";"PRINT",#N/A,TRUE,"EWEB";"PRINT",#N/A,TRUE,"LADWP";"PRINT",#N/A,TRUE,"NEVBASE"}</definedName>
    <definedName name="_________j4" hidden="1">{"PRINT",#N/A,TRUE,"APPA";"PRINT",#N/A,TRUE,"APS";"PRINT",#N/A,TRUE,"BHPL";"PRINT",#N/A,TRUE,"BHPL2";"PRINT",#N/A,TRUE,"CDWR";"PRINT",#N/A,TRUE,"EWEB";"PRINT",#N/A,TRUE,"LADWP";"PRINT",#N/A,TRUE,"NEVBASE"}</definedName>
    <definedName name="_________j5" hidden="1">{"PRINT",#N/A,TRUE,"APPA";"PRINT",#N/A,TRUE,"APS";"PRINT",#N/A,TRUE,"BHPL";"PRINT",#N/A,TRUE,"BHPL2";"PRINT",#N/A,TRUE,"CDWR";"PRINT",#N/A,TRUE,"EWEB";"PRINT",#N/A,TRUE,"LADWP";"PRINT",#N/A,TRUE,"NEVBASE"}</definedName>
    <definedName name="_________OM1" hidden="1">{#N/A,#N/A,FALSE,"Summary";#N/A,#N/A,FALSE,"SmPlants";#N/A,#N/A,FALSE,"Utah";#N/A,#N/A,FALSE,"Idaho";#N/A,#N/A,FALSE,"Lewis River";#N/A,#N/A,FALSE,"NrthUmpq";#N/A,#N/A,FALSE,"KlamRog"}</definedName>
    <definedName name="________j1" hidden="1">{"PRINT",#N/A,TRUE,"APPA";"PRINT",#N/A,TRUE,"APS";"PRINT",#N/A,TRUE,"BHPL";"PRINT",#N/A,TRUE,"BHPL2";"PRINT",#N/A,TRUE,"CDWR";"PRINT",#N/A,TRUE,"EWEB";"PRINT",#N/A,TRUE,"LADWP";"PRINT",#N/A,TRUE,"NEVBASE"}</definedName>
    <definedName name="________j2" hidden="1">{"PRINT",#N/A,TRUE,"APPA";"PRINT",#N/A,TRUE,"APS";"PRINT",#N/A,TRUE,"BHPL";"PRINT",#N/A,TRUE,"BHPL2";"PRINT",#N/A,TRUE,"CDWR";"PRINT",#N/A,TRUE,"EWEB";"PRINT",#N/A,TRUE,"LADWP";"PRINT",#N/A,TRUE,"NEVBASE"}</definedName>
    <definedName name="________j3" hidden="1">{"PRINT",#N/A,TRUE,"APPA";"PRINT",#N/A,TRUE,"APS";"PRINT",#N/A,TRUE,"BHPL";"PRINT",#N/A,TRUE,"BHPL2";"PRINT",#N/A,TRUE,"CDWR";"PRINT",#N/A,TRUE,"EWEB";"PRINT",#N/A,TRUE,"LADWP";"PRINT",#N/A,TRUE,"NEVBASE"}</definedName>
    <definedName name="________j4" hidden="1">{"PRINT",#N/A,TRUE,"APPA";"PRINT",#N/A,TRUE,"APS";"PRINT",#N/A,TRUE,"BHPL";"PRINT",#N/A,TRUE,"BHPL2";"PRINT",#N/A,TRUE,"CDWR";"PRINT",#N/A,TRUE,"EWEB";"PRINT",#N/A,TRUE,"LADWP";"PRINT",#N/A,TRUE,"NEVBASE"}</definedName>
    <definedName name="________j5" hidden="1">{"PRINT",#N/A,TRUE,"APPA";"PRINT",#N/A,TRUE,"APS";"PRINT",#N/A,TRUE,"BHPL";"PRINT",#N/A,TRUE,"BHPL2";"PRINT",#N/A,TRUE,"CDWR";"PRINT",#N/A,TRUE,"EWEB";"PRINT",#N/A,TRUE,"LADWP";"PRINT",#N/A,TRUE,"NEVBASE"}</definedName>
    <definedName name="_______j1" hidden="1">{"PRINT",#N/A,TRUE,"APPA";"PRINT",#N/A,TRUE,"APS";"PRINT",#N/A,TRUE,"BHPL";"PRINT",#N/A,TRUE,"BHPL2";"PRINT",#N/A,TRUE,"CDWR";"PRINT",#N/A,TRUE,"EWEB";"PRINT",#N/A,TRUE,"LADWP";"PRINT",#N/A,TRUE,"NEVBASE"}</definedName>
    <definedName name="_______j2" hidden="1">{"PRINT",#N/A,TRUE,"APPA";"PRINT",#N/A,TRUE,"APS";"PRINT",#N/A,TRUE,"BHPL";"PRINT",#N/A,TRUE,"BHPL2";"PRINT",#N/A,TRUE,"CDWR";"PRINT",#N/A,TRUE,"EWEB";"PRINT",#N/A,TRUE,"LADWP";"PRINT",#N/A,TRUE,"NEVBASE"}</definedName>
    <definedName name="_______j3" hidden="1">{"PRINT",#N/A,TRUE,"APPA";"PRINT",#N/A,TRUE,"APS";"PRINT",#N/A,TRUE,"BHPL";"PRINT",#N/A,TRUE,"BHPL2";"PRINT",#N/A,TRUE,"CDWR";"PRINT",#N/A,TRUE,"EWEB";"PRINT",#N/A,TRUE,"LADWP";"PRINT",#N/A,TRUE,"NEVBASE"}</definedName>
    <definedName name="_______j4" hidden="1">{"PRINT",#N/A,TRUE,"APPA";"PRINT",#N/A,TRUE,"APS";"PRINT",#N/A,TRUE,"BHPL";"PRINT",#N/A,TRUE,"BHPL2";"PRINT",#N/A,TRUE,"CDWR";"PRINT",#N/A,TRUE,"EWEB";"PRINT",#N/A,TRUE,"LADWP";"PRINT",#N/A,TRUE,"NEVBASE"}</definedName>
    <definedName name="_______j5" hidden="1">{"PRINT",#N/A,TRUE,"APPA";"PRINT",#N/A,TRUE,"APS";"PRINT",#N/A,TRUE,"BHPL";"PRINT",#N/A,TRUE,"BHPL2";"PRINT",#N/A,TRUE,"CDWR";"PRINT",#N/A,TRUE,"EWEB";"PRINT",#N/A,TRUE,"LADWP";"PRINT",#N/A,TRUE,"NEVBASE"}</definedName>
    <definedName name="_______OM1" hidden="1">{#N/A,#N/A,FALSE,"Summary";#N/A,#N/A,FALSE,"SmPlants";#N/A,#N/A,FALSE,"Utah";#N/A,#N/A,FALSE,"Idaho";#N/A,#N/A,FALSE,"Lewis River";#N/A,#N/A,FALSE,"NrthUmpq";#N/A,#N/A,FALSE,"KlamRog"}</definedName>
    <definedName name="______j1" hidden="1">{"PRINT",#N/A,TRUE,"APPA";"PRINT",#N/A,TRUE,"APS";"PRINT",#N/A,TRUE,"BHPL";"PRINT",#N/A,TRUE,"BHPL2";"PRINT",#N/A,TRUE,"CDWR";"PRINT",#N/A,TRUE,"EWEB";"PRINT",#N/A,TRUE,"LADWP";"PRINT",#N/A,TRUE,"NEVBASE"}</definedName>
    <definedName name="______j2" hidden="1">{"PRINT",#N/A,TRUE,"APPA";"PRINT",#N/A,TRUE,"APS";"PRINT",#N/A,TRUE,"BHPL";"PRINT",#N/A,TRUE,"BHPL2";"PRINT",#N/A,TRUE,"CDWR";"PRINT",#N/A,TRUE,"EWEB";"PRINT",#N/A,TRUE,"LADWP";"PRINT",#N/A,TRUE,"NEVBASE"}</definedName>
    <definedName name="______j3" hidden="1">{"PRINT",#N/A,TRUE,"APPA";"PRINT",#N/A,TRUE,"APS";"PRINT",#N/A,TRUE,"BHPL";"PRINT",#N/A,TRUE,"BHPL2";"PRINT",#N/A,TRUE,"CDWR";"PRINT",#N/A,TRUE,"EWEB";"PRINT",#N/A,TRUE,"LADWP";"PRINT",#N/A,TRUE,"NEVBASE"}</definedName>
    <definedName name="______j4" hidden="1">{"PRINT",#N/A,TRUE,"APPA";"PRINT",#N/A,TRUE,"APS";"PRINT",#N/A,TRUE,"BHPL";"PRINT",#N/A,TRUE,"BHPL2";"PRINT",#N/A,TRUE,"CDWR";"PRINT",#N/A,TRUE,"EWEB";"PRINT",#N/A,TRUE,"LADWP";"PRINT",#N/A,TRUE,"NEVBASE"}</definedName>
    <definedName name="______j5" hidden="1">{"PRINT",#N/A,TRUE,"APPA";"PRINT",#N/A,TRUE,"APS";"PRINT",#N/A,TRUE,"BHPL";"PRINT",#N/A,TRUE,"BHPL2";"PRINT",#N/A,TRUE,"CDWR";"PRINT",#N/A,TRUE,"EWEB";"PRINT",#N/A,TRUE,"LADWP";"PRINT",#N/A,TRUE,"NEVBASE"}</definedName>
    <definedName name="______OM1" hidden="1">{#N/A,#N/A,FALSE,"Summary";#N/A,#N/A,FALSE,"SmPlants";#N/A,#N/A,FALSE,"Utah";#N/A,#N/A,FALSE,"Idaho";#N/A,#N/A,FALSE,"Lewis River";#N/A,#N/A,FALSE,"NrthUmpq";#N/A,#N/A,FALSE,"KlamRog"}</definedName>
    <definedName name="_____j1" hidden="1">{"PRINT",#N/A,TRUE,"APPA";"PRINT",#N/A,TRUE,"APS";"PRINT",#N/A,TRUE,"BHPL";"PRINT",#N/A,TRUE,"BHPL2";"PRINT",#N/A,TRUE,"CDWR";"PRINT",#N/A,TRUE,"EWEB";"PRINT",#N/A,TRUE,"LADWP";"PRINT",#N/A,TRUE,"NEVBASE"}</definedName>
    <definedName name="_____j2" hidden="1">{"PRINT",#N/A,TRUE,"APPA";"PRINT",#N/A,TRUE,"APS";"PRINT",#N/A,TRUE,"BHPL";"PRINT",#N/A,TRUE,"BHPL2";"PRINT",#N/A,TRUE,"CDWR";"PRINT",#N/A,TRUE,"EWEB";"PRINT",#N/A,TRUE,"LADWP";"PRINT",#N/A,TRUE,"NEVBASE"}</definedName>
    <definedName name="_____j3" hidden="1">{"PRINT",#N/A,TRUE,"APPA";"PRINT",#N/A,TRUE,"APS";"PRINT",#N/A,TRUE,"BHPL";"PRINT",#N/A,TRUE,"BHPL2";"PRINT",#N/A,TRUE,"CDWR";"PRINT",#N/A,TRUE,"EWEB";"PRINT",#N/A,TRUE,"LADWP";"PRINT",#N/A,TRUE,"NEVBASE"}</definedName>
    <definedName name="_____j4" hidden="1">{"PRINT",#N/A,TRUE,"APPA";"PRINT",#N/A,TRUE,"APS";"PRINT",#N/A,TRUE,"BHPL";"PRINT",#N/A,TRUE,"BHPL2";"PRINT",#N/A,TRUE,"CDWR";"PRINT",#N/A,TRUE,"EWEB";"PRINT",#N/A,TRUE,"LADWP";"PRINT",#N/A,TRUE,"NEVBASE"}</definedName>
    <definedName name="_____j5" hidden="1">{"PRINT",#N/A,TRUE,"APPA";"PRINT",#N/A,TRUE,"APS";"PRINT",#N/A,TRUE,"BHPL";"PRINT",#N/A,TRUE,"BHPL2";"PRINT",#N/A,TRUE,"CDWR";"PRINT",#N/A,TRUE,"EWEB";"PRINT",#N/A,TRUE,"LADWP";"PRINT",#N/A,TRUE,"NEVBASE"}</definedName>
    <definedName name="_____OM1" hidden="1">{#N/A,#N/A,FALSE,"Summary";#N/A,#N/A,FALSE,"SmPlants";#N/A,#N/A,FALSE,"Utah";#N/A,#N/A,FALSE,"Idaho";#N/A,#N/A,FALSE,"Lewis River";#N/A,#N/A,FALSE,"NrthUmpq";#N/A,#N/A,FALSE,"KlamRog"}</definedName>
    <definedName name="____j1" hidden="1">{"PRINT",#N/A,TRUE,"APPA";"PRINT",#N/A,TRUE,"APS";"PRINT",#N/A,TRUE,"BHPL";"PRINT",#N/A,TRUE,"BHPL2";"PRINT",#N/A,TRUE,"CDWR";"PRINT",#N/A,TRUE,"EWEB";"PRINT",#N/A,TRUE,"LADWP";"PRINT",#N/A,TRUE,"NEVBASE"}</definedName>
    <definedName name="____j2" hidden="1">{"PRINT",#N/A,TRUE,"APPA";"PRINT",#N/A,TRUE,"APS";"PRINT",#N/A,TRUE,"BHPL";"PRINT",#N/A,TRUE,"BHPL2";"PRINT",#N/A,TRUE,"CDWR";"PRINT",#N/A,TRUE,"EWEB";"PRINT",#N/A,TRUE,"LADWP";"PRINT",#N/A,TRUE,"NEVBASE"}</definedName>
    <definedName name="____j3" hidden="1">{"PRINT",#N/A,TRUE,"APPA";"PRINT",#N/A,TRUE,"APS";"PRINT",#N/A,TRUE,"BHPL";"PRINT",#N/A,TRUE,"BHPL2";"PRINT",#N/A,TRUE,"CDWR";"PRINT",#N/A,TRUE,"EWEB";"PRINT",#N/A,TRUE,"LADWP";"PRINT",#N/A,TRUE,"NEVBASE"}</definedName>
    <definedName name="____j4" hidden="1">{"PRINT",#N/A,TRUE,"APPA";"PRINT",#N/A,TRUE,"APS";"PRINT",#N/A,TRUE,"BHPL";"PRINT",#N/A,TRUE,"BHPL2";"PRINT",#N/A,TRUE,"CDWR";"PRINT",#N/A,TRUE,"EWEB";"PRINT",#N/A,TRUE,"LADWP";"PRINT",#N/A,TRUE,"NEVBASE"}</definedName>
    <definedName name="____j5" hidden="1">{"PRINT",#N/A,TRUE,"APPA";"PRINT",#N/A,TRUE,"APS";"PRINT",#N/A,TRUE,"BHPL";"PRINT",#N/A,TRUE,"BHPL2";"PRINT",#N/A,TRUE,"CDWR";"PRINT",#N/A,TRUE,"EWEB";"PRINT",#N/A,TRUE,"LADWP";"PRINT",#N/A,TRUE,"NEVBASE"}</definedName>
    <definedName name="____OM1" hidden="1">{#N/A,#N/A,FALSE,"Summary";#N/A,#N/A,FALSE,"SmPlants";#N/A,#N/A,FALSE,"Utah";#N/A,#N/A,FALSE,"Idaho";#N/A,#N/A,FALSE,"Lewis River";#N/A,#N/A,FALSE,"NrthUmpq";#N/A,#N/A,FALSE,"KlamRog"}</definedName>
    <definedName name="___j1" hidden="1">{"PRINT",#N/A,TRUE,"APPA";"PRINT",#N/A,TRUE,"APS";"PRINT",#N/A,TRUE,"BHPL";"PRINT",#N/A,TRUE,"BHPL2";"PRINT",#N/A,TRUE,"CDWR";"PRINT",#N/A,TRUE,"EWEB";"PRINT",#N/A,TRUE,"LADWP";"PRINT",#N/A,TRUE,"NEVBASE"}</definedName>
    <definedName name="___j2" hidden="1">{"PRINT",#N/A,TRUE,"APPA";"PRINT",#N/A,TRUE,"APS";"PRINT",#N/A,TRUE,"BHPL";"PRINT",#N/A,TRUE,"BHPL2";"PRINT",#N/A,TRUE,"CDWR";"PRINT",#N/A,TRUE,"EWEB";"PRINT",#N/A,TRUE,"LADWP";"PRINT",#N/A,TRUE,"NEVBASE"}</definedName>
    <definedName name="___j3" hidden="1">{"PRINT",#N/A,TRUE,"APPA";"PRINT",#N/A,TRUE,"APS";"PRINT",#N/A,TRUE,"BHPL";"PRINT",#N/A,TRUE,"BHPL2";"PRINT",#N/A,TRUE,"CDWR";"PRINT",#N/A,TRUE,"EWEB";"PRINT",#N/A,TRUE,"LADWP";"PRINT",#N/A,TRUE,"NEVBASE"}</definedName>
    <definedName name="___j4" hidden="1">{"PRINT",#N/A,TRUE,"APPA";"PRINT",#N/A,TRUE,"APS";"PRINT",#N/A,TRUE,"BHPL";"PRINT",#N/A,TRUE,"BHPL2";"PRINT",#N/A,TRUE,"CDWR";"PRINT",#N/A,TRUE,"EWEB";"PRINT",#N/A,TRUE,"LADWP";"PRINT",#N/A,TRUE,"NEVBASE"}</definedName>
    <definedName name="___j5" hidden="1">{"PRINT",#N/A,TRUE,"APPA";"PRINT",#N/A,TRUE,"APS";"PRINT",#N/A,TRUE,"BHPL";"PRINT",#N/A,TRUE,"BHPL2";"PRINT",#N/A,TRUE,"CDWR";"PRINT",#N/A,TRUE,"EWEB";"PRINT",#N/A,TRUE,"LADWP";"PRINT",#N/A,TRUE,"NEVBASE"}</definedName>
    <definedName name="___OM1" hidden="1">{#N/A,#N/A,FALSE,"Summary";#N/A,#N/A,FALSE,"SmPlants";#N/A,#N/A,FALSE,"Utah";#N/A,#N/A,FALSE,"Idaho";#N/A,#N/A,FALSE,"Lewis River";#N/A,#N/A,FALSE,"NrthUmpq";#N/A,#N/A,FALSE,"KlamRog"}</definedName>
    <definedName name="__123Graph_A" hidden="1">[1]Inputs!#REF!</definedName>
    <definedName name="__123Graph_AB06" hidden="1">[2]WORKD!#REF!</definedName>
    <definedName name="__123Graph_ACEDREVGR" hidden="1">'[3]Revenue-monthly'!#REF!</definedName>
    <definedName name="__123Graph_B" hidden="1">[1]Inputs!#REF!</definedName>
    <definedName name="__123Graph_BCEDREVGR" hidden="1">'[3]Revenue-monthly'!#REF!</definedName>
    <definedName name="__123Graph_D" hidden="1">[1]Inputs!#REF!</definedName>
    <definedName name="__123Graph_E" hidden="1">[4]Input!$E$22:$E$37</definedName>
    <definedName name="__123Graph_F" hidden="1">[4]Input!$D$22:$D$37</definedName>
    <definedName name="__123Graph_X" hidden="1">'[3]Revenue-monthly'!$A$12:$A$23</definedName>
    <definedName name="__123Graph_XCEDREVGR" hidden="1">'[3]Revenue-monthly'!$A$12:$A$23</definedName>
    <definedName name="__j1" hidden="1">{"PRINT",#N/A,TRUE,"APPA";"PRINT",#N/A,TRUE,"APS";"PRINT",#N/A,TRUE,"BHPL";"PRINT",#N/A,TRUE,"BHPL2";"PRINT",#N/A,TRUE,"CDWR";"PRINT",#N/A,TRUE,"EWEB";"PRINT",#N/A,TRUE,"LADWP";"PRINT",#N/A,TRUE,"NEVBASE"}</definedName>
    <definedName name="__j2" hidden="1">{"PRINT",#N/A,TRUE,"APPA";"PRINT",#N/A,TRUE,"APS";"PRINT",#N/A,TRUE,"BHPL";"PRINT",#N/A,TRUE,"BHPL2";"PRINT",#N/A,TRUE,"CDWR";"PRINT",#N/A,TRUE,"EWEB";"PRINT",#N/A,TRUE,"LADWP";"PRINT",#N/A,TRUE,"NEVBASE"}</definedName>
    <definedName name="__j3" hidden="1">{"PRINT",#N/A,TRUE,"APPA";"PRINT",#N/A,TRUE,"APS";"PRINT",#N/A,TRUE,"BHPL";"PRINT",#N/A,TRUE,"BHPL2";"PRINT",#N/A,TRUE,"CDWR";"PRINT",#N/A,TRUE,"EWEB";"PRINT",#N/A,TRUE,"LADWP";"PRINT",#N/A,TRUE,"NEVBASE"}</definedName>
    <definedName name="__j4" hidden="1">{"PRINT",#N/A,TRUE,"APPA";"PRINT",#N/A,TRUE,"APS";"PRINT",#N/A,TRUE,"BHPL";"PRINT",#N/A,TRUE,"BHPL2";"PRINT",#N/A,TRUE,"CDWR";"PRINT",#N/A,TRUE,"EWEB";"PRINT",#N/A,TRUE,"LADWP";"PRINT",#N/A,TRUE,"NEVBASE"}</definedName>
    <definedName name="__j5" hidden="1">{"PRINT",#N/A,TRUE,"APPA";"PRINT",#N/A,TRUE,"APS";"PRINT",#N/A,TRUE,"BHPL";"PRINT",#N/A,TRUE,"BHPL2";"PRINT",#N/A,TRUE,"CDWR";"PRINT",#N/A,TRUE,"EWEB";"PRINT",#N/A,TRUE,"LADWP";"PRINT",#N/A,TRUE,"NEVBASE"}</definedName>
    <definedName name="__OM1" hidden="1">{#N/A,#N/A,FALSE,"Summary";#N/A,#N/A,FALSE,"SmPlants";#N/A,#N/A,FALSE,"Utah";#N/A,#N/A,FALSE,"Idaho";#N/A,#N/A,FALSE,"Lewis River";#N/A,#N/A,FALSE,"NrthUmpq";#N/A,#N/A,FALSE,"KlamRog"}</definedName>
    <definedName name="_1__123Graph_ACHART_17" hidden="1">'[5]10'!#REF!</definedName>
    <definedName name="_1__123Graph_ACONTRACT_BY_B_U" hidden="1">'[6]QRE Charts'!$D$275:$Q$275</definedName>
    <definedName name="_10__123Graph_BQRE_S_BY_TYPE" hidden="1">'[6]QRE''s'!$D$100:$R$100</definedName>
    <definedName name="_11__123Graph_BSENS_COMPARISON" hidden="1">'[6]QRE Charts'!$E$366:$O$366</definedName>
    <definedName name="_12__123Graph_BSUPPLIES_BY_B_U" hidden="1">'[6]QRE Charts'!$D$250:$Q$250</definedName>
    <definedName name="_13__123Graph_BTAX_CREDIT" hidden="1">'[6]QRE Charts'!$E$332:$E$342</definedName>
    <definedName name="_14__123Graph_BWAGES_BY_B_U" hidden="1">'[6]QRE Charts'!$D$224:$R$224</definedName>
    <definedName name="_15__123Graph_CCONTRACT_BY_B_U" hidden="1">'[6]QRE Charts'!$D$277:$Q$277</definedName>
    <definedName name="_16__123Graph_CQRE_S_BY_CO." hidden="1">'[6]QRE Charts'!$D$303:$R$303</definedName>
    <definedName name="_17__123Graph_CQRE_S_BY_TYPE" hidden="1">'[6]QRE''s'!$D$101:$R$101</definedName>
    <definedName name="_18__123Graph_CSENS_COMPARISON" hidden="1">'[6]QRE Charts'!$E$367:$O$367</definedName>
    <definedName name="_19__123Graph_CSUPPLIES_BY_B_U" hidden="1">'[6]QRE Charts'!$D$251:$Q$251</definedName>
    <definedName name="_2__123Graph_AQRE_S_BY_CO." hidden="1">'[6]QRE Charts'!$D$301:$R$301</definedName>
    <definedName name="_20__123Graph_CWAGES_BY_B_U" hidden="1">'[6]QRE Charts'!$D$225:$R$225</definedName>
    <definedName name="_21__123Graph_DCONTRACT_BY_B_U" hidden="1">'[6]QRE Charts'!$D$278:$Q$278</definedName>
    <definedName name="_22__123Graph_DQRE_S_BY_CO." hidden="1">'[6]QRE Charts'!$D$304:$R$304</definedName>
    <definedName name="_23__123Graph_DSUPPLIES_BY_B_U" hidden="1">'[6]QRE Charts'!$D$252:$Q$252</definedName>
    <definedName name="_24__123Graph_DWAGES_BY_B_U" hidden="1">'[6]QRE Charts'!$D$226:$R$226</definedName>
    <definedName name="_25__123Graph_ECONTRACT_BY_B_U" hidden="1">'[6]QRE Charts'!$D$279:$Q$279</definedName>
    <definedName name="_26__123Graph_EQRE_S_BY_CO." hidden="1">'[6]QRE Charts'!$D$305:$R$305</definedName>
    <definedName name="_27__123Graph_ESUPPLIES_BY_B_U" hidden="1">'[6]QRE Charts'!$D$253:$Q$253</definedName>
    <definedName name="_28__123Graph_EWAGES_BY_B_U" hidden="1">'[6]QRE Charts'!$D$227:$R$227</definedName>
    <definedName name="_29__123Graph_FCONTRACT_BY_B_U" hidden="1">'[6]QRE Charts'!$D$280:$Q$280</definedName>
    <definedName name="_3__123Graph_AQRE_S_BY_TYPE" hidden="1">'[6]QRE''s'!$D$99:$R$99</definedName>
    <definedName name="_30__123Graph_FQRE_S_BY_CO." hidden="1">'[6]QRE Charts'!$D$306:$R$306</definedName>
    <definedName name="_31__123Graph_FSUPPLIES_BY_B_U" hidden="1">'[6]QRE Charts'!$D$254:$Q$254</definedName>
    <definedName name="_32__123Graph_FWAGES_BY_B_U" hidden="1">'[6]QRE Charts'!$D$228:$R$228</definedName>
    <definedName name="_33__123Graph_XCONTRACT_BY_B_U" hidden="1">'[6]QRE Charts'!$D$222:$R$222</definedName>
    <definedName name="_34__123Graph_XQRE_S_BY_CO." hidden="1">'[6]QRE Charts'!$D$222:$R$222</definedName>
    <definedName name="_35__123Graph_XQRE_S_BY_TYPE" hidden="1">'[6]QRE Charts'!$D$222:$R$222</definedName>
    <definedName name="_36__123Graph_XSUPPLIES_BY_B_U" hidden="1">'[6]QRE Charts'!$D$222:$R$222</definedName>
    <definedName name="_37__123Graph_XTAX_CREDIT" hidden="1">'[6]QRE Charts'!$C$332:$C$342</definedName>
    <definedName name="_4__123Graph_ASENS_COMPARISON" hidden="1">'[6]QRE Charts'!$E$365:$O$365</definedName>
    <definedName name="_5__123Graph_ASUPPLIES_BY_B_U" hidden="1">'[6]QRE Charts'!$D$249:$Q$249</definedName>
    <definedName name="_6__123Graph_ATAX_CREDIT" hidden="1">'[6]QRE Charts'!$D$332:$D$342</definedName>
    <definedName name="_7__123Graph_AWAGES_BY_B_U" hidden="1">'[6]QRE Charts'!$D$223:$R$223</definedName>
    <definedName name="_8__123Graph_BCONTRACT_BY_B_U" hidden="1">'[6]QRE Charts'!$D$276:$Q$276</definedName>
    <definedName name="_9__123Graph_BQRE_S_BY_CO." hidden="1">'[6]QRE Charts'!$D$302:$R$302</definedName>
    <definedName name="_Fill" hidden="1">#REF!</definedName>
    <definedName name="_xlnm._FilterDatabase" hidden="1">#REF!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hidden="1">#REF!</definedName>
    <definedName name="_Key2" hidden="1">#REF!</definedName>
    <definedName name="_nofill" hidden="1">[7]A!#REF!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hidden="1">255</definedName>
    <definedName name="_Order2" hidden="1">0</definedName>
    <definedName name="_Regression_Out" hidden="1">#REF!</definedName>
    <definedName name="_Regression_X" hidden="1">#REF!</definedName>
    <definedName name="_Regression_Y" hidden="1">#REF!</definedName>
    <definedName name="_Sort" hidden="1">#REF!</definedName>
    <definedName name="_www1" hidden="1">{#N/A,#N/A,FALSE,"schA"}</definedName>
    <definedName name="_x1" hidden="1">{"PRINT",#N/A,TRUE,"APPA";"PRINT",#N/A,TRUE,"APS";"PRINT",#N/A,TRUE,"BHPL";"PRINT",#N/A,TRUE,"BHPL2";"PRINT",#N/A,TRUE,"CDWR";"PRINT",#N/A,TRUE,"EWEB";"PRINT",#N/A,TRUE,"LADWP";"PRINT",#N/A,TRUE,"NEVBASE"}</definedName>
    <definedName name="_x2" hidden="1">{"PRINT",#N/A,TRUE,"APPA";"PRINT",#N/A,TRUE,"APS";"PRINT",#N/A,TRUE,"BHPL";"PRINT",#N/A,TRUE,"BHPL2";"PRINT",#N/A,TRUE,"CDWR";"PRINT",#N/A,TRUE,"EWEB";"PRINT",#N/A,TRUE,"LADWP";"PRINT",#N/A,TRUE,"NEVBASE"}</definedName>
    <definedName name="_x3" hidden="1">{"PRINT",#N/A,TRUE,"APPA";"PRINT",#N/A,TRUE,"APS";"PRINT",#N/A,TRUE,"BHPL";"PRINT",#N/A,TRUE,"BHPL2";"PRINT",#N/A,TRUE,"CDWR";"PRINT",#N/A,TRUE,"EWEB";"PRINT",#N/A,TRUE,"LADWP";"PRINT",#N/A,TRUE,"NEVBASE"}</definedName>
    <definedName name="_x4" hidden="1">{"PRINT",#N/A,TRUE,"APPA";"PRINT",#N/A,TRUE,"APS";"PRINT",#N/A,TRUE,"BHPL";"PRINT",#N/A,TRUE,"BHPL2";"PRINT",#N/A,TRUE,"CDWR";"PRINT",#N/A,TRUE,"EWEB";"PRINT",#N/A,TRUE,"LADWP";"PRINT",#N/A,TRUE,"NEVBASE"}</definedName>
    <definedName name="_x5" hidden="1">{"PRINT",#N/A,TRUE,"APPA";"PRINT",#N/A,TRUE,"APS";"PRINT",#N/A,TRUE,"BHPL";"PRINT",#N/A,TRUE,"BHPL2";"PRINT",#N/A,TRUE,"CDWR";"PRINT",#N/A,TRUE,"EWEB";"PRINT",#N/A,TRUE,"LADWP";"PRINT",#N/A,TRUE,"NEVBASE"}</definedName>
    <definedName name="a" hidden="1">#REF!</definedName>
    <definedName name="Access_Button1" hidden="1">"Headcount_Workbook_Schedules_List"</definedName>
    <definedName name="AccessDatabase" hidden="1">"P:\HR\SharonPlummer\Headcount Workbook.mdb"</definedName>
    <definedName name="adf" hidden="1">{#N/A,#N/A,FALSE,"Summary";#N/A,#N/A,FALSE,"SmPlants";#N/A,#N/A,FALSE,"Utah";#N/A,#N/A,FALSE,"Idaho";#N/A,#N/A,FALSE,"Lewis River";#N/A,#N/A,FALSE,"NrthUmpq";#N/A,#N/A,FALSE,"KlamRog"}</definedName>
    <definedName name="anscount" hidden="1">1</definedName>
    <definedName name="AS2DocOpenMode" hidden="1">"AS2DocumentEdit"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asdf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b" hidden="1">{#N/A,#N/A,FALSE,"Actual";#N/A,#N/A,FALSE,"Normalized";#N/A,#N/A,FALSE,"Electric Actual";#N/A,#N/A,FALSE,"Electric Normalized"}</definedName>
    <definedName name="Camas" hidden="1">{#N/A,#N/A,FALSE,"Summary";#N/A,#N/A,FALSE,"SmPlants";#N/A,#N/A,FALSE,"Utah";#N/A,#N/A,FALSE,"Idaho";#N/A,#N/A,FALSE,"Lewis River";#N/A,#N/A,FALSE,"NrthUmpq";#N/A,#N/A,FALSE,"KlamRog"}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IQWBGuid" hidden="1">"PRW Allocation Spreadsheet_November - 11312014 Shutdown.xlsx"</definedName>
    <definedName name="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mbined1" hidden="1">{"YTD-Total",#N/A,TRUE,"Provision";"YTD-Utility",#N/A,TRUE,"Prov Utility";"YTD-NonUtility",#N/A,TRUE,"Prov NonUtility"}</definedName>
    <definedName name="combined1stub" hidden="1">{"YTD-Total",#N/A,TRUE,"Provision";"YTD-Utility",#N/A,TRUE,"Prov Utility";"YTD-NonUtility",#N/A,TRUE,"Prov NonUtility"}</definedName>
    <definedName name="copy" hidden="1">#REF!</definedName>
    <definedName name="Cost_Debt">Variables!$D$8</definedName>
    <definedName name="Cost_equity">Variables!$D$10</definedName>
    <definedName name="Cost_pref">Variables!$D$9</definedName>
    <definedName name="d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dana" hidden="1">{#N/A,#N/A,FALSE,"Summary EPS";#N/A,#N/A,FALSE,"1st Qtr Electric";#N/A,#N/A,FALSE,"1st Qtr Australia";#N/A,#N/A,FALSE,"1st Qtr Telecom";#N/A,#N/A,FALSE,"1st QTR Other"}</definedName>
    <definedName name="dana1" hidden="1">{#N/A,#N/A,FALSE,"Summary 1";#N/A,#N/A,FALSE,"Domestic";#N/A,#N/A,FALSE,"Australia";#N/A,#N/A,FALSE,"Other"}</definedName>
    <definedName name="dd" hidden="1">#REF!</definedName>
    <definedName name="dfd" hidden="1">{#N/A,#N/A,FALSE,"CHECKREQ"}</definedName>
    <definedName name="dfdfdfd" hidden="1">{#N/A,#N/A,FALSE,"CHECKREQ"}</definedName>
    <definedName name="dsd" hidden="1">[8]Inputs!#REF!</definedName>
    <definedName name="DUDE" hidden="1">#REF!</definedName>
    <definedName name="e" hidden="1">{#N/A,#N/A,FALSE,"Loans";#N/A,#N/A,FALSE,"Program Costs";#N/A,#N/A,FALSE,"Measures";#N/A,#N/A,FALSE,"Net Lost Rev";#N/A,#N/A,FALSE,"Incentive"}</definedName>
    <definedName name="ene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stub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stub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xtra2" hidden="1">{#N/A,#N/A,FALSE,"Loans";#N/A,#N/A,FALSE,"Program Costs";#N/A,#N/A,FALSE,"Measures";#N/A,#N/A,FALSE,"Net Lost Rev";#N/A,#N/A,FALSE,"Incentive"}</definedName>
    <definedName name="extra3" hidden="1">{#N/A,#N/A,FALSE,"Loans";#N/A,#N/A,FALSE,"Program Costs";#N/A,#N/A,FALSE,"Measures";#N/A,#N/A,FALSE,"Net Lost Rev";#N/A,#N/A,FALSE,"Incentive"}</definedName>
    <definedName name="extra4" hidden="1">{#N/A,#N/A,FALSE,"Loans";#N/A,#N/A,FALSE,"Program Costs";#N/A,#N/A,FALSE,"Measures";#N/A,#N/A,FALSE,"Net Lost Rev";#N/A,#N/A,FALSE,"Incentive"}</definedName>
    <definedName name="extra5" hidden="1">{#N/A,#N/A,FALSE,"Loans";#N/A,#N/A,FALSE,"Program Costs";#N/A,#N/A,FALSE,"Measures";#N/A,#N/A,FALSE,"Net Lost Rev";#N/A,#N/A,FALSE,"Incentive"}</definedName>
    <definedName name="f" hidden="1">{#N/A,#N/A,FALSE,"CHECKREQ"}</definedName>
    <definedName name="fdf" hidden="1">{#N/A,#N/A,FALSE,"CHECKREQ"}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stub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g" hidden="1">{#N/A,#N/A,FALSE,"Summary EPS";#N/A,#N/A,FALSE,"1st Qtr Electric";#N/A,#N/A,FALSE,"1st Qtr Australia";#N/A,#N/A,FALSE,"1st Qtr Telecom";#N/A,#N/A,FALSE,"1st QTR Other"}</definedName>
    <definedName name="gross_up_factor">Variables!$D$34</definedName>
    <definedName name="h" hidden="1">{#N/A,#N/A,FALSE,"Summary 1";#N/A,#N/A,FALSE,"Domestic";#N/A,#N/A,FALSE,"Australia";#N/A,#N/A,FALSE,"Other"}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41088.2720949074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RPUpdate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" hidden="1">#REF!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1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junk5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imcount" hidden="1">1</definedName>
    <definedName name="ListOffset" hidden="1">1</definedName>
    <definedName name="Master" hidden="1">{#N/A,#N/A,FALSE,"Actual";#N/A,#N/A,FALSE,"Normalized";#N/A,#N/A,FALSE,"Electric Actual";#N/A,#N/A,FALSE,"Electric Normalized"}</definedName>
    <definedName name="Masterstub" hidden="1">{#N/A,#N/A,FALSE,"Actual";#N/A,#N/A,FALSE,"Normalized";#N/A,#N/A,FALSE,"Electric Actual";#N/A,#N/A,FALSE,"Electric Normalized"}</definedName>
    <definedName name="Miller" hidden="1">{#N/A,#N/A,FALSE,"Expenditures";#N/A,#N/A,FALSE,"Property Placed In-Service";#N/A,#N/A,FALSE,"CWIP Balances"}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n" hidden="1">[7]A!#REF!</definedName>
    <definedName name="new" hidden="1">{#N/A,#N/A,TRUE,"Section6";#N/A,#N/A,TRUE,"OHcycles";#N/A,#N/A,TRUE,"OHtiming";#N/A,#N/A,TRUE,"OHcosts";#N/A,#N/A,TRUE,"GTdegradation";#N/A,#N/A,TRUE,"GTperformance";#N/A,#N/A,TRUE,"GraphEquip"}</definedName>
    <definedName name="new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ption3" hidden="1">{#N/A,#N/A,FALSE,"Wld 2";#N/A,#N/A,FALSE,"MAFunding 2";#N/A,#N/A,FALSE,"MEC 2"}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Overall_ROR">Variables!$E$11</definedName>
    <definedName name="Percent_common">Variables!$C$10</definedName>
    <definedName name="Percent_debt">Variables!$C$8</definedName>
    <definedName name="Percent_pref">Variables!$C$9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stub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ricingInfo" hidden="1">[9]Inputs!#REF!</definedName>
    <definedName name="_xlnm.Print_Area" localSheetId="6">'Depr Exp'!$A$1:$F$33</definedName>
    <definedName name="_xlnm.Print_Area" localSheetId="5">'Depr Res'!$A$1:$F$34</definedName>
    <definedName name="_xlnm.Print_Area" localSheetId="10">'JB OMAG'!$A$1:$G$59</definedName>
    <definedName name="_xlnm.Print_Area" localSheetId="1">'Rev Req'!$A$7:$G$87</definedName>
    <definedName name="_xlnm.Print_Area" localSheetId="0">Summary!$A$1:$F$23</definedName>
    <definedName name="_xlnm.Print_Titles" localSheetId="10">'JB OMAG'!$1:$6</definedName>
    <definedName name="_xlnm.Print_Titles" localSheetId="1">'Rev Req'!$A:$A</definedName>
    <definedName name="q" hidden="1">#REF!</definedName>
    <definedName name="qqq" hidden="1">{#N/A,#N/A,FALSE,"schA"}</definedName>
    <definedName name="retail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etail_CC1stub" hidden="1">{#N/A,#N/A,FALSE,"Loans";#N/A,#N/A,FALSE,"Program Costs";#N/A,#N/A,FALSE,"Measures";#N/A,#N/A,FALSE,"Net Lost Rev";#N/A,#N/A,FALSE,"Incentive"}</definedName>
    <definedName name="retail_CCstub" hidden="1">{#N/A,#N/A,FALSE,"Loans";#N/A,#N/A,FALSE,"Program Costs";#N/A,#N/A,FALSE,"Measures";#N/A,#N/A,FALSE,"Net Lost Rev";#N/A,#N/A,FALSE,"Incentive"}</definedName>
    <definedName name="retailstub" hidden="1">{#N/A,#N/A,FALSE,"Loans";#N/A,#N/A,FALSE,"Program Costs";#N/A,#N/A,FALSE,"Measures";#N/A,#N/A,FALSE,"Net Lost Rev";#N/A,#N/A,FALSE,"Incentive"}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SAPBEXrevision" hidden="1">1</definedName>
    <definedName name="SAPBEXsysID" hidden="1">"BWP"</definedName>
    <definedName name="SAPBEXwbID" hidden="1">"45EQYSCWE9WJMGB34OOD1BOQZ"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pecMaint" hidden="1">{#N/A,#N/A,FALSE,"Summary";#N/A,#N/A,FALSE,"SmPlants";#N/A,#N/A,FALSE,"Utah";#N/A,#N/A,FALSE,"Idaho";#N/A,#N/A,FALSE,"Lewis River";#N/A,#N/A,FALSE,"NrthUmpq";#N/A,#N/A,FALSE,"KlamRog"}</definedName>
    <definedName name="spippw" hidden="1">{#N/A,#N/A,FALSE,"Actual";#N/A,#N/A,FALSE,"Normalized";#N/A,#N/A,FALSE,"Electric Actual";#N/A,#N/A,FALSE,"Electric Normalized"}</definedName>
    <definedName name="spippw1" hidden="1">{#N/A,#N/A,FALSE,"Actual";#N/A,#N/A,FALSE,"Normalized";#N/A,#N/A,FALSE,"Electric Actual";#N/A,#N/A,FALSE,"Electric Normalized"}</definedName>
    <definedName name="spippwstub" hidden="1">{#N/A,#N/A,FALSE,"Actual";#N/A,#N/A,FALSE,"Normalized";#N/A,#N/A,FALSE,"Electric Actual";#N/A,#N/A,FALSE,"Electric Normalized"}</definedName>
    <definedName name="ss" hidden="1">{"PRINT",#N/A,TRUE,"APPA";"PRINT",#N/A,TRUE,"APS";"PRINT",#N/A,TRUE,"BHPL";"PRINT",#N/A,TRUE,"BHPL2";"PRINT",#N/A,TRUE,"CDWR";"PRINT",#N/A,TRUE,"EWEB";"PRINT",#N/A,TRUE,"LADWP";"PRINT",#N/A,TRUE,"NEVBASE"}</definedName>
    <definedName name="standard1" hidden="1">{"YTD-Total",#N/A,FALSE,"Provision"}</definedName>
    <definedName name="standard1stub" hidden="1">{"YTD-Total",#N/A,FALSE,"Provision"}</definedName>
    <definedName name="test" hidden="1">#REF!</definedName>
    <definedName name="TP_Footer_User" hidden="1">"Dylan Moser"</definedName>
    <definedName name="TP_Footer_Version" hidden="1">"v4.00"</definedName>
    <definedName name="uncollectible_perc">Variables!$D$20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w" hidden="1">[1]Inputs!#REF!</definedName>
    <definedName name="WA_rev_tax_perc">Variables!$D$22</definedName>
    <definedName name="Weighted_cost_debt">Variables!$E$8</definedName>
    <definedName name="Weighted_cost_equity">Variables!$E$10</definedName>
    <definedName name="Weighted_cost_pref">Variables!$E$9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dj._.Back_Up." hidden="1">{"Page 3.4.1",#N/A,FALSE,"Totals";"Page 3.4.2",#N/A,FALSE,"Totals"}</definedName>
    <definedName name="wrn.Aging._.and._.Trend._.Analysis." hidden="1">{#N/A,#N/A,FALSE,"Aging Summary";#N/A,#N/A,FALSE,"Ratio Analysis";#N/A,#N/A,FALSE,"Test 120 Day Accts";#N/A,#N/A,FALSE,"Tickmarks"}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hidden="1">{#N/A,#N/A,FALSE,"Cover";#N/A,#N/A,FALSE,"Lead Sheet";#N/A,#N/A,FALSE,"T-Accounts";#N/A,#N/A,FALSE,"Ins &amp; Prem ActualEstimates"}</definedName>
    <definedName name="wrn.all._.pages.1" hidden="1">{#N/A,#N/A,FALSE,"Summary 1";#N/A,#N/A,FALSE,"Domestic";#N/A,#N/A,FALSE,"Australia";#N/A,#N/A,FALSE,"Other"}</definedName>
    <definedName name="wrn.All._.pages.stub" hidden="1">{#N/A,#N/A,FALSE,"Summary 1";#N/A,#N/A,FALSE,"Domestic";#N/A,#N/A,FALSE,"Australia";#N/A,#N/A,FALSE,"Other"}</definedName>
    <definedName name="wrn.all.1" hidden="1">{#N/A,#N/A,FALSE,"Summary EPS";#N/A,#N/A,FALSE,"1st Qtr Electric";#N/A,#N/A,FALSE,"1st Qtr Australia";#N/A,#N/A,FALSE,"1st Qtr Telecom";#N/A,#N/A,FALSE,"1st QTR Other"}</definedName>
    <definedName name="wrn.Allocation._.factor." hidden="1">{#N/A,#N/A,TRUE,"11.1";#N/A,#N/A,TRUE,"11.2";#N/A,#N/A,TRUE,"11.3-.4";#N/A,#N/A,TRUE,"11.5-11.6";#N/A,#N/A,TRUE,"11.7-.10";#N/A,#N/A,TRUE,"11.11-11.22";#N/A,#N/A,TRUE,"11.23_ECD"}</definedName>
    <definedName name="wrn.ALLstub" hidden="1">{#N/A,#N/A,FALSE,"Summary EPS";#N/A,#N/A,FALSE,"1st Qtr Electric";#N/A,#N/A,FALSE,"1st Qtr Australia";#N/A,#N/A,FALSE,"1st Qtr Telecom";#N/A,#N/A,FALSE,"1st QTR Other"}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1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stub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HECK." hidden="1">{#N/A,#N/A,FALSE,"CHECKREQ"}</definedName>
    <definedName name="wrn.Combined._.YTD." hidden="1">{"YTD-Total",#N/A,TRUE,"Provision";"YTD-Utility",#N/A,TRUE,"Prov Utility";"YTD-NonUtility",#N/A,TRUE,"Prov NonUtility"}</definedName>
    <definedName name="wrn.Combined._.YTD.stub" hidden="1">{"YTD-Total",#N/A,TRUE,"Provision";"YTD-Utility",#N/A,TRUE,"Prov Utility";"YTD-NonUtility",#N/A,TRUE,"Prov NonUtility"}</definedName>
    <definedName name="wrn.ConsolGrossGrp." hidden="1">{"Conol gross povision grouped",#N/A,FALSE,"Consol Gross";"Consol Gross Grouped",#N/A,FALSE,"Consol Gross"}</definedName>
    <definedName name="wrn.ConsolGrossGrp.stub" hidden="1">{"Conol gross povision grouped",#N/A,FALSE,"Consol Gross";"Consol Gross Grouped",#N/A,FALSE,"Consol Gross"}</definedName>
    <definedName name="wrn.Cover." hidden="1">{#N/A,#N/A,TRUE,"Cover";#N/A,#N/A,TRUE,"Contents"}</definedName>
    <definedName name="wrn.CoverContents." hidden="1">{#N/A,#N/A,FALSE,"Cover";#N/A,#N/A,FALSE,"Contents"}</definedName>
    <definedName name="wrn.ECR." hidden="1">{#N/A,#N/A,FALSE,"schA"}</definedName>
    <definedName name="wrn.El._.Paso._.Offshore.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xec._.Summary." hidden="1">{#N/A,#N/A,FALSE,"Output Ass";#N/A,#N/A,FALSE,"Sum Tot";#N/A,#N/A,FALSE,"Ex Sum Year";#N/A,#N/A,FALSE,"Sum Qtr"}</definedName>
    <definedName name="wrn.Exec._.Summary.1" hidden="1">{#N/A,#N/A,FALSE,"Output Ass";#N/A,#N/A,FALSE,"Sum Tot";#N/A,#N/A,FALSE,"Ex Sum Year";#N/A,#N/A,FALSE,"Sum Qtr"}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report.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1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View." hidden="1">{"FullView",#N/A,FALSE,"Consltd-For contngcy"}</definedName>
    <definedName name="wrn.Full._.View.stub" hidden="1">{"FullView",#N/A,FALSE,"Consltd-For contngcy"}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life.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1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new." hidden="1">{#N/A,#N/A,TRUE,"Filing Back-Up Pages_4.8.4-7";#N/A,#N/A,TRUE,"GI Back-up Page_4.8.8"}</definedName>
    <definedName name="wrn.om." hidden="1">{#N/A,#N/A,TRUE,"Detail Lead Sheet_4.8.1-3";#N/A,#N/A,TRUE,"Filing Back-Up Pages_4.8.4-7";#N/A,#N/A,TRUE,"GI Back-up Page_4.8.8"}</definedName>
    <definedName name="wrn.Open._.Issues._.Only." hidden="1">{"Open issues Only",#N/A,FALSE,"TIMELINE"}</definedName>
    <definedName name="wrn.Open._.Issues._.Only.stub" hidden="1">{"Open issues Only",#N/A,FALSE,"TIMELINE"}</definedName>
    <definedName name="wrn.OR._.Carring._.Charge._.JV.1stub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OR._.Carrying._.Charge._.JV.stub" hidden="1">{#N/A,#N/A,FALSE,"Loans";#N/A,#N/A,FALSE,"Program Costs";#N/A,#N/A,FALSE,"Measures";#N/A,#N/A,FALSE,"Net Lost Rev";#N/A,#N/A,FALSE,"Incentive"}</definedName>
    <definedName name="wrn.Oregon._.Rate._.case." hidden="1">{#N/A,#N/A,TRUE,"10.1_Historical Cover Sheet";#N/A,#N/A,TRUE,"10.2-10.3_Historical";#N/A,#N/A,TRUE,"10.4_Historical";#N/A,#N/A,TRUE,"10.4.1_Historical";#N/A,#N/A,TRUE,"10.7-10.17_Historical"}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stub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rtial.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1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yment._.View." hidden="1">{#N/A,#N/A,FALSE,"Consltd-For contngcy";"PaymentView",#N/A,FALSE,"Consltd-For contngcy"}</definedName>
    <definedName name="wrn.Payments._.View.stub" hidden="1">{#N/A,#N/A,FALSE,"Consltd-For contngcy";"PaymentView",#N/A,FALSE,"Consltd-For contngcy"}</definedName>
    <definedName name="wrn.PFSreconview." hidden="1">{"PFS recon view",#N/A,FALSE,"Hyperion Proof"}</definedName>
    <definedName name="wrn.PFSreconview.stub" hidden="1">{"PFS recon view",#N/A,FALSE,"Hyperion Proof"}</definedName>
    <definedName name="wrn.PGHCreconview." hidden="1">{"PGHC recon view",#N/A,FALSE,"Hyperion Proof"}</definedName>
    <definedName name="wrn.PGHCreconview.stub" hidden="1">{"PGHC recon view",#N/A,FALSE,"Hyperion Proof"}</definedName>
    <definedName name="wrn.PHI._.all._.other._.months." hidden="1">{#N/A,#N/A,FALSE,"PHI MTD";#N/A,#N/A,FALSE,"PHI YTD"}</definedName>
    <definedName name="wrn.PHI._.only." hidden="1">{#N/A,#N/A,FALSE,"PHI"}</definedName>
    <definedName name="wrn.PHI._.Sept._.Dec._.March." hidden="1">{#N/A,#N/A,FALSE,"PHI MTD";#N/A,#N/A,FALSE,"PHI QTD";#N/A,#N/A,FALSE,"PHI YTD"}</definedName>
    <definedName name="wrn.PPMCoCodeView." hidden="1">{"PPM Co Code View",#N/A,FALSE,"Comp Codes"}</definedName>
    <definedName name="wrn.PPMCoCodeView.stub" hidden="1">{"PPM Co Code View",#N/A,FALSE,"Comp Codes"}</definedName>
    <definedName name="wrn.PPMreconview." hidden="1">{"PPM Recon View",#N/A,FALSE,"Hyperion Proof"}</definedName>
    <definedName name="wrn.PPMreconview.stub" hidden="1">{"PPM Recon View",#N/A,FALSE,"Hyperion Proof"}</definedName>
    <definedName name="wrn.Print." hidden="1">{"FC",#N/A,FALSE,"CALENDAR";"P",#N/A,FALSE,"CALENDAR"}</definedName>
    <definedName name="wrn.Print._.Option._.1." hidden="1">{#N/A,#N/A,FALSE,"Wld 1";#N/A,#N/A,FALSE,"MAFunding 1";#N/A,#N/A,FALSE,"MEC 1"}</definedName>
    <definedName name="wrn.Print._.Option._.2." hidden="1">{#N/A,#N/A,FALSE,"Wld 2";#N/A,#N/A,FALSE,"MAFunding 2";#N/A,#N/A,FALSE,"MEC 2"}</definedName>
    <definedName name="wrn.print._.reports.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SOURCE._.DATA." hidden="1">{"DATA_SET",#N/A,FALSE,"HOURLY SPREAD"}</definedName>
    <definedName name="wrn.PrintHistory.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Other." hidden="1">{#N/A,#N/A,FALSE,"Cover";#N/A,#N/A,FALSE,"ProjectSelector";#N/A,#N/A,FALSE,"ProjectTable";#N/A,#N/A,FALSE,"SanGorgonio";#N/A,#N/A,FALSE,"Tehachapi";#N/A,#N/A,FALSE,"Results";#N/A,#N/A,FALSE,"ReplaceForecast"}</definedName>
    <definedName name="wrn.ProofElectricOnly." hidden="1">{"Electric Only",#N/A,FALSE,"Hyperion Proof"}</definedName>
    <definedName name="wrn.ProofElectricOnly.stub" hidden="1">{"Electric Only",#N/A,FALSE,"Hyperion Proof"}</definedName>
    <definedName name="wrn.ProofTotal." hidden="1">{"Proof Total",#N/A,FALSE,"Hyperion Proof"}</definedName>
    <definedName name="wrn.ProofTotal.stub" hidden="1">{"Proof Total",#N/A,FALSE,"Hyperion Proof"}</definedName>
    <definedName name="wrn.Reformat._.only." hidden="1">{#N/A,#N/A,FALSE,"Dec 1999 mapping"}</definedName>
    <definedName name="wrn.Reformat._.only.1" hidden="1">{#N/A,#N/A,FALSE,"Dec 1999 mapping"}</definedName>
    <definedName name="wrn.Reformat._.only.stub" hidden="1">{#N/A,#N/A,FALSE,"Dec 1999 mapping"}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ection1.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Summaries." hidden="1">{#N/A,#N/A,TRUE,"Section1";#N/A,#N/A,TRUE,"SumF";#N/A,#N/A,TRUE,"FigExchange";#N/A,#N/A,TRUE,"Escalation";#N/A,#N/A,TRUE,"GraphEscalate";#N/A,#N/A,TRUE,"Scenarios"}</definedName>
    <definedName name="wrn.Section2.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TotalProjectCost." hidden="1">{#N/A,#N/A,TRUE,"Section2";#N/A,#N/A,TRUE,"TPCestimate";#N/A,#N/A,TRUE,"SumTPC";#N/A,#N/A,TRUE,"ConstrLoan";#N/A,#N/A,TRUE,"FigBalance";#N/A,#N/A,TRUE,"DEV27air";#N/A,#N/A,TRUE,"Graph27air";#N/A,#N/A,TRUE,"PreOp"}</definedName>
    <definedName name="wrn.Section3.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PowerPlantCompany.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4.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Revenue." hidden="1">{#N/A,#N/A,TRUE,"Section4";#N/A,#N/A,TRUE,"PPAtable";#N/A,#N/A,TRUE,"RFPtable";#N/A,#N/A,TRUE,"RevCap";#N/A,#N/A,TRUE,"RevOther";#N/A,#N/A,TRUE,"RevGas";#N/A,#N/A,TRUE,"GraphRev"}</definedName>
    <definedName name="wrn.Section5.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6Equipment." hidden="1">{#N/A,#N/A,TRUE,"Section6";#N/A,#N/A,TRUE,"OHcycles";#N/A,#N/A,TRUE,"OHtiming";#N/A,#N/A,TRUE,"OHcosts";#N/A,#N/A,TRUE,"GTdegradation";#N/A,#N/A,TRUE,"GTperformance";#N/A,#N/A,TRUE,"GraphEquip"}</definedName>
    <definedName name="wrn.Section7DebtService." hidden="1">{#N/A,#N/A,TRUE,"Section7";#N/A,#N/A,TRUE,"DebtService";#N/A,#N/A,TRUE,"LoanSchedules";#N/A,#N/A,TRUE,"GraphDebt"}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ponsorSection.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tandard." hidden="1">{"YTD-Total",#N/A,FALSE,"Provision"}</definedName>
    <definedName name="wrn.Standard._.NonUtility._.Only." hidden="1">{"YTD-NonUtility",#N/A,FALSE,"Prov NonUtility"}</definedName>
    <definedName name="wrn.Standard._.NonUtility._.Only.stub" hidden="1">{"YTD-NonUtility",#N/A,FALSE,"Prov NonUtility"}</definedName>
    <definedName name="wrn.Standard._.Utility._.Only." hidden="1">{"YTD-Utility",#N/A,FALSE,"Prov Utility"}</definedName>
    <definedName name="wrn.Standard._.Utility._.Only.stub" hidden="1">{"YTD-Utility",#N/A,FALSE,"Prov Utility"}</definedName>
    <definedName name="wrn.Standard.stub" hidden="1">{"YTD-Total",#N/A,FALSE,"Provision"}</definedName>
    <definedName name="wrn.Summary." hidden="1">{"Table A",#N/A,FALSE,"Summary";"Table D",#N/A,FALSE,"Summary";"Table E",#N/A,FALSE,"Summary"}</definedName>
    <definedName name="wrn.Summary._.View." hidden="1">{#N/A,#N/A,FALSE,"Consltd-For contngcy"}</definedName>
    <definedName name="wrn.Summary._.View.stub" hidden="1">{#N/A,#N/A,FALSE,"Consltd-For contngcy"}</definedName>
    <definedName name="wrn.Summary.1" hidden="1">{#N/A,#N/A,FALSE,"Sum Qtr";#N/A,#N/A,FALSE,"Oper Sum";#N/A,#N/A,FALSE,"Land Sales";#N/A,#N/A,FALSE,"Finance";#N/A,#N/A,FALSE,"Oper Ass"}</definedName>
    <definedName name="wrn.test." hidden="1">{#N/A,#N/A,TRUE,"10.1_Historical Cover Sheet";#N/A,#N/A,TRUE,"10.2-10.3_Historical"}</definedName>
    <definedName name="wrn.Total._.Summary." hidden="1">{"Total Summary",#N/A,FALSE,"Summary"}</definedName>
    <definedName name="wrn.UK._.Conversion._.Only." hidden="1">{#N/A,#N/A,FALSE,"Dec 1999 UK Continuing Ops"}</definedName>
    <definedName name="wrn.UK._.Conversion._.Only.stub" hidden="1">{#N/A,#N/A,FALSE,"Dec 1999 UK Continuing Ops"}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WUTC_reg_fee_perc">Variables!$D$21</definedName>
    <definedName name="www" hidden="1">{#N/A,#N/A,FALSE,"schA"}</definedName>
    <definedName name="x" hidden="1">#REF!</definedName>
    <definedName name="y" hidden="1">'[8]DSM Output'!$B$21:$B$23</definedName>
    <definedName name="z" hidden="1">'[8]DSM Output'!$G$21:$G$23</definedName>
    <definedName name="Z_01844156_6462_4A28_9785_1A86F4D0C834_.wvu.PrintTitles" hidden="1">#REF!</definedName>
    <definedName name="Z_0812E158_60AF_4748_9D60_BA152A363DB4_.wvu.FilterData" hidden="1">#REF!</definedName>
    <definedName name="Z_1391A18D_EA4F_4636_B998_2633FD3B2094_.wvu.Cols" hidden="1">#REF!</definedName>
    <definedName name="Z_16D5E97F_8C9B_487E_BF16_975792C15482_.wvu.FilterData" hidden="1">#REF!</definedName>
    <definedName name="Z_1ADFA915_E517_44CA_AE12_B3FCA710D98D_.wvu.FilterData" hidden="1">#REF!</definedName>
    <definedName name="Z_4F0AB477_042A_4B6F_AB97_4706B152AB31_.wvu.FilterData" hidden="1">#REF!</definedName>
    <definedName name="Z_581AFC92_5FB7_4950_93A7_F010275D5C1A_.wvu.Rows" hidden="1">#REF!,#REF!,#REF!</definedName>
    <definedName name="Z_598DCEB6_772F_4B9C_903A_2EDBEEB33CF4_.wvu.FilterData" hidden="1">#REF!</definedName>
    <definedName name="Z_5E979AE2_0492_4168_B562_C1FAA5DFFE07_.wvu.FilterData" hidden="1">#REF!</definedName>
    <definedName name="Z_5FB4782B_7B0D_4E01_AC8B_69DBE0A52BEC_.wvu.FilterData" hidden="1">#REF!</definedName>
    <definedName name="Z_8134085D_C2A5_4927_AA1A_7FC7CF5BC66B_.wvu.FilterData" hidden="1">#REF!</definedName>
    <definedName name="Z_8D231058_2525_481C_9D5C_44C05AC41C4A_.wvu.FilterData" hidden="1">#REF!</definedName>
    <definedName name="Z_8DEE9286_69B5_447F_9CA7_1E503CCF77AB_.wvu.Cols" hidden="1">#REF!</definedName>
    <definedName name="Z_8DEE9286_69B5_447F_9CA7_1E503CCF77AB_.wvu.PrintTitles" hidden="1">#REF!</definedName>
    <definedName name="Z_933CED9D_0EC4_445D_8384_0CF8DA995EDF_.wvu.FilterData" hidden="1">#REF!</definedName>
    <definedName name="Z_9CFFCCF6_95A1_11D6_8DB9_00105A0C4F46_.wvu.Cols" hidden="1">#REF!</definedName>
    <definedName name="Z_9CFFCCF6_95A1_11D6_8DB9_00105A0C4F46_.wvu.Rows" hidden="1">#REF!</definedName>
    <definedName name="Z_A521AD5C_6A6C_48B7_95FC_73371C2B1D6C_.wvu.FilterData" hidden="1">#REF!</definedName>
    <definedName name="Z_B5949F76_D4A6_408D_B4D9_E074BEB7FBBC_.wvu.FilterData" hidden="1">#REF!</definedName>
    <definedName name="Z_BF75FF89_03D8_4DB8_AE0E_0E2B86BFB998_.wvu.Rows" hidden="1">'[10]Report Distribution'!#REF!</definedName>
    <definedName name="Z_C9973EFB_CE14_44BB_BC9B_98FD9E1841AA_.wvu.FilterData" hidden="1">#REF!</definedName>
    <definedName name="Z_DE0117F4_0A48_47D9_9D64_C85E2A23A245_.wvu.Rows" hidden="1">#REF!</definedName>
    <definedName name="Z_F3B54C8A_1D3B_492A_9994_77E5201A636C_.wvu.Cols" hidden="1">'[11]PERCO Variance Exp.'!#REF!</definedName>
    <definedName name="Z_F3B54C8A_1D3B_492A_9994_77E5201A636C_.wvu.Rows" hidden="1">'[11]PERCO Variance Exp.'!$A$10:$IV$30,'[11]PERCO Variance Exp.'!$A$40:$IV$52</definedName>
    <definedName name="Z_F6530864_A582_11D6_AAF2_0004755110B4_.wvu.Rows" hidden="1">'[11]CSCS Variance Exp.'!$A$15:$IV$26,'[11]CSCS Variance Exp.'!$A$51:$IV$65,'[11]CSCS Variance Exp.'!$A$75:$IV$76</definedName>
    <definedName name="zz" hidden="1">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23" l="1"/>
  <c r="D23" i="23"/>
  <c r="D22" i="23"/>
  <c r="D21" i="23"/>
  <c r="D20" i="23"/>
  <c r="D10" i="23"/>
  <c r="C10" i="23"/>
  <c r="D9" i="23"/>
  <c r="C9" i="23"/>
  <c r="D8" i="23"/>
  <c r="C8" i="23"/>
  <c r="C15" i="22"/>
  <c r="B2" i="22"/>
  <c r="D8" i="24"/>
  <c r="C8" i="24"/>
  <c r="D9" i="41"/>
  <c r="C9" i="41"/>
  <c r="B9" i="41"/>
  <c r="D8" i="41"/>
  <c r="C8" i="41"/>
  <c r="B8" i="41"/>
  <c r="N40" i="16"/>
  <c r="M40" i="16"/>
  <c r="L40" i="16"/>
  <c r="K40" i="16"/>
  <c r="J40" i="16"/>
  <c r="I40" i="16"/>
  <c r="H40" i="16"/>
  <c r="G40" i="16"/>
  <c r="F40" i="16"/>
  <c r="E40" i="16"/>
  <c r="D40" i="16"/>
  <c r="C40" i="16"/>
  <c r="N39" i="16"/>
  <c r="M39" i="16"/>
  <c r="L39" i="16"/>
  <c r="K39" i="16"/>
  <c r="J39" i="16"/>
  <c r="I39" i="16"/>
  <c r="H39" i="16"/>
  <c r="G39" i="16"/>
  <c r="F39" i="16"/>
  <c r="E39" i="16"/>
  <c r="D39" i="16"/>
  <c r="C39" i="16"/>
  <c r="N38" i="16"/>
  <c r="M38" i="16"/>
  <c r="L38" i="16"/>
  <c r="K38" i="16"/>
  <c r="J38" i="16"/>
  <c r="I38" i="16"/>
  <c r="H38" i="16"/>
  <c r="G38" i="16"/>
  <c r="F38" i="16"/>
  <c r="E38" i="16"/>
  <c r="D38" i="16"/>
  <c r="C38" i="16"/>
  <c r="B13" i="44"/>
  <c r="B12" i="44"/>
  <c r="B10" i="44"/>
  <c r="B9" i="44"/>
  <c r="B14" i="25"/>
  <c r="B13" i="25"/>
  <c r="B11" i="25"/>
  <c r="B10" i="25"/>
  <c r="B9" i="25"/>
  <c r="C11" i="28"/>
  <c r="C10" i="28"/>
  <c r="C9" i="28"/>
  <c r="E9" i="41"/>
  <c r="E8" i="41"/>
  <c r="F19" i="27"/>
  <c r="C19" i="16"/>
  <c r="B16" i="27" l="1"/>
  <c r="B15" i="27"/>
  <c r="N43" i="16" l="1"/>
  <c r="M43" i="16"/>
  <c r="L43" i="16"/>
  <c r="K43" i="16"/>
  <c r="J43" i="16"/>
  <c r="I43" i="16"/>
  <c r="H43" i="16"/>
  <c r="G43" i="16"/>
  <c r="F43" i="16"/>
  <c r="E43" i="16"/>
  <c r="D43" i="16"/>
  <c r="C43" i="16"/>
  <c r="N42" i="16"/>
  <c r="M42" i="16"/>
  <c r="L42" i="16"/>
  <c r="K42" i="16"/>
  <c r="J42" i="16"/>
  <c r="I42" i="16"/>
  <c r="H42" i="16"/>
  <c r="G42" i="16"/>
  <c r="F42" i="16"/>
  <c r="E42" i="16"/>
  <c r="D42" i="16"/>
  <c r="C42" i="16"/>
  <c r="D12" i="44"/>
  <c r="C12" i="44"/>
  <c r="D9" i="44"/>
  <c r="C9" i="44"/>
  <c r="D13" i="25"/>
  <c r="C13" i="25"/>
  <c r="D10" i="25"/>
  <c r="C10" i="25"/>
  <c r="N41" i="16"/>
  <c r="M41" i="16"/>
  <c r="L41" i="16"/>
  <c r="K41" i="16"/>
  <c r="J41" i="16"/>
  <c r="N45" i="16" s="1"/>
  <c r="N48" i="16" s="1"/>
  <c r="I41" i="16"/>
  <c r="H41" i="16"/>
  <c r="G41" i="16"/>
  <c r="F41" i="16"/>
  <c r="E41" i="16"/>
  <c r="D41" i="16"/>
  <c r="C41" i="16"/>
  <c r="D9" i="25"/>
  <c r="C9" i="25"/>
  <c r="G57" i="43"/>
  <c r="G56" i="43"/>
  <c r="G55" i="43"/>
  <c r="G54" i="43"/>
  <c r="G53" i="43"/>
  <c r="G52" i="43"/>
  <c r="G51" i="43"/>
  <c r="G50" i="43"/>
  <c r="G49" i="43"/>
  <c r="G58" i="43" s="1"/>
  <c r="G47" i="43"/>
  <c r="G46" i="43"/>
  <c r="G45" i="43"/>
  <c r="G44" i="43"/>
  <c r="G43" i="43"/>
  <c r="G42" i="43"/>
  <c r="G41" i="43"/>
  <c r="G40" i="43"/>
  <c r="G48" i="43" s="1"/>
  <c r="G38" i="43"/>
  <c r="G37" i="43"/>
  <c r="G36" i="43"/>
  <c r="G35" i="43"/>
  <c r="G34" i="43"/>
  <c r="G33" i="43"/>
  <c r="G32" i="43"/>
  <c r="G31" i="43"/>
  <c r="G39" i="43" s="1"/>
  <c r="G29" i="43"/>
  <c r="G28" i="43"/>
  <c r="G27" i="43"/>
  <c r="G26" i="43"/>
  <c r="G25" i="43"/>
  <c r="G24" i="43"/>
  <c r="G23" i="43"/>
  <c r="G22" i="43"/>
  <c r="G30" i="43" s="1"/>
  <c r="G20" i="43"/>
  <c r="G19" i="43"/>
  <c r="G18" i="43"/>
  <c r="G17" i="43"/>
  <c r="G16" i="43"/>
  <c r="G15" i="43"/>
  <c r="G14" i="43"/>
  <c r="G13" i="43"/>
  <c r="G12" i="43"/>
  <c r="G11" i="43"/>
  <c r="G10" i="43"/>
  <c r="G9" i="43"/>
  <c r="G8" i="43"/>
  <c r="G7" i="43"/>
  <c r="N46" i="16"/>
  <c r="N49" i="16" s="1"/>
  <c r="G21" i="43" l="1"/>
  <c r="G59" i="43" s="1"/>
  <c r="G62" i="43" s="1"/>
  <c r="E9" i="25" l="1"/>
  <c r="B38" i="44" l="1"/>
  <c r="C38" i="44" s="1"/>
  <c r="D38" i="44" s="1"/>
  <c r="E38" i="44" s="1"/>
  <c r="F38" i="44" s="1"/>
  <c r="G38" i="44" s="1"/>
  <c r="H38" i="44" s="1"/>
  <c r="I38" i="44" s="1"/>
  <c r="J38" i="44" s="1"/>
  <c r="K38" i="44" s="1"/>
  <c r="L38" i="44" s="1"/>
  <c r="M38" i="44" s="1"/>
  <c r="N38" i="44" s="1"/>
  <c r="O38" i="44" s="1"/>
  <c r="P38" i="44" s="1"/>
  <c r="Q38" i="44" s="1"/>
  <c r="R38" i="44" s="1"/>
  <c r="S38" i="44" s="1"/>
  <c r="T38" i="44" s="1"/>
  <c r="U38" i="44" s="1"/>
  <c r="V38" i="44" s="1"/>
  <c r="W38" i="44" s="1"/>
  <c r="X38" i="44" s="1"/>
  <c r="Y38" i="44" s="1"/>
  <c r="Z38" i="44" s="1"/>
  <c r="AA38" i="44" s="1"/>
  <c r="AB38" i="44" s="1"/>
  <c r="AC38" i="44" s="1"/>
  <c r="AD38" i="44" s="1"/>
  <c r="AE38" i="44" s="1"/>
  <c r="AF38" i="44" s="1"/>
  <c r="AG38" i="44" s="1"/>
  <c r="AH38" i="44" s="1"/>
  <c r="AI38" i="44" s="1"/>
  <c r="AJ38" i="44" s="1"/>
  <c r="AK38" i="44" s="1"/>
  <c r="AL38" i="44" s="1"/>
  <c r="AM38" i="44" s="1"/>
  <c r="AN38" i="44" s="1"/>
  <c r="AO38" i="44" s="1"/>
  <c r="AP38" i="44" s="1"/>
  <c r="AQ38" i="44" s="1"/>
  <c r="AR38" i="44" s="1"/>
  <c r="C39" i="44" l="1"/>
  <c r="D39" i="44" s="1"/>
  <c r="E39" i="44" s="1"/>
  <c r="F39" i="44" s="1"/>
  <c r="G39" i="44" s="1"/>
  <c r="H39" i="44" s="1"/>
  <c r="I39" i="44" s="1"/>
  <c r="J39" i="44" s="1"/>
  <c r="K39" i="44" s="1"/>
  <c r="L39" i="44" s="1"/>
  <c r="M39" i="44" s="1"/>
  <c r="N39" i="44" s="1"/>
  <c r="O39" i="44" s="1"/>
  <c r="P39" i="44" s="1"/>
  <c r="Q39" i="44" s="1"/>
  <c r="R39" i="44" s="1"/>
  <c r="S39" i="44" s="1"/>
  <c r="T39" i="44" s="1"/>
  <c r="U39" i="44" s="1"/>
  <c r="V39" i="44" s="1"/>
  <c r="W39" i="44" s="1"/>
  <c r="X39" i="44" s="1"/>
  <c r="Y39" i="44" s="1"/>
  <c r="Z39" i="44" s="1"/>
  <c r="AA39" i="44" s="1"/>
  <c r="AB39" i="44" s="1"/>
  <c r="AC39" i="44" s="1"/>
  <c r="AD39" i="44" s="1"/>
  <c r="AE39" i="44" s="1"/>
  <c r="AF39" i="44" s="1"/>
  <c r="AG39" i="44" l="1"/>
  <c r="AH39" i="44" s="1"/>
  <c r="AI39" i="44" s="1"/>
  <c r="AJ39" i="44" s="1"/>
  <c r="AK39" i="44" s="1"/>
  <c r="AL39" i="44" s="1"/>
  <c r="AM39" i="44" s="1"/>
  <c r="AN39" i="44" s="1"/>
  <c r="AO39" i="44" s="1"/>
  <c r="AP39" i="44" s="1"/>
  <c r="AQ39" i="44" s="1"/>
  <c r="AR39" i="44" s="1"/>
  <c r="B14" i="44" s="1"/>
  <c r="B19" i="44" l="1"/>
  <c r="B29" i="44" s="1"/>
  <c r="E29" i="44" s="1"/>
  <c r="B18" i="44"/>
  <c r="D24" i="44" s="1"/>
  <c r="E14" i="44"/>
  <c r="E13" i="44"/>
  <c r="E10" i="44"/>
  <c r="B24" i="44" l="1"/>
  <c r="B28" i="44"/>
  <c r="E28" i="44" s="1"/>
  <c r="C24" i="44"/>
  <c r="E24" i="44" s="1"/>
  <c r="C27" i="44"/>
  <c r="D27" i="44"/>
  <c r="B27" i="44"/>
  <c r="E27" i="44"/>
  <c r="E12" i="44"/>
  <c r="E9" i="44"/>
  <c r="B25" i="44"/>
  <c r="E25" i="44" s="1"/>
  <c r="E15" i="44" l="1"/>
  <c r="E30" i="44"/>
  <c r="C20" i="16" l="1"/>
  <c r="C10" i="16"/>
  <c r="C18" i="16" l="1"/>
  <c r="C9" i="16"/>
  <c r="B22" i="27" l="1"/>
  <c r="B12" i="27" l="1"/>
  <c r="B11" i="27"/>
  <c r="B10" i="27"/>
  <c r="F58" i="43"/>
  <c r="F48" i="43"/>
  <c r="F39" i="43"/>
  <c r="F30" i="43"/>
  <c r="F21" i="43"/>
  <c r="C28" i="41" l="1"/>
  <c r="F59" i="43"/>
  <c r="C27" i="41" s="1"/>
  <c r="E39" i="27" l="1"/>
  <c r="D39" i="27"/>
  <c r="C39" i="27"/>
  <c r="E10" i="41" l="1"/>
  <c r="D10" i="41"/>
  <c r="C10" i="41"/>
  <c r="B10" i="41"/>
  <c r="F9" i="41"/>
  <c r="F8" i="41"/>
  <c r="F10" i="41" l="1"/>
  <c r="E35" i="21" l="1"/>
  <c r="C35" i="21" l="1"/>
  <c r="D35" i="21" l="1"/>
  <c r="C10" i="35"/>
  <c r="E86" i="21"/>
  <c r="E78" i="21"/>
  <c r="C16" i="35" l="1"/>
  <c r="C18" i="35" s="1"/>
  <c r="C20" i="35" s="1"/>
  <c r="G35" i="21" s="1"/>
  <c r="D16" i="35" l="1"/>
  <c r="E59" i="21"/>
  <c r="F12" i="27" l="1"/>
  <c r="D9" i="28"/>
  <c r="E43" i="21" s="1"/>
  <c r="D11" i="28" l="1"/>
  <c r="B34" i="27"/>
  <c r="F34" i="27" s="1"/>
  <c r="B32" i="27"/>
  <c r="F32" i="27" s="1"/>
  <c r="F10" i="27"/>
  <c r="D10" i="28"/>
  <c r="E57" i="21" s="1"/>
  <c r="B13" i="27"/>
  <c r="C29" i="41" s="1"/>
  <c r="B23" i="27"/>
  <c r="C11" i="16"/>
  <c r="B19" i="25"/>
  <c r="B14" i="41" l="1"/>
  <c r="D25" i="25"/>
  <c r="C25" i="25"/>
  <c r="B25" i="25"/>
  <c r="E25" i="25" s="1"/>
  <c r="E15" i="25"/>
  <c r="E18" i="41"/>
  <c r="B19" i="41"/>
  <c r="D19" i="41"/>
  <c r="C19" i="41"/>
  <c r="E19" i="41"/>
  <c r="C18" i="41"/>
  <c r="G63" i="43" s="1"/>
  <c r="B18" i="41"/>
  <c r="D18" i="41"/>
  <c r="F33" i="41"/>
  <c r="B33" i="41"/>
  <c r="E33" i="41"/>
  <c r="E11" i="27" s="1"/>
  <c r="C33" i="41"/>
  <c r="C11" i="27" s="1"/>
  <c r="C33" i="27" s="1"/>
  <c r="D33" i="41"/>
  <c r="D11" i="27" s="1"/>
  <c r="C26" i="25"/>
  <c r="D26" i="25"/>
  <c r="F41" i="27"/>
  <c r="D15" i="21" s="1"/>
  <c r="B33" i="27"/>
  <c r="B35" i="27" s="1"/>
  <c r="G64" i="43" l="1"/>
  <c r="G65" i="43"/>
  <c r="E20" i="41"/>
  <c r="E34" i="41" s="1"/>
  <c r="F19" i="41"/>
  <c r="D20" i="41"/>
  <c r="D34" i="41" s="1"/>
  <c r="F18" i="41"/>
  <c r="B20" i="41"/>
  <c r="B34" i="41" s="1"/>
  <c r="C20" i="41"/>
  <c r="C35" i="27"/>
  <c r="D13" i="27"/>
  <c r="D33" i="27"/>
  <c r="D35" i="27" s="1"/>
  <c r="E13" i="27"/>
  <c r="E33" i="27"/>
  <c r="E35" i="27" s="1"/>
  <c r="C13" i="27"/>
  <c r="F11" i="27"/>
  <c r="F13" i="27" s="1"/>
  <c r="E14" i="33"/>
  <c r="D59" i="21" s="1"/>
  <c r="E19" i="33"/>
  <c r="C59" i="21" s="1"/>
  <c r="B11" i="24" a="1"/>
  <c r="B11" i="24" s="1"/>
  <c r="E29" i="21"/>
  <c r="E16" i="21"/>
  <c r="C7" i="22"/>
  <c r="A12" i="24"/>
  <c r="A13" i="24" s="1"/>
  <c r="A14" i="24" s="1"/>
  <c r="A15" i="24" s="1"/>
  <c r="A16" i="24" s="1"/>
  <c r="A17" i="24" s="1"/>
  <c r="A18" i="24" s="1"/>
  <c r="A19" i="24" s="1"/>
  <c r="A20" i="24" s="1"/>
  <c r="A21" i="24" s="1"/>
  <c r="A22" i="24" s="1"/>
  <c r="A23" i="24" s="1"/>
  <c r="B86" i="21"/>
  <c r="B82" i="21"/>
  <c r="B79" i="21"/>
  <c r="B78" i="21"/>
  <c r="B76" i="21"/>
  <c r="B75" i="21"/>
  <c r="F65" i="21"/>
  <c r="B64" i="21"/>
  <c r="B62" i="21"/>
  <c r="B61" i="21"/>
  <c r="B60" i="21"/>
  <c r="B58" i="21"/>
  <c r="G54" i="21"/>
  <c r="F54" i="21"/>
  <c r="B53" i="21"/>
  <c r="B52" i="21"/>
  <c r="B51" i="21"/>
  <c r="B50" i="21"/>
  <c r="B49" i="21"/>
  <c r="B48" i="21"/>
  <c r="B47" i="21"/>
  <c r="B46" i="21"/>
  <c r="B45" i="21"/>
  <c r="B44" i="21"/>
  <c r="B39" i="21"/>
  <c r="B37" i="21"/>
  <c r="B36" i="21"/>
  <c r="B34" i="21"/>
  <c r="B32" i="21"/>
  <c r="G29" i="21"/>
  <c r="F29" i="21"/>
  <c r="B28" i="21"/>
  <c r="B27" i="21"/>
  <c r="B26" i="21"/>
  <c r="B25" i="21"/>
  <c r="B24" i="21"/>
  <c r="B23" i="21"/>
  <c r="B21" i="21"/>
  <c r="B20" i="21"/>
  <c r="G16" i="21"/>
  <c r="F16" i="21"/>
  <c r="C16" i="21"/>
  <c r="B14" i="21"/>
  <c r="B13" i="21"/>
  <c r="B12" i="21"/>
  <c r="E65" i="21"/>
  <c r="F20" i="41" l="1"/>
  <c r="F34" i="41" s="1"/>
  <c r="E8" i="23"/>
  <c r="C34" i="41"/>
  <c r="F33" i="27"/>
  <c r="F35" i="27" s="1"/>
  <c r="D19" i="21" s="1"/>
  <c r="D29" i="21" s="1"/>
  <c r="E10" i="23"/>
  <c r="E9" i="23"/>
  <c r="E11" i="23" s="1"/>
  <c r="E54" i="21"/>
  <c r="E67" i="21" s="1"/>
  <c r="D26" i="23"/>
  <c r="D30" i="23" s="1"/>
  <c r="D32" i="23" s="1"/>
  <c r="D34" i="23" s="1"/>
  <c r="D11" i="35"/>
  <c r="D18" i="35" s="1"/>
  <c r="D20" i="35" s="1"/>
  <c r="G59" i="21" s="1"/>
  <c r="E13" i="25"/>
  <c r="E14" i="25"/>
  <c r="E10" i="25"/>
  <c r="B26" i="25"/>
  <c r="E26" i="25" s="1"/>
  <c r="E11" i="25"/>
  <c r="B27" i="25"/>
  <c r="E27" i="25" s="1"/>
  <c r="B15" i="24"/>
  <c r="B14" i="24"/>
  <c r="B13" i="24"/>
  <c r="B12" i="24"/>
  <c r="E74" i="21"/>
  <c r="E80" i="21" s="1"/>
  <c r="F74" i="21"/>
  <c r="G74" i="21"/>
  <c r="G80" i="21" s="1"/>
  <c r="G83" i="21" s="1"/>
  <c r="G85" i="21" s="1"/>
  <c r="G87" i="21" s="1"/>
  <c r="G33" i="21" s="1"/>
  <c r="G38" i="21" s="1"/>
  <c r="G40" i="21" s="1"/>
  <c r="F67" i="21"/>
  <c r="B63" i="21"/>
  <c r="B35" i="21"/>
  <c r="B31" i="21"/>
  <c r="B16" i="21"/>
  <c r="B22" i="21"/>
  <c r="E70" i="21" l="1"/>
  <c r="G70" i="21"/>
  <c r="E8" i="24"/>
  <c r="C12" i="22"/>
  <c r="D43" i="21"/>
  <c r="E16" i="25"/>
  <c r="G65" i="21"/>
  <c r="G67" i="21" s="1"/>
  <c r="B59" i="21"/>
  <c r="E83" i="21"/>
  <c r="E85" i="21" s="1"/>
  <c r="E87" i="21" s="1"/>
  <c r="E33" i="21" s="1"/>
  <c r="E38" i="21" s="1"/>
  <c r="E40" i="21" s="1"/>
  <c r="D18" i="16" l="1"/>
  <c r="G71" i="21"/>
  <c r="E71" i="21"/>
  <c r="C12" i="16" l="1"/>
  <c r="D20" i="16" l="1"/>
  <c r="B15" i="21" l="1"/>
  <c r="D19" i="16"/>
  <c r="D21" i="16" s="1"/>
  <c r="D30" i="21" s="1"/>
  <c r="C21" i="16" l="1"/>
  <c r="B38" i="27" l="1"/>
  <c r="F38" i="27" s="1"/>
  <c r="F16" i="27"/>
  <c r="D57" i="21"/>
  <c r="D65" i="21" s="1"/>
  <c r="D54" i="21"/>
  <c r="D67" i="21" l="1"/>
  <c r="D74" i="21"/>
  <c r="D80" i="21" s="1"/>
  <c r="D83" i="21" s="1"/>
  <c r="D85" i="21" s="1"/>
  <c r="D87" i="21" s="1"/>
  <c r="D33" i="21" s="1"/>
  <c r="D38" i="21" s="1"/>
  <c r="D40" i="21" s="1"/>
  <c r="D70" i="21" s="1"/>
  <c r="D71" i="21" l="1"/>
  <c r="F15" i="27" l="1"/>
  <c r="F17" i="27" s="1"/>
  <c r="B17" i="27" l="1"/>
  <c r="D11" i="16" l="1"/>
  <c r="D10" i="16"/>
  <c r="D9" i="16"/>
  <c r="B20" i="25"/>
  <c r="C29" i="25" s="1"/>
  <c r="B24" i="27"/>
  <c r="B37" i="27"/>
  <c r="B39" i="27" s="1"/>
  <c r="F37" i="27" l="1"/>
  <c r="F39" i="27" s="1"/>
  <c r="C19" i="21" s="1"/>
  <c r="D12" i="16"/>
  <c r="C30" i="21" s="1"/>
  <c r="B30" i="21" s="1"/>
  <c r="B29" i="25"/>
  <c r="B30" i="25"/>
  <c r="E30" i="25" s="1"/>
  <c r="D29" i="25"/>
  <c r="E29" i="25" s="1"/>
  <c r="B31" i="25"/>
  <c r="E31" i="25" s="1"/>
  <c r="B19" i="21" l="1"/>
  <c r="C29" i="21"/>
  <c r="C43" i="21"/>
  <c r="E32" i="25"/>
  <c r="C74" i="21" l="1"/>
  <c r="B29" i="21"/>
  <c r="C54" i="21"/>
  <c r="C57" i="21"/>
  <c r="B43" i="21"/>
  <c r="B74" i="21" l="1"/>
  <c r="C80" i="21"/>
  <c r="C83" i="21" s="1"/>
  <c r="C85" i="21" s="1"/>
  <c r="C87" i="21" s="1"/>
  <c r="C65" i="21"/>
  <c r="B65" i="21" s="1"/>
  <c r="B57" i="21"/>
  <c r="C67" i="21"/>
  <c r="D11" i="24" s="1" a="1"/>
  <c r="B54" i="21"/>
  <c r="D12" i="24" l="1"/>
  <c r="D14" i="24"/>
  <c r="D13" i="24"/>
  <c r="D15" i="24"/>
  <c r="C33" i="21"/>
  <c r="D11" i="24"/>
  <c r="D17" i="24" s="1"/>
  <c r="D19" i="24" s="1"/>
  <c r="B67" i="21"/>
  <c r="C11" i="22" s="1"/>
  <c r="C13" i="22" s="1"/>
  <c r="C17" i="22" s="1"/>
  <c r="F77" i="21" s="1"/>
  <c r="B77" i="21" l="1"/>
  <c r="F80" i="21"/>
  <c r="C38" i="21"/>
  <c r="C40" i="21" l="1"/>
  <c r="C70" i="21" s="1"/>
  <c r="F83" i="21"/>
  <c r="B80" i="21"/>
  <c r="F85" i="21" l="1"/>
  <c r="B83" i="21"/>
  <c r="C71" i="21"/>
  <c r="F87" i="21" l="1"/>
  <c r="B85" i="21"/>
  <c r="F33" i="21" l="1"/>
  <c r="B87" i="21"/>
  <c r="F38" i="21" l="1"/>
  <c r="B33" i="21"/>
  <c r="F40" i="21" l="1"/>
  <c r="F70" i="21" s="1"/>
  <c r="B38" i="21"/>
  <c r="C11" i="24" l="1" a="1"/>
  <c r="C12" i="24" s="1"/>
  <c r="E12" i="24" s="1"/>
  <c r="F71" i="21"/>
  <c r="B71" i="21" s="1"/>
  <c r="B40" i="21"/>
  <c r="B70" i="21" s="1"/>
  <c r="C11" i="24" l="1"/>
  <c r="E11" i="24" s="1"/>
  <c r="G11" i="24" s="1"/>
  <c r="C15" i="24"/>
  <c r="E15" i="24" s="1"/>
  <c r="C14" i="24"/>
  <c r="C13" i="24"/>
  <c r="E13" i="24" s="1"/>
  <c r="E14" i="24"/>
  <c r="C17" i="24"/>
  <c r="C19" i="24" s="1"/>
  <c r="E17" i="24" l="1"/>
  <c r="E19" i="24" s="1"/>
  <c r="G17" i="24" l="1"/>
</calcChain>
</file>

<file path=xl/sharedStrings.xml><?xml version="1.0" encoding="utf-8"?>
<sst xmlns="http://schemas.openxmlformats.org/spreadsheetml/2006/main" count="575" uniqueCount="330">
  <si>
    <t>CAGW</t>
  </si>
  <si>
    <t>JBG</t>
  </si>
  <si>
    <t>12 ME Jun-22</t>
  </si>
  <si>
    <t>Dec-25 AMA</t>
  </si>
  <si>
    <t>12 ME Dec-25</t>
  </si>
  <si>
    <t>108MP</t>
  </si>
  <si>
    <t>186M</t>
  </si>
  <si>
    <t>JBE</t>
  </si>
  <si>
    <t>EPIS</t>
  </si>
  <si>
    <t>Misc RB</t>
  </si>
  <si>
    <t>Accum. Reserve</t>
  </si>
  <si>
    <t>Grand Total</t>
  </si>
  <si>
    <t>517004</t>
  </si>
  <si>
    <t>517003</t>
  </si>
  <si>
    <t>517002</t>
  </si>
  <si>
    <t>517001</t>
  </si>
  <si>
    <t>517000</t>
  </si>
  <si>
    <t>Transmission</t>
  </si>
  <si>
    <t>Existing Assets</t>
  </si>
  <si>
    <t>PacifiCorp</t>
  </si>
  <si>
    <t>A</t>
  </si>
  <si>
    <t>B</t>
  </si>
  <si>
    <t>C</t>
  </si>
  <si>
    <t>D</t>
  </si>
  <si>
    <t>Description</t>
  </si>
  <si>
    <t>SO</t>
  </si>
  <si>
    <t>FERC</t>
  </si>
  <si>
    <t>517004 Total</t>
  </si>
  <si>
    <t>517003 Total</t>
  </si>
  <si>
    <t>517002 Total</t>
  </si>
  <si>
    <t>517001 Total</t>
  </si>
  <si>
    <t>517000 Total</t>
  </si>
  <si>
    <t>Colstrip Unit 4</t>
  </si>
  <si>
    <t>Jim Bridger Units 3 &amp; 4</t>
  </si>
  <si>
    <t>JB GSU</t>
  </si>
  <si>
    <t>Colstrip GSU</t>
  </si>
  <si>
    <t>Washington Allocated</t>
  </si>
  <si>
    <t xml:space="preserve">   Operating Revenues:</t>
  </si>
  <si>
    <t>General Business Revenues</t>
  </si>
  <si>
    <t>Interdepartmental</t>
  </si>
  <si>
    <t>Special Sales</t>
  </si>
  <si>
    <t>Other Operating Revenues</t>
  </si>
  <si>
    <t xml:space="preserve">   Total Operating Revenues</t>
  </si>
  <si>
    <t xml:space="preserve">   Operating Expenses:</t>
  </si>
  <si>
    <t>Steam Production</t>
  </si>
  <si>
    <t>Nuclear Production</t>
  </si>
  <si>
    <t>Hydro Production</t>
  </si>
  <si>
    <t>Other Power Supply</t>
  </si>
  <si>
    <t>Distribution</t>
  </si>
  <si>
    <t>Customer Accounting</t>
  </si>
  <si>
    <t>Customer Service &amp; Info</t>
  </si>
  <si>
    <t>Sales</t>
  </si>
  <si>
    <t>Administrative &amp; General</t>
  </si>
  <si>
    <t xml:space="preserve">   Total O&amp;M Expenses</t>
  </si>
  <si>
    <t>Depreciation</t>
  </si>
  <si>
    <t xml:space="preserve">Amortization </t>
  </si>
  <si>
    <t>Taxes Other Than Income</t>
  </si>
  <si>
    <t>Income Taxes - Federal</t>
  </si>
  <si>
    <t>Income Taxes - State</t>
  </si>
  <si>
    <t>Income Taxes - Def Net</t>
  </si>
  <si>
    <t>Investment Tax Credit Adj.</t>
  </si>
  <si>
    <t>Misc Revenue &amp; Expense</t>
  </si>
  <si>
    <t xml:space="preserve">   Total Operating Expenses:</t>
  </si>
  <si>
    <t xml:space="preserve">   Operating Rev For Return:</t>
  </si>
  <si>
    <t xml:space="preserve">   Rate Base:</t>
  </si>
  <si>
    <t>Electric Plant In Service</t>
  </si>
  <si>
    <t>Plant Held for Future Use</t>
  </si>
  <si>
    <t>Misc Deferred Debits</t>
  </si>
  <si>
    <t>Elec Plant Acq Adj</t>
  </si>
  <si>
    <t>Nuclear Fuel</t>
  </si>
  <si>
    <t>Prepayments</t>
  </si>
  <si>
    <t>Fuel Stock</t>
  </si>
  <si>
    <t>Material &amp; Supplies</t>
  </si>
  <si>
    <t>Working Capital</t>
  </si>
  <si>
    <t>Weatherization</t>
  </si>
  <si>
    <t xml:space="preserve">Misc Rate Base </t>
  </si>
  <si>
    <t xml:space="preserve">   Total Electric Plant:</t>
  </si>
  <si>
    <t>Rate Base Deductions:</t>
  </si>
  <si>
    <t>Accum Prov For Deprec</t>
  </si>
  <si>
    <t>Accum Prov For Amort</t>
  </si>
  <si>
    <t>Accum Def Income Tax</t>
  </si>
  <si>
    <t>Unamortized ITC</t>
  </si>
  <si>
    <t>Customer Adv For Const</t>
  </si>
  <si>
    <t>Customer Service Deposits</t>
  </si>
  <si>
    <t>Misc Rate Base Deductions</t>
  </si>
  <si>
    <t xml:space="preserve">     Total Rate Base Deductions</t>
  </si>
  <si>
    <t xml:space="preserve">   Total Rate Base:</t>
  </si>
  <si>
    <t>Estimated Return on Equity Impact</t>
  </si>
  <si>
    <t>Estimated Price Change</t>
  </si>
  <si>
    <t>TAX CALCULATION:</t>
  </si>
  <si>
    <t>Operating Revenue</t>
  </si>
  <si>
    <t>Other Deductions</t>
  </si>
  <si>
    <t>Interest (AFUDC)</t>
  </si>
  <si>
    <t>Interest</t>
  </si>
  <si>
    <t>Schedule "M" Additions</t>
  </si>
  <si>
    <t>Schedule "M" Deductions</t>
  </si>
  <si>
    <t>Income Before Tax</t>
  </si>
  <si>
    <t>State Income Taxes</t>
  </si>
  <si>
    <t>Taxable Income</t>
  </si>
  <si>
    <t>Federal Income Taxes Before Credits</t>
  </si>
  <si>
    <t>Energy &amp; Other Tax Credits</t>
  </si>
  <si>
    <t>Federal Income Taxes</t>
  </si>
  <si>
    <t>Reference</t>
  </si>
  <si>
    <t>2024 (Year 1) Interest Expense</t>
  </si>
  <si>
    <t>2025 (Year 2) Provisional Results</t>
  </si>
  <si>
    <t>Restated Washington Allocated Rate Base</t>
  </si>
  <si>
    <t>Weighted Cost of Debt</t>
  </si>
  <si>
    <t>Restated Interest Expense</t>
  </si>
  <si>
    <t>Washington 2023 General Rate Case</t>
  </si>
  <si>
    <t>Variables</t>
  </si>
  <si>
    <t xml:space="preserve">Capital Structure </t>
  </si>
  <si>
    <t>Embedded Cost</t>
  </si>
  <si>
    <t>Weighted Cost</t>
  </si>
  <si>
    <t>DEBT%</t>
  </si>
  <si>
    <t>PREFERRED %</t>
  </si>
  <si>
    <t>COMMON %</t>
  </si>
  <si>
    <t>Operating Deductions</t>
  </si>
  <si>
    <t>Uncollectable Accounts</t>
  </si>
  <si>
    <t>WUTC Regulatory Fee</t>
  </si>
  <si>
    <t>WUTC Public Utility Tax</t>
  </si>
  <si>
    <t>Taxes Other - Resource Supplier</t>
  </si>
  <si>
    <t>Taxes Other - Gross Receipts</t>
  </si>
  <si>
    <t>Sub-Total</t>
  </si>
  <si>
    <t>State Taxes</t>
  </si>
  <si>
    <t>Federal Income Tax @ 21.00%</t>
  </si>
  <si>
    <t>Net Operating Income</t>
  </si>
  <si>
    <t>Revenue Requirement Adjustment Summary</t>
  </si>
  <si>
    <t>The table below presents the Company's restating and pro forma ratemaking adjustments and their impact on net operating income (NOI), rate base, and the Washington revenue requirement.</t>
  </si>
  <si>
    <t>E</t>
  </si>
  <si>
    <t>NOI</t>
  </si>
  <si>
    <t>Rate Base</t>
  </si>
  <si>
    <t>Rev. Req.</t>
  </si>
  <si>
    <t>Line No.</t>
  </si>
  <si>
    <t>Check</t>
  </si>
  <si>
    <t>Subtotal Normalizing Adjustments</t>
  </si>
  <si>
    <t>Total Adjusted Results</t>
  </si>
  <si>
    <t xml:space="preserve">Notes: </t>
  </si>
  <si>
    <t>Colstrip Unit 4 Removal</t>
  </si>
  <si>
    <t>Jim Bridger Unit 3 &amp; Unit 4 Removal</t>
  </si>
  <si>
    <t>Interest True-Up</t>
  </si>
  <si>
    <t>Remove Deferred State Tax Expense &amp; Balance</t>
  </si>
  <si>
    <t>Rate Year 2 Interest Expense</t>
  </si>
  <si>
    <t>2025 (Year 2) Results</t>
  </si>
  <si>
    <t>Interest True-up Calculation</t>
  </si>
  <si>
    <t>Total 
Adjustments</t>
  </si>
  <si>
    <t>Jim Bridger Mine Removal</t>
  </si>
  <si>
    <t>WA Alloc. EPIS - Dec-25 AMA</t>
  </si>
  <si>
    <t>Notes:</t>
  </si>
  <si>
    <t>Colstrip General</t>
  </si>
  <si>
    <t>JB Steam Units 3 &amp; 4</t>
  </si>
  <si>
    <t>Allocation Factors</t>
  </si>
  <si>
    <t>Jim Bridger Fly Ash Revenues</t>
  </si>
  <si>
    <t>Total Company</t>
  </si>
  <si>
    <t>Washington Alloc.</t>
  </si>
  <si>
    <t>2025 Depr. Exp.</t>
  </si>
  <si>
    <t>Total Co.</t>
  </si>
  <si>
    <t>Colstrip Unit 4:</t>
  </si>
  <si>
    <t>WA Alloc.</t>
  </si>
  <si>
    <t>WASHNGTON</t>
  </si>
  <si>
    <t>ACCOUNT</t>
  </si>
  <si>
    <t>ALLOCATED</t>
  </si>
  <si>
    <t>Adjustment to Tax:</t>
  </si>
  <si>
    <t>Description of Adjustment:</t>
  </si>
  <si>
    <t>December 2024</t>
  </si>
  <si>
    <t>Tax Rates</t>
  </si>
  <si>
    <t>Def Inc Tax Expense</t>
  </si>
  <si>
    <t>ADIT State Balance</t>
  </si>
  <si>
    <t>Total Deferred Income Tax Expense Allocated to Washington</t>
  </si>
  <si>
    <t xml:space="preserve">     before removal of State Tax portion</t>
  </si>
  <si>
    <t>Total Deferred Income Tax Balance Allocated to Washington before removal of State Tax portion</t>
  </si>
  <si>
    <t>Def State Tax Rate in the Combined Deferred Tax Rate</t>
  </si>
  <si>
    <t>Combined Deferred Tax Rate</t>
  </si>
  <si>
    <t>Ratio of Deferred State Tax Rate to Combined Deferred Tax rate</t>
  </si>
  <si>
    <t>Portion of Total Deferred Income Tax Expense related to State</t>
  </si>
  <si>
    <t>Adjustment to remove the State portion of Def Inc Tax Exp &amp; ADIT</t>
  </si>
  <si>
    <t>SCHMAP</t>
  </si>
  <si>
    <t>Schedule M - Addition - Permanent - PMI</t>
  </si>
  <si>
    <t>Other Federal Tax Credits - PMI</t>
  </si>
  <si>
    <t>December 2025</t>
  </si>
  <si>
    <t>Rate Year 2 Washington Allocated Outcome (2025)</t>
  </si>
  <si>
    <t>Indicator</t>
  </si>
  <si>
    <t>Actual
12 Months Ended
June 2022</t>
  </si>
  <si>
    <t>Pro Forma
12 Months Ending
December 2025</t>
  </si>
  <si>
    <t>2025 
Pro Forma
Adjustment</t>
  </si>
  <si>
    <t>2024 
Pro Forma
Adjustment</t>
  </si>
  <si>
    <t>June 2022 Restating Adjustment</t>
  </si>
  <si>
    <t>500JBG</t>
  </si>
  <si>
    <t>512JBG</t>
  </si>
  <si>
    <t>Total JBG</t>
  </si>
  <si>
    <t>Ref 13.2.7</t>
  </si>
  <si>
    <t>Ref 4.3.8</t>
  </si>
  <si>
    <t>Ref 13.2.8</t>
  </si>
  <si>
    <t>Ref 4.3.9</t>
  </si>
  <si>
    <t>June 2022</t>
  </si>
  <si>
    <t>Labor Restating</t>
  </si>
  <si>
    <t>Labor Pro Forma</t>
  </si>
  <si>
    <t>Total Jim Bridger OMAG</t>
  </si>
  <si>
    <t>Jim Bridger Units 3 &amp; 4 OMAG</t>
  </si>
  <si>
    <t>Jim Bridger Units 3 &amp; 4 OMAG %</t>
  </si>
  <si>
    <t>Total Co. - JB 3&amp;4</t>
  </si>
  <si>
    <t>WA alloc. - JB 3&amp;4</t>
  </si>
  <si>
    <t>Washington-allocated</t>
  </si>
  <si>
    <t>Exh. SLC-4</t>
  </si>
  <si>
    <t>Exh. SLC-5</t>
  </si>
  <si>
    <t>Ref 13.2.7, Exh. SLC-5</t>
  </si>
  <si>
    <t>Ref 13.2.8, Exh. SLC-5</t>
  </si>
  <si>
    <t xml:space="preserve">Jim Bridger Units 3 &amp; 4 Historical O&amp;M Ratio </t>
  </si>
  <si>
    <r>
      <t>Existing Assets</t>
    </r>
    <r>
      <rPr>
        <vertAlign val="superscript"/>
        <sz val="10"/>
        <color theme="1"/>
        <rFont val="Arial"/>
        <family val="2"/>
      </rPr>
      <t>1</t>
    </r>
  </si>
  <si>
    <t>Jim Bridger Labor Expense Escalation</t>
  </si>
  <si>
    <r>
      <t>Jim Bridger Units 3 &amp; 4</t>
    </r>
    <r>
      <rPr>
        <u/>
        <vertAlign val="superscript"/>
        <sz val="10"/>
        <color theme="1"/>
        <rFont val="Arial"/>
        <family val="2"/>
      </rPr>
      <t>1</t>
    </r>
  </si>
  <si>
    <t>Summary of Coal-Fired Resources OMAG Expenses</t>
  </si>
  <si>
    <t>Operation Supervision &amp; Engineering</t>
  </si>
  <si>
    <t>Fuel Related</t>
  </si>
  <si>
    <t>Steam Expenses</t>
  </si>
  <si>
    <t>Electric Expenses</t>
  </si>
  <si>
    <t>Misc. Steam Expense</t>
  </si>
  <si>
    <t>Rents</t>
  </si>
  <si>
    <t>Maint Supervision &amp; Engineering</t>
  </si>
  <si>
    <t>Maintenance of Structures</t>
  </si>
  <si>
    <t>Maintenance of Boiler Plant</t>
  </si>
  <si>
    <t>Maintenance of Electric Plant</t>
  </si>
  <si>
    <t>Maintenance of Misc. Steam Plant</t>
  </si>
  <si>
    <t>Other Expenses</t>
  </si>
  <si>
    <t>Outside Services</t>
  </si>
  <si>
    <t>Duplicate Charges</t>
  </si>
  <si>
    <t>FERC Description</t>
  </si>
  <si>
    <t>FERC 
Acct</t>
  </si>
  <si>
    <t>Alloc.</t>
  </si>
  <si>
    <t>Total Co. 
($'000)</t>
  </si>
  <si>
    <t>Jim Bridger Plant OMAG Expense</t>
  </si>
  <si>
    <t>Actual Expense for 12 Months Ended June 2022</t>
  </si>
  <si>
    <t>FERC 
Location</t>
  </si>
  <si>
    <r>
      <t>Colstrip Unit 4</t>
    </r>
    <r>
      <rPr>
        <u/>
        <vertAlign val="superscript"/>
        <sz val="10"/>
        <color theme="1"/>
        <rFont val="Arial"/>
        <family val="2"/>
      </rPr>
      <t>2</t>
    </r>
  </si>
  <si>
    <r>
      <t>Jim Bridger Fly Ash Revenues</t>
    </r>
    <r>
      <rPr>
        <u/>
        <vertAlign val="superscript"/>
        <sz val="10"/>
        <color theme="1"/>
        <rFont val="Arial"/>
        <family val="2"/>
      </rPr>
      <t>3</t>
    </r>
  </si>
  <si>
    <t xml:space="preserve">2. Colstrip Unit 4 O&amp;M expenses per Page 10.3.3 in Exhibit No. SLC-4. </t>
  </si>
  <si>
    <t xml:space="preserve">1.  Jim Bridger Unit 3 and 4 O&amp;M reflect Test Period levels plus labor escalations as supported in Adjustments 4.2, 4.3 and 13.2 in </t>
  </si>
  <si>
    <t xml:space="preserve">     Exhibit Nos. SLC-4 &amp; SLC-5 respectively.</t>
  </si>
  <si>
    <t>2. Fly Ash Revenues for Jim Brdiger per Page 10.8 in Exhibit No. SLC-4.</t>
  </si>
  <si>
    <t>Ref 14.5, Exh. SLC-5</t>
  </si>
  <si>
    <t>Jim Bridger Mine Rate Base</t>
  </si>
  <si>
    <t>Average-of-Monthly-Average Balance - December 2025</t>
  </si>
  <si>
    <t>JB U3 &amp; U4 Existing Assets</t>
  </si>
  <si>
    <t>Monthly Depreciation Expense</t>
  </si>
  <si>
    <t>Colstrip U4 Existing Assets</t>
  </si>
  <si>
    <t>Ref.*</t>
  </si>
  <si>
    <t>JB U3 &amp; U4 New Additions</t>
  </si>
  <si>
    <t>Colstrip U4 New Additions</t>
  </si>
  <si>
    <t>*Exhibit No. SLC-5</t>
  </si>
  <si>
    <t>14.6.1</t>
  </si>
  <si>
    <t>14.7.1</t>
  </si>
  <si>
    <t>1. Existing assets depreciation expense per page 14.6.1 in Exhibit No. SLC-4.</t>
  </si>
  <si>
    <t>4. JB SCR depreciation expense per page 10.2.1 in Exhibit No. SLC-4.</t>
  </si>
  <si>
    <t>2. Pro Forma coal-fired additions depreciation expense per page 14.7.1 in Exhibit No. SLC-4.</t>
  </si>
  <si>
    <t>3. Estimated by multiplying Gross EPIS balance by composite depreciation rate of 4.762%</t>
  </si>
  <si>
    <t>Allocation Factors:</t>
  </si>
  <si>
    <t>Coal-Fired Resources Depreciation Expense Summary</t>
  </si>
  <si>
    <t>12 Months Ending December 2025</t>
  </si>
  <si>
    <r>
      <t>Pro Forma Additions</t>
    </r>
    <r>
      <rPr>
        <vertAlign val="superscript"/>
        <sz val="10"/>
        <color theme="1"/>
        <rFont val="Arial"/>
        <family val="2"/>
      </rPr>
      <t>2</t>
    </r>
  </si>
  <si>
    <r>
      <t>General</t>
    </r>
    <r>
      <rPr>
        <vertAlign val="superscript"/>
        <sz val="10"/>
        <color theme="1"/>
        <rFont val="Arial"/>
        <family val="2"/>
      </rPr>
      <t>3</t>
    </r>
  </si>
  <si>
    <r>
      <t>Existing Assets - U3 &amp; U4</t>
    </r>
    <r>
      <rPr>
        <vertAlign val="superscript"/>
        <sz val="10"/>
        <color theme="1"/>
        <rFont val="Arial"/>
        <family val="2"/>
      </rPr>
      <t>1</t>
    </r>
  </si>
  <si>
    <r>
      <t>JB SCR U3 &amp; U4</t>
    </r>
    <r>
      <rPr>
        <vertAlign val="superscript"/>
        <sz val="10"/>
        <color theme="1"/>
        <rFont val="Arial"/>
        <family val="2"/>
      </rPr>
      <t>4</t>
    </r>
  </si>
  <si>
    <r>
      <t>Pro Forma Coal - U3 &amp; U4</t>
    </r>
    <r>
      <rPr>
        <vertAlign val="superscript"/>
        <sz val="10"/>
        <color theme="1"/>
        <rFont val="Arial"/>
        <family val="2"/>
      </rPr>
      <t>2</t>
    </r>
  </si>
  <si>
    <t>Coal-Fired Resources Electric Plant In-Service</t>
  </si>
  <si>
    <t>Ref 14.6.1, Exh. SLC-5</t>
  </si>
  <si>
    <t>Total Co. EPIS - Dec-25 AMA</t>
  </si>
  <si>
    <t>Ref 14.7.1, Exh. SLC-5</t>
  </si>
  <si>
    <t>Allocation Factor:</t>
  </si>
  <si>
    <r>
      <t>2024 
Pro Forma 
Additions</t>
    </r>
    <r>
      <rPr>
        <b/>
        <vertAlign val="superscript"/>
        <sz val="10"/>
        <color theme="1"/>
        <rFont val="Arial"/>
        <family val="2"/>
      </rPr>
      <t>2</t>
    </r>
  </si>
  <si>
    <r>
      <t>2025 Increm. 
Pro Forma
 Additions</t>
    </r>
    <r>
      <rPr>
        <b/>
        <vertAlign val="superscript"/>
        <sz val="10"/>
        <color theme="1"/>
        <rFont val="Arial"/>
        <family val="2"/>
      </rPr>
      <t>2</t>
    </r>
  </si>
  <si>
    <t>Total 
Coal-Fired EPIS - Dec-25 AMA</t>
  </si>
  <si>
    <r>
      <t>Colstrip General</t>
    </r>
    <r>
      <rPr>
        <vertAlign val="superscript"/>
        <sz val="10"/>
        <color theme="1"/>
        <rFont val="Arial"/>
        <family val="2"/>
      </rPr>
      <t>1</t>
    </r>
  </si>
  <si>
    <t>2024 
Pro Forma 
Additions</t>
  </si>
  <si>
    <t>2025 Increm. 
Pro Forma
 Additions</t>
  </si>
  <si>
    <t>JB Steam U3 &amp; U4</t>
  </si>
  <si>
    <t>Colstrip Steam Unit 4</t>
  </si>
  <si>
    <r>
      <t xml:space="preserve">Capital Structure and Cost - </t>
    </r>
    <r>
      <rPr>
        <b/>
        <i/>
        <sz val="10"/>
        <rFont val="Arial"/>
        <family val="2"/>
      </rPr>
      <t>Ref Exhibit No. SLC-4, Page 2.1</t>
    </r>
  </si>
  <si>
    <r>
      <t xml:space="preserve">Net to Gross Bump-up Factor - </t>
    </r>
    <r>
      <rPr>
        <b/>
        <i/>
        <u/>
        <sz val="10"/>
        <rFont val="Arial"/>
        <family val="2"/>
      </rPr>
      <t>Ref Exhibit No. SLC-4, Page 1.3</t>
    </r>
  </si>
  <si>
    <t>Coal-Fired Resources Removal</t>
  </si>
  <si>
    <t>(SLC-5) Page 1, Col. 7</t>
  </si>
  <si>
    <t>"Summary" Tab</t>
  </si>
  <si>
    <t>Above + Total Rate Base Adj ("Rev Req" Tab)</t>
  </si>
  <si>
    <t>"Variables" Tab</t>
  </si>
  <si>
    <t>(SLC-5) Page 1, Col 7</t>
  </si>
  <si>
    <t>Pro Forma Adjustment</t>
  </si>
  <si>
    <t>Coal-Fired Resources Removal at December 31, 2025</t>
  </si>
  <si>
    <t xml:space="preserve">Revenue Requirement Impact </t>
  </si>
  <si>
    <t>(1) The revenue requirement column is calculated using the Company's proposed return on rate base of 7.60% and the NOI conversion factor of 75.182%.</t>
  </si>
  <si>
    <t>The development of these percentages can be found in Exhibit No. SLC-4 on pages 2.1 and 1.3 respectively.</t>
  </si>
  <si>
    <t>Summary of Tax Adjustments</t>
  </si>
  <si>
    <t>ADIT Balance - Jim Bridger Steam Unit 3 - PowerTax</t>
  </si>
  <si>
    <t>ADIT Balance - Jim Bridger Steam Unit 4 - PowerTax</t>
  </si>
  <si>
    <t>ADIT Balance - Jim Bridger Unit 3 &amp; 4 - Existing Assets Book Depr (Ref 14.6)</t>
  </si>
  <si>
    <t>ADIT Balance - Jim Bridger Steam - ProForma 2024 &amp; 2025 - (Ref 14.7)</t>
  </si>
  <si>
    <t>ADIT Balance - Jim Bridger General Plant - ProForma 2024 &amp; 2025 - (Ref 14.7)</t>
  </si>
  <si>
    <t>ADIT Balance - Colstrip Steam Unit 4 - PowerTax</t>
  </si>
  <si>
    <t>ADIT Balance - Colstrip Steam Unit 4 - Existing Assets Book Depr (Ref 14.6)</t>
  </si>
  <si>
    <t>ADIT Balance - Colstrip Steam Unit 4 - Pro Forma 2024 &amp; 2025</t>
  </si>
  <si>
    <t>ADIT Balance - PMI</t>
  </si>
  <si>
    <t>Coal-Fire Resources &amp; Bridger Mine Removal</t>
  </si>
  <si>
    <t>ADIT Balance - PMI EDIT Balance</t>
  </si>
  <si>
    <t>DIT Expense JB 3 &amp; 4 - 411 - Flowthrough</t>
  </si>
  <si>
    <t>DIT Expense Colstrip - 411 - Flowthrough</t>
  </si>
  <si>
    <t>DIT Expense Colstrip - 411 - PMI EDIT Amortization</t>
  </si>
  <si>
    <t>This page summarizes adjustments required for the removal of the ADIT balances included in rate base as of 12/31/2025 for the Jim Bridger Mine (PMI's portion), Jim Bridger Units 3 &amp; 4, and Colstrip Unit 4. Postitive numbers above represent the removal of deferred income tax liability balances included in rate base.</t>
  </si>
  <si>
    <t>Coal-Fired Resources Depreciation Reserves</t>
  </si>
  <si>
    <t>JB Plant - All units</t>
  </si>
  <si>
    <t>General EPIS</t>
  </si>
  <si>
    <t>GNLPCAGW</t>
  </si>
  <si>
    <t>General Reserve (108GP)</t>
  </si>
  <si>
    <t>1 - General asset balance from Test Period (June 2022 EOP), walked-forward through December using composite depreciation rate of 4.762%</t>
  </si>
  <si>
    <t>JB Steam U1 &amp; U2</t>
  </si>
  <si>
    <r>
      <t>JB Steam U1 &amp; U2</t>
    </r>
    <r>
      <rPr>
        <vertAlign val="superscript"/>
        <sz val="10"/>
        <color theme="1"/>
        <rFont val="Arial"/>
        <family val="2"/>
      </rPr>
      <t>1</t>
    </r>
  </si>
  <si>
    <r>
      <t>Colstrip General</t>
    </r>
    <r>
      <rPr>
        <vertAlign val="superscript"/>
        <sz val="10"/>
        <color theme="1"/>
        <rFont val="Arial"/>
        <family val="2"/>
      </rPr>
      <t>2</t>
    </r>
  </si>
  <si>
    <t>2 - General asset balance from Test Period (June 2022 EOP).</t>
  </si>
  <si>
    <t>1 - JB U1 &amp; U2 EPIS balances are not removed</t>
  </si>
  <si>
    <t>Total Co. Reserves - Dec-25 AMA</t>
  </si>
  <si>
    <t>WA Alloc. Reserves - Dec-25 AMA</t>
  </si>
  <si>
    <t>JB U1 &amp; U2 Existing Assets</t>
  </si>
  <si>
    <t>JB U1 &amp; U2 New Additions</t>
  </si>
  <si>
    <t>14.8.1</t>
  </si>
  <si>
    <t>Total Colstrip DEPE</t>
  </si>
  <si>
    <t>Total JB DEPE</t>
  </si>
  <si>
    <t>WA Allocated JB DEPE</t>
  </si>
  <si>
    <t>WA Allocated Colstrip DEPE</t>
  </si>
  <si>
    <t>WA Alloc.
($'000)</t>
  </si>
  <si>
    <t>12 ME Jun-2022 OMAG</t>
  </si>
  <si>
    <t>2022 Restatment</t>
  </si>
  <si>
    <t>2024 - 2025 Pro Forma</t>
  </si>
  <si>
    <t>Total JB OMAG</t>
  </si>
  <si>
    <t>WA Alloc ($'000)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</si>
</sst>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0.0000%"/>
    <numFmt numFmtId="167" formatCode="[$-409]mmm\-yy;@"/>
    <numFmt numFmtId="168" formatCode="###,000"/>
    <numFmt numFmtId="169" formatCode="0.000000%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2"/>
      <name val="Times New Roman"/>
      <family val="1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b/>
      <sz val="15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2"/>
      <color rgb="FFFF0000"/>
      <name val="Arial"/>
      <family val="2"/>
    </font>
    <font>
      <sz val="8"/>
      <color rgb="FFFF0000"/>
      <name val="Arial"/>
      <family val="2"/>
    </font>
    <font>
      <b/>
      <sz val="8"/>
      <name val="Arial"/>
      <family val="2"/>
    </font>
    <font>
      <i/>
      <sz val="10"/>
      <name val="Arial"/>
      <family val="2"/>
    </font>
    <font>
      <sz val="11"/>
      <color theme="1"/>
      <name val="Arial"/>
      <family val="2"/>
    </font>
    <font>
      <u/>
      <sz val="10"/>
      <name val="Arial"/>
      <family val="2"/>
    </font>
    <font>
      <sz val="8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MS Sans Serif"/>
      <family val="2"/>
    </font>
    <font>
      <b/>
      <u/>
      <sz val="10"/>
      <color theme="1"/>
      <name val="Arial"/>
      <family val="2"/>
    </font>
    <font>
      <i/>
      <sz val="10"/>
      <color theme="1"/>
      <name val="Arial"/>
      <family val="2"/>
    </font>
    <font>
      <u/>
      <sz val="10"/>
      <color theme="1"/>
      <name val="Arial"/>
      <family val="2"/>
    </font>
    <font>
      <b/>
      <sz val="11"/>
      <color theme="1"/>
      <name val="Arial"/>
      <family val="2"/>
    </font>
    <font>
      <vertAlign val="superscript"/>
      <sz val="10"/>
      <color theme="1"/>
      <name val="Arial"/>
      <family val="2"/>
    </font>
    <font>
      <u/>
      <sz val="11"/>
      <color theme="1"/>
      <name val="Arial"/>
      <family val="2"/>
    </font>
    <font>
      <b/>
      <u/>
      <sz val="11"/>
      <color theme="1"/>
      <name val="Arial"/>
      <family val="2"/>
    </font>
    <font>
      <u/>
      <vertAlign val="superscript"/>
      <sz val="10"/>
      <color theme="1"/>
      <name val="Arial"/>
      <family val="2"/>
    </font>
    <font>
      <sz val="8"/>
      <color theme="1"/>
      <name val="Arial"/>
      <family val="2"/>
    </font>
    <font>
      <b/>
      <vertAlign val="superscript"/>
      <sz val="10"/>
      <color theme="1"/>
      <name val="Arial"/>
      <family val="2"/>
    </font>
    <font>
      <sz val="11"/>
      <color rgb="FF0070C0"/>
      <name val="Arial"/>
      <family val="2"/>
    </font>
    <font>
      <sz val="10"/>
      <color rgb="FF0070C0"/>
      <name val="Arial"/>
      <family val="2"/>
    </font>
    <font>
      <i/>
      <sz val="8"/>
      <color theme="1"/>
      <name val="Arial"/>
      <family val="2"/>
    </font>
    <font>
      <b/>
      <i/>
      <sz val="10"/>
      <name val="Arial"/>
      <family val="2"/>
    </font>
    <font>
      <b/>
      <u/>
      <sz val="10"/>
      <name val="Arial"/>
      <family val="2"/>
    </font>
    <font>
      <b/>
      <i/>
      <u/>
      <sz val="10"/>
      <name val="Arial"/>
      <family val="2"/>
    </font>
    <font>
      <b/>
      <u val="singleAccounting"/>
      <sz val="10"/>
      <color theme="1"/>
      <name val="Arial"/>
      <family val="2"/>
    </font>
    <font>
      <sz val="8"/>
      <color rgb="FF9966FF"/>
      <name val="Arial"/>
      <family val="2"/>
    </font>
    <font>
      <b/>
      <sz val="8"/>
      <color rgb="FF9966FF"/>
      <name val="Arial"/>
      <family val="2"/>
    </font>
    <font>
      <sz val="10"/>
      <color rgb="FF9966FF"/>
      <name val="Arial"/>
      <family val="2"/>
    </font>
    <font>
      <b/>
      <sz val="10"/>
      <color rgb="FF9966FF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DBE5F1"/>
        <bgColor rgb="FFFFFFFF"/>
      </patternFill>
    </fill>
    <fill>
      <patternFill patternType="solid">
        <fgColor rgb="FFDBE5F1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99FF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1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8" fontId="8" fillId="0" borderId="5" applyNumberFormat="0" applyProtection="0">
      <alignment horizontal="right" vertical="center"/>
    </xf>
    <xf numFmtId="168" fontId="8" fillId="2" borderId="6" applyNumberFormat="0" applyAlignment="0" applyProtection="0">
      <alignment horizontal="left" vertical="center" indent="1"/>
    </xf>
    <xf numFmtId="0" fontId="9" fillId="3" borderId="6" applyNumberFormat="0" applyAlignment="0" applyProtection="0">
      <alignment horizontal="left" vertical="center" indent="1"/>
    </xf>
    <xf numFmtId="9" fontId="3" fillId="0" borderId="0" applyFont="0" applyFill="0" applyBorder="0" applyAlignment="0" applyProtection="0"/>
    <xf numFmtId="0" fontId="17" fillId="0" borderId="0"/>
    <xf numFmtId="41" fontId="3" fillId="0" borderId="0" applyFont="0" applyFill="0" applyBorder="0" applyAlignment="0" applyProtection="0"/>
    <xf numFmtId="0" fontId="6" fillId="0" borderId="0"/>
    <xf numFmtId="0" fontId="7" fillId="0" borderId="0"/>
    <xf numFmtId="43" fontId="3" fillId="0" borderId="0" applyFont="0" applyFill="0" applyBorder="0" applyAlignment="0" applyProtection="0"/>
    <xf numFmtId="0" fontId="7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1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3" fillId="0" borderId="0"/>
  </cellStyleXfs>
  <cellXfs count="349">
    <xf numFmtId="0" fontId="0" fillId="0" borderId="0" xfId="0"/>
    <xf numFmtId="43" fontId="0" fillId="0" borderId="0" xfId="1" applyFont="1"/>
    <xf numFmtId="0" fontId="3" fillId="0" borderId="0" xfId="3"/>
    <xf numFmtId="17" fontId="2" fillId="0" borderId="1" xfId="0" applyNumberFormat="1" applyFont="1" applyBorder="1" applyAlignment="1">
      <alignment horizontal="center"/>
    </xf>
    <xf numFmtId="0" fontId="4" fillId="0" borderId="0" xfId="3" applyFont="1"/>
    <xf numFmtId="164" fontId="2" fillId="0" borderId="0" xfId="5" applyNumberFormat="1" applyFont="1" applyFill="1" applyBorder="1"/>
    <xf numFmtId="164" fontId="3" fillId="0" borderId="0" xfId="5" applyNumberFormat="1" applyFont="1" applyFill="1"/>
    <xf numFmtId="164" fontId="3" fillId="0" borderId="0" xfId="5" applyNumberFormat="1" applyFont="1" applyFill="1" applyBorder="1"/>
    <xf numFmtId="164" fontId="2" fillId="0" borderId="0" xfId="5" applyNumberFormat="1" applyFont="1" applyFill="1" applyAlignment="1">
      <alignment horizontal="left"/>
    </xf>
    <xf numFmtId="164" fontId="2" fillId="0" borderId="0" xfId="5" applyNumberFormat="1" applyFont="1" applyFill="1" applyBorder="1" applyAlignment="1">
      <alignment horizontal="left"/>
    </xf>
    <xf numFmtId="164" fontId="2" fillId="0" borderId="16" xfId="5" applyNumberFormat="1" applyFont="1" applyFill="1" applyBorder="1" applyAlignment="1">
      <alignment horizontal="center"/>
    </xf>
    <xf numFmtId="164" fontId="2" fillId="0" borderId="2" xfId="5" applyNumberFormat="1" applyFont="1" applyFill="1" applyBorder="1" applyAlignment="1"/>
    <xf numFmtId="164" fontId="2" fillId="0" borderId="17" xfId="5" applyNumberFormat="1" applyFont="1" applyFill="1" applyBorder="1" applyAlignment="1"/>
    <xf numFmtId="164" fontId="2" fillId="0" borderId="3" xfId="5" applyNumberFormat="1" applyFont="1" applyFill="1" applyBorder="1" applyAlignment="1"/>
    <xf numFmtId="164" fontId="2" fillId="0" borderId="0" xfId="5" applyNumberFormat="1" applyFont="1" applyFill="1"/>
    <xf numFmtId="164" fontId="3" fillId="0" borderId="18" xfId="5" quotePrefix="1" applyNumberFormat="1" applyFont="1" applyFill="1" applyBorder="1" applyAlignment="1" applyProtection="1">
      <alignment horizontal="center"/>
      <protection locked="0"/>
    </xf>
    <xf numFmtId="164" fontId="3" fillId="0" borderId="0" xfId="5" quotePrefix="1" applyNumberFormat="1" applyFont="1" applyFill="1" applyBorder="1" applyAlignment="1" applyProtection="1">
      <alignment horizontal="center"/>
      <protection locked="0"/>
    </xf>
    <xf numFmtId="164" fontId="3" fillId="0" borderId="19" xfId="5" quotePrefix="1" applyNumberFormat="1" applyFont="1" applyFill="1" applyBorder="1" applyAlignment="1" applyProtection="1">
      <alignment horizontal="center"/>
      <protection locked="0"/>
    </xf>
    <xf numFmtId="164" fontId="2" fillId="0" borderId="0" xfId="5" applyNumberFormat="1" applyFont="1" applyFill="1" applyBorder="1" applyAlignment="1">
      <alignment vertical="center"/>
    </xf>
    <xf numFmtId="164" fontId="2" fillId="0" borderId="18" xfId="5" applyNumberFormat="1" applyFont="1" applyFill="1" applyBorder="1" applyAlignment="1" applyProtection="1">
      <alignment horizontal="center" vertical="center" wrapText="1"/>
      <protection locked="0"/>
    </xf>
    <xf numFmtId="164" fontId="2" fillId="0" borderId="18" xfId="5" applyNumberFormat="1" applyFont="1" applyFill="1" applyBorder="1" applyAlignment="1" applyProtection="1">
      <alignment horizontal="center" wrapText="1"/>
      <protection locked="0"/>
    </xf>
    <xf numFmtId="164" fontId="2" fillId="0" borderId="0" xfId="5" applyNumberFormat="1" applyFont="1" applyFill="1" applyBorder="1" applyAlignment="1" applyProtection="1">
      <alignment horizontal="center" wrapText="1"/>
      <protection locked="0"/>
    </xf>
    <xf numFmtId="164" fontId="2" fillId="0" borderId="19" xfId="5" applyNumberFormat="1" applyFont="1" applyFill="1" applyBorder="1" applyAlignment="1" applyProtection="1">
      <alignment horizontal="center" wrapText="1"/>
      <protection locked="0"/>
    </xf>
    <xf numFmtId="164" fontId="2" fillId="0" borderId="0" xfId="5" applyNumberFormat="1" applyFont="1" applyFill="1" applyAlignment="1">
      <alignment vertical="center"/>
    </xf>
    <xf numFmtId="164" fontId="3" fillId="0" borderId="18" xfId="5" applyNumberFormat="1" applyFont="1" applyFill="1" applyBorder="1" applyAlignment="1" applyProtection="1">
      <alignment horizontal="center"/>
      <protection locked="0"/>
    </xf>
    <xf numFmtId="164" fontId="3" fillId="0" borderId="18" xfId="5" applyNumberFormat="1" applyFont="1" applyFill="1" applyBorder="1"/>
    <xf numFmtId="164" fontId="3" fillId="0" borderId="19" xfId="5" applyNumberFormat="1" applyFont="1" applyFill="1" applyBorder="1"/>
    <xf numFmtId="164" fontId="3" fillId="0" borderId="18" xfId="5" applyNumberFormat="1" applyFont="1" applyFill="1" applyBorder="1" applyProtection="1">
      <protection locked="0"/>
    </xf>
    <xf numFmtId="164" fontId="3" fillId="0" borderId="0" xfId="5" applyNumberFormat="1" applyFont="1" applyFill="1" applyBorder="1" applyProtection="1">
      <protection locked="0"/>
    </xf>
    <xf numFmtId="164" fontId="3" fillId="0" borderId="19" xfId="5" applyNumberFormat="1" applyFont="1" applyFill="1" applyBorder="1" applyProtection="1">
      <protection locked="0"/>
    </xf>
    <xf numFmtId="164" fontId="3" fillId="0" borderId="18" xfId="5" quotePrefix="1" applyNumberFormat="1" applyFont="1" applyFill="1" applyBorder="1" applyAlignment="1" applyProtection="1">
      <alignment horizontal="left"/>
      <protection locked="0"/>
    </xf>
    <xf numFmtId="164" fontId="3" fillId="0" borderId="18" xfId="5" applyNumberFormat="1" applyFont="1" applyFill="1" applyBorder="1" applyAlignment="1" applyProtection="1">
      <alignment horizontal="left"/>
      <protection locked="0"/>
    </xf>
    <xf numFmtId="164" fontId="3" fillId="0" borderId="0" xfId="5" applyNumberFormat="1" applyFont="1" applyFill="1" applyBorder="1" applyAlignment="1" applyProtection="1">
      <alignment horizontal="left"/>
      <protection locked="0"/>
    </xf>
    <xf numFmtId="164" fontId="3" fillId="0" borderId="19" xfId="5" applyNumberFormat="1" applyFont="1" applyFill="1" applyBorder="1" applyAlignment="1" applyProtection="1">
      <alignment horizontal="left"/>
      <protection locked="0"/>
    </xf>
    <xf numFmtId="164" fontId="3" fillId="0" borderId="22" xfId="5" applyNumberFormat="1" applyFont="1" applyFill="1" applyBorder="1" applyAlignment="1" applyProtection="1">
      <alignment horizontal="left"/>
      <protection locked="0"/>
    </xf>
    <xf numFmtId="164" fontId="3" fillId="0" borderId="1" xfId="5" applyNumberFormat="1" applyFont="1" applyFill="1" applyBorder="1" applyAlignment="1" applyProtection="1">
      <alignment horizontal="left"/>
      <protection locked="0"/>
    </xf>
    <xf numFmtId="164" fontId="3" fillId="0" borderId="23" xfId="5" applyNumberFormat="1" applyFont="1" applyFill="1" applyBorder="1" applyAlignment="1" applyProtection="1">
      <alignment horizontal="left"/>
      <protection locked="0"/>
    </xf>
    <xf numFmtId="164" fontId="3" fillId="0" borderId="0" xfId="5" quotePrefix="1" applyNumberFormat="1" applyFont="1" applyFill="1" applyBorder="1" applyAlignment="1" applyProtection="1">
      <alignment horizontal="left"/>
      <protection locked="0"/>
    </xf>
    <xf numFmtId="164" fontId="3" fillId="0" borderId="19" xfId="5" quotePrefix="1" applyNumberFormat="1" applyFont="1" applyFill="1" applyBorder="1" applyAlignment="1" applyProtection="1">
      <alignment horizontal="left"/>
      <protection locked="0"/>
    </xf>
    <xf numFmtId="165" fontId="2" fillId="0" borderId="0" xfId="14" applyNumberFormat="1" applyFont="1" applyFill="1" applyBorder="1" applyAlignment="1">
      <alignment vertical="center"/>
    </xf>
    <xf numFmtId="165" fontId="3" fillId="0" borderId="18" xfId="14" applyNumberFormat="1" applyFont="1" applyFill="1" applyBorder="1" applyAlignment="1">
      <alignment vertical="center"/>
    </xf>
    <xf numFmtId="165" fontId="3" fillId="0" borderId="0" xfId="14" applyNumberFormat="1" applyFont="1" applyFill="1" applyBorder="1" applyAlignment="1">
      <alignment vertical="center"/>
    </xf>
    <xf numFmtId="165" fontId="3" fillId="0" borderId="19" xfId="14" applyNumberFormat="1" applyFont="1" applyFill="1" applyBorder="1" applyAlignment="1">
      <alignment vertical="center"/>
    </xf>
    <xf numFmtId="165" fontId="3" fillId="0" borderId="0" xfId="14" applyNumberFormat="1" applyFont="1" applyFill="1"/>
    <xf numFmtId="164" fontId="3" fillId="0" borderId="24" xfId="5" applyNumberFormat="1" applyFont="1" applyFill="1" applyBorder="1" applyAlignment="1">
      <alignment vertical="center"/>
    </xf>
    <xf numFmtId="164" fontId="3" fillId="0" borderId="18" xfId="5" applyNumberFormat="1" applyFont="1" applyFill="1" applyBorder="1" applyAlignment="1">
      <alignment vertical="center"/>
    </xf>
    <xf numFmtId="164" fontId="3" fillId="0" borderId="0" xfId="5" applyNumberFormat="1" applyFont="1" applyFill="1" applyBorder="1" applyAlignment="1">
      <alignment vertical="center"/>
    </xf>
    <xf numFmtId="164" fontId="3" fillId="0" borderId="19" xfId="5" applyNumberFormat="1" applyFont="1" applyFill="1" applyBorder="1" applyAlignment="1">
      <alignment vertical="center"/>
    </xf>
    <xf numFmtId="164" fontId="2" fillId="0" borderId="0" xfId="5" quotePrefix="1" applyNumberFormat="1" applyFont="1" applyFill="1" applyBorder="1" applyAlignment="1">
      <alignment horizontal="left" vertical="center"/>
    </xf>
    <xf numFmtId="0" fontId="2" fillId="0" borderId="0" xfId="3" applyFont="1"/>
    <xf numFmtId="0" fontId="2" fillId="0" borderId="1" xfId="3" applyFont="1" applyBorder="1"/>
    <xf numFmtId="0" fontId="2" fillId="0" borderId="1" xfId="3" applyFont="1" applyBorder="1" applyAlignment="1">
      <alignment horizontal="center"/>
    </xf>
    <xf numFmtId="164" fontId="3" fillId="0" borderId="0" xfId="5" applyNumberFormat="1" applyFont="1"/>
    <xf numFmtId="0" fontId="3" fillId="0" borderId="0" xfId="3" applyAlignment="1" applyProtection="1">
      <alignment horizontal="left"/>
      <protection locked="0"/>
    </xf>
    <xf numFmtId="10" fontId="3" fillId="0" borderId="0" xfId="14" applyNumberFormat="1" applyFont="1"/>
    <xf numFmtId="164" fontId="3" fillId="0" borderId="0" xfId="5" applyNumberFormat="1" applyFont="1" applyBorder="1"/>
    <xf numFmtId="10" fontId="3" fillId="0" borderId="0" xfId="14" applyNumberFormat="1" applyFont="1" applyBorder="1"/>
    <xf numFmtId="0" fontId="3" fillId="0" borderId="0" xfId="3" applyAlignment="1">
      <alignment horizontal="centerContinuous"/>
    </xf>
    <xf numFmtId="0" fontId="3" fillId="0" borderId="31" xfId="3" applyBorder="1" applyAlignment="1">
      <alignment horizontal="center"/>
    </xf>
    <xf numFmtId="0" fontId="3" fillId="0" borderId="13" xfId="3" applyBorder="1" applyAlignment="1">
      <alignment horizontal="center"/>
    </xf>
    <xf numFmtId="0" fontId="3" fillId="0" borderId="0" xfId="3" applyAlignment="1">
      <alignment horizontal="center"/>
    </xf>
    <xf numFmtId="0" fontId="3" fillId="0" borderId="32" xfId="3" applyBorder="1"/>
    <xf numFmtId="165" fontId="3" fillId="0" borderId="32" xfId="14" applyNumberFormat="1" applyFont="1" applyFill="1" applyBorder="1"/>
    <xf numFmtId="165" fontId="3" fillId="0" borderId="0" xfId="14" applyNumberFormat="1" applyFont="1" applyFill="1" applyBorder="1"/>
    <xf numFmtId="10" fontId="3" fillId="0" borderId="32" xfId="14" applyNumberFormat="1" applyFont="1" applyBorder="1"/>
    <xf numFmtId="0" fontId="3" fillId="0" borderId="33" xfId="3" applyBorder="1"/>
    <xf numFmtId="165" fontId="3" fillId="0" borderId="33" xfId="14" applyNumberFormat="1" applyFont="1" applyFill="1" applyBorder="1"/>
    <xf numFmtId="165" fontId="3" fillId="0" borderId="1" xfId="14" applyNumberFormat="1" applyFont="1" applyFill="1" applyBorder="1"/>
    <xf numFmtId="10" fontId="3" fillId="0" borderId="33" xfId="14" applyNumberFormat="1" applyFont="1" applyBorder="1"/>
    <xf numFmtId="10" fontId="3" fillId="0" borderId="31" xfId="3" applyNumberFormat="1" applyBorder="1"/>
    <xf numFmtId="0" fontId="3" fillId="0" borderId="1" xfId="3" applyBorder="1"/>
    <xf numFmtId="165" fontId="3" fillId="0" borderId="0" xfId="14" applyNumberFormat="1" applyFont="1"/>
    <xf numFmtId="0" fontId="3" fillId="0" borderId="0" xfId="3" quotePrefix="1" applyAlignment="1">
      <alignment horizontal="left"/>
    </xf>
    <xf numFmtId="165" fontId="3" fillId="0" borderId="0" xfId="14" quotePrefix="1" applyNumberFormat="1" applyFont="1"/>
    <xf numFmtId="165" fontId="3" fillId="0" borderId="1" xfId="14" applyNumberFormat="1" applyFont="1" applyBorder="1"/>
    <xf numFmtId="165" fontId="3" fillId="0" borderId="26" xfId="14" quotePrefix="1" applyNumberFormat="1" applyFont="1" applyBorder="1"/>
    <xf numFmtId="165" fontId="3" fillId="0" borderId="0" xfId="14" quotePrefix="1" applyNumberFormat="1" applyFont="1" applyBorder="1"/>
    <xf numFmtId="0" fontId="10" fillId="0" borderId="0" xfId="3" applyFont="1" applyAlignment="1">
      <alignment horizontal="left"/>
    </xf>
    <xf numFmtId="0" fontId="11" fillId="0" borderId="0" xfId="3" applyFont="1" applyAlignment="1">
      <alignment horizontal="center"/>
    </xf>
    <xf numFmtId="0" fontId="12" fillId="0" borderId="0" xfId="3" applyFont="1" applyAlignment="1">
      <alignment horizontal="centerContinuous"/>
    </xf>
    <xf numFmtId="0" fontId="13" fillId="0" borderId="0" xfId="3" applyFont="1" applyAlignment="1">
      <alignment horizontal="centerContinuous"/>
    </xf>
    <xf numFmtId="0" fontId="11" fillId="0" borderId="0" xfId="3" applyFont="1"/>
    <xf numFmtId="0" fontId="11" fillId="0" borderId="0" xfId="3" applyFont="1" applyAlignment="1">
      <alignment horizontal="left"/>
    </xf>
    <xf numFmtId="0" fontId="14" fillId="0" borderId="0" xfId="3" applyFont="1"/>
    <xf numFmtId="0" fontId="15" fillId="0" borderId="0" xfId="3" applyFont="1" applyAlignment="1">
      <alignment horizontal="center"/>
    </xf>
    <xf numFmtId="0" fontId="15" fillId="0" borderId="15" xfId="3" applyFont="1" applyBorder="1" applyAlignment="1">
      <alignment horizontal="center" wrapText="1"/>
    </xf>
    <xf numFmtId="0" fontId="15" fillId="0" borderId="15" xfId="3" applyFont="1" applyBorder="1" applyAlignment="1">
      <alignment horizontal="center"/>
    </xf>
    <xf numFmtId="0" fontId="15" fillId="0" borderId="1" xfId="3" applyFont="1" applyBorder="1" applyAlignment="1">
      <alignment horizontal="center"/>
    </xf>
    <xf numFmtId="0" fontId="15" fillId="0" borderId="0" xfId="3" applyFont="1" applyAlignment="1">
      <alignment horizontal="right"/>
    </xf>
    <xf numFmtId="164" fontId="15" fillId="0" borderId="0" xfId="5" applyNumberFormat="1" applyFont="1" applyFill="1"/>
    <xf numFmtId="164" fontId="14" fillId="0" borderId="0" xfId="5" applyNumberFormat="1" applyFont="1" applyFill="1"/>
    <xf numFmtId="0" fontId="15" fillId="0" borderId="1" xfId="3" applyFont="1" applyBorder="1" applyAlignment="1">
      <alignment horizontal="center" vertical="center" wrapText="1"/>
    </xf>
    <xf numFmtId="0" fontId="11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1" fillId="0" borderId="0" xfId="3" applyFont="1" applyAlignment="1">
      <alignment horizontal="center" vertical="center" wrapText="1"/>
    </xf>
    <xf numFmtId="164" fontId="11" fillId="0" borderId="0" xfId="5" applyNumberFormat="1" applyFont="1" applyFill="1"/>
    <xf numFmtId="43" fontId="11" fillId="0" borderId="0" xfId="3" applyNumberFormat="1" applyFont="1"/>
    <xf numFmtId="164" fontId="11" fillId="0" borderId="0" xfId="3" applyNumberFormat="1" applyFont="1"/>
    <xf numFmtId="164" fontId="11" fillId="0" borderId="0" xfId="5" applyNumberFormat="1" applyFont="1" applyFill="1" applyBorder="1"/>
    <xf numFmtId="164" fontId="15" fillId="0" borderId="0" xfId="5" applyNumberFormat="1" applyFont="1" applyFill="1" applyBorder="1"/>
    <xf numFmtId="0" fontId="15" fillId="0" borderId="0" xfId="3" applyFont="1"/>
    <xf numFmtId="164" fontId="15" fillId="0" borderId="15" xfId="3" applyNumberFormat="1" applyFont="1" applyBorder="1"/>
    <xf numFmtId="164" fontId="14" fillId="0" borderId="0" xfId="5" applyNumberFormat="1" applyFont="1"/>
    <xf numFmtId="164" fontId="16" fillId="0" borderId="0" xfId="5" applyNumberFormat="1" applyFont="1" applyFill="1"/>
    <xf numFmtId="0" fontId="11" fillId="0" borderId="0" xfId="3" applyFont="1" applyBorder="1"/>
    <xf numFmtId="0" fontId="5" fillId="0" borderId="0" xfId="17" applyFont="1"/>
    <xf numFmtId="0" fontId="6" fillId="0" borderId="0" xfId="17"/>
    <xf numFmtId="0" fontId="6" fillId="0" borderId="0" xfId="17" applyAlignment="1">
      <alignment horizontal="right"/>
    </xf>
    <xf numFmtId="41" fontId="6" fillId="0" borderId="0" xfId="17" applyNumberFormat="1"/>
    <xf numFmtId="0" fontId="3" fillId="0" borderId="0" xfId="18" applyFont="1"/>
    <xf numFmtId="0" fontId="3" fillId="0" borderId="0" xfId="18" applyFont="1" applyAlignment="1">
      <alignment horizontal="center"/>
    </xf>
    <xf numFmtId="0" fontId="18" fillId="0" borderId="0" xfId="18" applyFont="1" applyAlignment="1">
      <alignment horizontal="center"/>
    </xf>
    <xf numFmtId="0" fontId="4" fillId="0" borderId="0" xfId="17" applyFont="1"/>
    <xf numFmtId="0" fontId="2" fillId="0" borderId="0" xfId="18" applyFont="1" applyAlignment="1">
      <alignment horizontal="left"/>
    </xf>
    <xf numFmtId="164" fontId="3" fillId="0" borderId="0" xfId="19" applyNumberFormat="1" applyFont="1" applyBorder="1" applyAlignment="1">
      <alignment horizontal="center"/>
    </xf>
    <xf numFmtId="0" fontId="3" fillId="0" borderId="0" xfId="20" applyFont="1" applyAlignment="1">
      <alignment horizontal="center"/>
    </xf>
    <xf numFmtId="41" fontId="3" fillId="0" borderId="0" xfId="6" applyNumberFormat="1" applyFont="1" applyFill="1" applyBorder="1" applyAlignment="1">
      <alignment horizontal="center"/>
    </xf>
    <xf numFmtId="41" fontId="4" fillId="0" borderId="0" xfId="17" applyNumberFormat="1" applyFont="1"/>
    <xf numFmtId="0" fontId="6" fillId="0" borderId="0" xfId="17" applyAlignment="1">
      <alignment horizontal="center"/>
    </xf>
    <xf numFmtId="164" fontId="6" fillId="0" borderId="0" xfId="1" applyNumberFormat="1" applyFont="1"/>
    <xf numFmtId="0" fontId="3" fillId="0" borderId="0" xfId="18" applyFont="1" applyAlignment="1">
      <alignment horizontal="left"/>
    </xf>
    <xf numFmtId="0" fontId="2" fillId="0" borderId="0" xfId="0" applyFont="1"/>
    <xf numFmtId="0" fontId="2" fillId="0" borderId="0" xfId="18" applyFont="1"/>
    <xf numFmtId="0" fontId="6" fillId="0" borderId="16" xfId="17" applyBorder="1"/>
    <xf numFmtId="0" fontId="6" fillId="0" borderId="18" xfId="17" applyBorder="1"/>
    <xf numFmtId="0" fontId="6" fillId="0" borderId="28" xfId="17" applyBorder="1"/>
    <xf numFmtId="41" fontId="3" fillId="0" borderId="1" xfId="6" applyNumberFormat="1" applyFont="1" applyFill="1" applyBorder="1" applyAlignment="1">
      <alignment horizontal="center"/>
    </xf>
    <xf numFmtId="0" fontId="6" fillId="0" borderId="0" xfId="0" applyFont="1"/>
    <xf numFmtId="0" fontId="20" fillId="0" borderId="0" xfId="0" applyFont="1"/>
    <xf numFmtId="0" fontId="21" fillId="0" borderId="0" xfId="0" applyFont="1"/>
    <xf numFmtId="41" fontId="21" fillId="0" borderId="0" xfId="27" applyFont="1" applyBorder="1" applyAlignment="1">
      <alignment horizontal="right"/>
    </xf>
    <xf numFmtId="41" fontId="21" fillId="0" borderId="0" xfId="27" applyFont="1" applyBorder="1"/>
    <xf numFmtId="0" fontId="21" fillId="4" borderId="31" xfId="0" applyFont="1" applyFill="1" applyBorder="1" applyAlignment="1">
      <alignment horizontal="center"/>
    </xf>
    <xf numFmtId="41" fontId="21" fillId="4" borderId="31" xfId="27" applyFont="1" applyFill="1" applyBorder="1" applyAlignment="1">
      <alignment horizontal="center"/>
    </xf>
    <xf numFmtId="0" fontId="21" fillId="4" borderId="14" xfId="0" applyFont="1" applyFill="1" applyBorder="1" applyAlignment="1">
      <alignment horizontal="center"/>
    </xf>
    <xf numFmtId="0" fontId="21" fillId="0" borderId="9" xfId="0" applyFont="1" applyBorder="1"/>
    <xf numFmtId="0" fontId="21" fillId="0" borderId="34" xfId="0" applyFont="1" applyBorder="1"/>
    <xf numFmtId="41" fontId="21" fillId="0" borderId="34" xfId="27" applyFont="1" applyBorder="1" applyAlignment="1">
      <alignment horizontal="center"/>
    </xf>
    <xf numFmtId="0" fontId="21" fillId="0" borderId="10" xfId="0" applyFont="1" applyBorder="1"/>
    <xf numFmtId="37" fontId="22" fillId="0" borderId="0" xfId="24" applyNumberFormat="1" applyFont="1" applyAlignment="1">
      <alignment horizontal="center"/>
    </xf>
    <xf numFmtId="17" fontId="21" fillId="0" borderId="9" xfId="0" applyNumberFormat="1" applyFont="1" applyBorder="1"/>
    <xf numFmtId="0" fontId="21" fillId="0" borderId="32" xfId="0" applyFont="1" applyBorder="1"/>
    <xf numFmtId="41" fontId="21" fillId="0" borderId="32" xfId="27" applyFont="1" applyBorder="1"/>
    <xf numFmtId="0" fontId="21" fillId="0" borderId="11" xfId="0" applyFont="1" applyBorder="1"/>
    <xf numFmtId="0" fontId="21" fillId="0" borderId="33" xfId="0" applyFont="1" applyBorder="1"/>
    <xf numFmtId="41" fontId="21" fillId="0" borderId="33" xfId="27" applyFont="1" applyBorder="1"/>
    <xf numFmtId="17" fontId="21" fillId="0" borderId="9" xfId="0" applyNumberFormat="1" applyFont="1" applyBorder="1" applyAlignment="1">
      <alignment vertical="top" wrapText="1"/>
    </xf>
    <xf numFmtId="41" fontId="21" fillId="0" borderId="10" xfId="0" applyNumberFormat="1" applyFont="1" applyBorder="1"/>
    <xf numFmtId="0" fontId="23" fillId="0" borderId="11" xfId="0" applyFont="1" applyBorder="1"/>
    <xf numFmtId="165" fontId="21" fillId="0" borderId="33" xfId="2" applyNumberFormat="1" applyFont="1" applyBorder="1" applyAlignment="1">
      <alignment horizontal="right"/>
    </xf>
    <xf numFmtId="0" fontId="21" fillId="0" borderId="10" xfId="0" applyFont="1" applyBorder="1" applyAlignment="1">
      <alignment horizontal="center"/>
    </xf>
    <xf numFmtId="166" fontId="21" fillId="0" borderId="0" xfId="0" applyNumberFormat="1" applyFont="1" applyAlignment="1">
      <alignment horizontal="center"/>
    </xf>
    <xf numFmtId="37" fontId="21" fillId="0" borderId="0" xfId="0" applyNumberFormat="1" applyFont="1"/>
    <xf numFmtId="165" fontId="21" fillId="0" borderId="33" xfId="2" applyNumberFormat="1" applyFont="1" applyBorder="1"/>
    <xf numFmtId="17" fontId="21" fillId="0" borderId="11" xfId="0" applyNumberFormat="1" applyFont="1" applyBorder="1"/>
    <xf numFmtId="169" fontId="21" fillId="0" borderId="33" xfId="2" applyNumberFormat="1" applyFont="1" applyBorder="1"/>
    <xf numFmtId="169" fontId="21" fillId="0" borderId="10" xfId="0" applyNumberFormat="1" applyFont="1" applyBorder="1"/>
    <xf numFmtId="41" fontId="20" fillId="0" borderId="12" xfId="27" applyFont="1" applyBorder="1"/>
    <xf numFmtId="41" fontId="20" fillId="0" borderId="0" xfId="27" applyFont="1" applyAlignment="1">
      <alignment horizontal="right"/>
    </xf>
    <xf numFmtId="41" fontId="21" fillId="0" borderId="0" xfId="27" applyFont="1"/>
    <xf numFmtId="0" fontId="6" fillId="0" borderId="32" xfId="0" applyFont="1" applyBorder="1"/>
    <xf numFmtId="164" fontId="6" fillId="0" borderId="0" xfId="1" applyNumberFormat="1" applyFont="1" applyBorder="1"/>
    <xf numFmtId="164" fontId="6" fillId="0" borderId="1" xfId="1" applyNumberFormat="1" applyFont="1" applyBorder="1"/>
    <xf numFmtId="0" fontId="6" fillId="0" borderId="0" xfId="0" applyFont="1" applyBorder="1"/>
    <xf numFmtId="0" fontId="6" fillId="0" borderId="1" xfId="0" applyFont="1" applyBorder="1"/>
    <xf numFmtId="0" fontId="6" fillId="0" borderId="9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5" fillId="0" borderId="0" xfId="0" applyFont="1"/>
    <xf numFmtId="41" fontId="3" fillId="0" borderId="4" xfId="6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37" fontId="6" fillId="0" borderId="0" xfId="17" applyNumberFormat="1"/>
    <xf numFmtId="0" fontId="3" fillId="0" borderId="0" xfId="0" applyFont="1"/>
    <xf numFmtId="164" fontId="6" fillId="0" borderId="0" xfId="0" applyNumberFormat="1" applyFont="1"/>
    <xf numFmtId="165" fontId="6" fillId="0" borderId="0" xfId="2" applyNumberFormat="1" applyFont="1"/>
    <xf numFmtId="41" fontId="6" fillId="0" borderId="0" xfId="0" applyNumberFormat="1" applyFont="1"/>
    <xf numFmtId="0" fontId="2" fillId="0" borderId="1" xfId="30" applyFont="1" applyBorder="1" applyAlignment="1">
      <alignment wrapText="1"/>
    </xf>
    <xf numFmtId="17" fontId="2" fillId="0" borderId="1" xfId="30" applyNumberFormat="1" applyFont="1" applyBorder="1" applyAlignment="1">
      <alignment horizontal="center" wrapText="1"/>
    </xf>
    <xf numFmtId="164" fontId="2" fillId="0" borderId="1" xfId="31" applyNumberFormat="1" applyFont="1" applyFill="1" applyBorder="1" applyAlignment="1">
      <alignment horizontal="center" wrapText="1"/>
    </xf>
    <xf numFmtId="0" fontId="6" fillId="0" borderId="0" xfId="0" applyFont="1" applyAlignment="1">
      <alignment horizontal="right"/>
    </xf>
    <xf numFmtId="0" fontId="25" fillId="0" borderId="0" xfId="0" applyFont="1" applyAlignment="1">
      <alignment horizontal="center"/>
    </xf>
    <xf numFmtId="0" fontId="2" fillId="0" borderId="0" xfId="30" applyFont="1" applyBorder="1" applyAlignment="1">
      <alignment wrapText="1"/>
    </xf>
    <xf numFmtId="0" fontId="5" fillId="0" borderId="0" xfId="0" applyFont="1" applyBorder="1" applyAlignment="1"/>
    <xf numFmtId="0" fontId="26" fillId="0" borderId="0" xfId="0" applyFont="1" applyAlignment="1">
      <alignment horizontal="right"/>
    </xf>
    <xf numFmtId="0" fontId="26" fillId="0" borderId="0" xfId="0" applyFont="1"/>
    <xf numFmtId="0" fontId="27" fillId="0" borderId="0" xfId="0" applyFont="1"/>
    <xf numFmtId="0" fontId="25" fillId="0" borderId="0" xfId="0" applyFont="1"/>
    <xf numFmtId="0" fontId="17" fillId="0" borderId="0" xfId="0" applyFont="1"/>
    <xf numFmtId="164" fontId="17" fillId="0" borderId="0" xfId="1" applyNumberFormat="1" applyFont="1" applyBorder="1"/>
    <xf numFmtId="164" fontId="17" fillId="0" borderId="0" xfId="0" applyNumberFormat="1" applyFont="1"/>
    <xf numFmtId="0" fontId="17" fillId="0" borderId="0" xfId="0" applyFont="1" applyBorder="1"/>
    <xf numFmtId="0" fontId="17" fillId="0" borderId="0" xfId="0" applyFont="1" applyBorder="1" applyAlignment="1">
      <alignment horizontal="center"/>
    </xf>
    <xf numFmtId="164" fontId="17" fillId="0" borderId="0" xfId="0" applyNumberFormat="1" applyFont="1" applyBorder="1"/>
    <xf numFmtId="0" fontId="6" fillId="0" borderId="7" xfId="0" applyFont="1" applyBorder="1" applyAlignment="1">
      <alignment horizontal="center"/>
    </xf>
    <xf numFmtId="164" fontId="6" fillId="0" borderId="9" xfId="1" applyNumberFormat="1" applyFont="1" applyBorder="1"/>
    <xf numFmtId="164" fontId="6" fillId="0" borderId="10" xfId="1" applyNumberFormat="1" applyFont="1" applyBorder="1"/>
    <xf numFmtId="0" fontId="6" fillId="0" borderId="31" xfId="0" applyFont="1" applyBorder="1"/>
    <xf numFmtId="0" fontId="6" fillId="0" borderId="10" xfId="0" applyFont="1" applyBorder="1"/>
    <xf numFmtId="0" fontId="6" fillId="0" borderId="9" xfId="0" applyFont="1" applyBorder="1"/>
    <xf numFmtId="164" fontId="6" fillId="0" borderId="11" xfId="1" applyNumberFormat="1" applyFont="1" applyBorder="1"/>
    <xf numFmtId="0" fontId="6" fillId="0" borderId="12" xfId="0" applyFont="1" applyBorder="1"/>
    <xf numFmtId="0" fontId="6" fillId="0" borderId="0" xfId="0" applyFont="1" applyBorder="1" applyAlignment="1">
      <alignment horizontal="center"/>
    </xf>
    <xf numFmtId="164" fontId="6" fillId="0" borderId="0" xfId="0" applyNumberFormat="1" applyFont="1" applyBorder="1"/>
    <xf numFmtId="164" fontId="6" fillId="0" borderId="31" xfId="1" applyNumberFormat="1" applyFont="1" applyBorder="1"/>
    <xf numFmtId="0" fontId="6" fillId="0" borderId="3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31" xfId="0" applyFont="1" applyBorder="1" applyAlignment="1">
      <alignment horizontal="center"/>
    </xf>
    <xf numFmtId="0" fontId="2" fillId="0" borderId="0" xfId="0" quotePrefix="1" applyFont="1" applyAlignment="1">
      <alignment horizontal="left"/>
    </xf>
    <xf numFmtId="17" fontId="2" fillId="0" borderId="15" xfId="30" applyNumberFormat="1" applyFont="1" applyBorder="1" applyAlignment="1">
      <alignment horizontal="center" wrapText="1"/>
    </xf>
    <xf numFmtId="164" fontId="2" fillId="0" borderId="15" xfId="31" applyNumberFormat="1" applyFont="1" applyFill="1" applyBorder="1" applyAlignment="1">
      <alignment horizontal="center" wrapText="1"/>
    </xf>
    <xf numFmtId="164" fontId="17" fillId="0" borderId="0" xfId="1" applyNumberFormat="1" applyFont="1"/>
    <xf numFmtId="0" fontId="5" fillId="0" borderId="0" xfId="0" quotePrefix="1" applyNumberFormat="1" applyFont="1" applyAlignment="1">
      <alignment horizontal="center"/>
    </xf>
    <xf numFmtId="0" fontId="5" fillId="0" borderId="0" xfId="0" applyNumberFormat="1" applyFont="1" applyAlignment="1">
      <alignment horizontal="center"/>
    </xf>
    <xf numFmtId="0" fontId="6" fillId="0" borderId="0" xfId="0" applyFont="1" applyAlignment="1">
      <alignment horizontal="left" indent="3"/>
    </xf>
    <xf numFmtId="164" fontId="6" fillId="0" borderId="1" xfId="0" applyNumberFormat="1" applyFont="1" applyBorder="1"/>
    <xf numFmtId="0" fontId="4" fillId="0" borderId="0" xfId="0" applyFont="1"/>
    <xf numFmtId="43" fontId="6" fillId="0" borderId="0" xfId="1" applyFont="1"/>
    <xf numFmtId="0" fontId="5" fillId="0" borderId="31" xfId="0" applyFont="1" applyBorder="1"/>
    <xf numFmtId="0" fontId="5" fillId="0" borderId="31" xfId="0" applyFont="1" applyBorder="1" applyAlignment="1">
      <alignment horizontal="center" wrapText="1"/>
    </xf>
    <xf numFmtId="164" fontId="5" fillId="0" borderId="31" xfId="1" applyNumberFormat="1" applyFont="1" applyBorder="1"/>
    <xf numFmtId="164" fontId="5" fillId="0" borderId="31" xfId="1" applyNumberFormat="1" applyFont="1" applyBorder="1" applyAlignment="1">
      <alignment horizontal="center" wrapText="1"/>
    </xf>
    <xf numFmtId="164" fontId="6" fillId="0" borderId="0" xfId="1" applyNumberFormat="1" applyFont="1" applyFill="1"/>
    <xf numFmtId="164" fontId="6" fillId="0" borderId="1" xfId="1" applyNumberFormat="1" applyFont="1" applyFill="1" applyBorder="1"/>
    <xf numFmtId="0" fontId="5" fillId="0" borderId="31" xfId="0" applyFont="1" applyBorder="1" applyAlignment="1">
      <alignment wrapText="1"/>
    </xf>
    <xf numFmtId="164" fontId="6" fillId="0" borderId="0" xfId="0" applyNumberFormat="1" applyFont="1" applyFill="1"/>
    <xf numFmtId="0" fontId="33" fillId="0" borderId="0" xfId="0" applyFont="1"/>
    <xf numFmtId="0" fontId="11" fillId="0" borderId="0" xfId="0" applyFont="1"/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64" fontId="6" fillId="0" borderId="8" xfId="0" applyNumberFormat="1" applyFont="1" applyBorder="1"/>
    <xf numFmtId="164" fontId="6" fillId="0" borderId="10" xfId="0" applyNumberFormat="1" applyFont="1" applyBorder="1"/>
    <xf numFmtId="0" fontId="6" fillId="0" borderId="1" xfId="0" applyFont="1" applyBorder="1" applyAlignment="1">
      <alignment horizontal="center"/>
    </xf>
    <xf numFmtId="164" fontId="6" fillId="0" borderId="12" xfId="0" applyNumberFormat="1" applyFont="1" applyBorder="1"/>
    <xf numFmtId="41" fontId="6" fillId="0" borderId="7" xfId="0" applyNumberFormat="1" applyFont="1" applyBorder="1"/>
    <xf numFmtId="41" fontId="6" fillId="0" borderId="9" xfId="0" applyNumberFormat="1" applyFont="1" applyBorder="1"/>
    <xf numFmtId="41" fontId="6" fillId="0" borderId="11" xfId="0" applyNumberFormat="1" applyFont="1" applyBorder="1"/>
    <xf numFmtId="0" fontId="17" fillId="0" borderId="0" xfId="0" applyFont="1" applyFill="1" applyBorder="1"/>
    <xf numFmtId="0" fontId="31" fillId="0" borderId="0" xfId="0" applyFont="1" applyFill="1" applyBorder="1" applyAlignment="1">
      <alignment horizontal="center"/>
    </xf>
    <xf numFmtId="0" fontId="30" fillId="0" borderId="0" xfId="0" applyFont="1" applyFill="1" applyBorder="1"/>
    <xf numFmtId="164" fontId="17" fillId="0" borderId="0" xfId="1" applyNumberFormat="1" applyFont="1" applyFill="1" applyBorder="1"/>
    <xf numFmtId="164" fontId="35" fillId="0" borderId="0" xfId="0" applyNumberFormat="1" applyFont="1" applyBorder="1"/>
    <xf numFmtId="164" fontId="17" fillId="0" borderId="0" xfId="0" applyNumberFormat="1" applyFont="1" applyFill="1" applyBorder="1"/>
    <xf numFmtId="0" fontId="28" fillId="0" borderId="0" xfId="0" applyFont="1" applyFill="1" applyBorder="1"/>
    <xf numFmtId="41" fontId="17" fillId="0" borderId="0" xfId="0" applyNumberFormat="1" applyFont="1"/>
    <xf numFmtId="41" fontId="17" fillId="0" borderId="0" xfId="0" applyNumberFormat="1" applyFont="1" applyFill="1" applyBorder="1"/>
    <xf numFmtId="0" fontId="17" fillId="0" borderId="0" xfId="0" applyFont="1" applyAlignment="1">
      <alignment horizontal="right"/>
    </xf>
    <xf numFmtId="0" fontId="35" fillId="0" borderId="0" xfId="0" applyFont="1" applyBorder="1"/>
    <xf numFmtId="167" fontId="17" fillId="0" borderId="0" xfId="0" applyNumberFormat="1" applyFont="1" applyBorder="1"/>
    <xf numFmtId="0" fontId="36" fillId="0" borderId="0" xfId="0" applyFont="1"/>
    <xf numFmtId="164" fontId="36" fillId="0" borderId="0" xfId="0" applyNumberFormat="1" applyFont="1"/>
    <xf numFmtId="164" fontId="36" fillId="0" borderId="0" xfId="0" applyNumberFormat="1" applyFont="1" applyBorder="1"/>
    <xf numFmtId="0" fontId="6" fillId="0" borderId="0" xfId="0" applyFont="1" applyFill="1"/>
    <xf numFmtId="164" fontId="6" fillId="0" borderId="0" xfId="0" applyNumberFormat="1" applyFont="1" applyFill="1" applyBorder="1"/>
    <xf numFmtId="164" fontId="3" fillId="0" borderId="0" xfId="0" applyNumberFormat="1" applyFont="1" applyFill="1"/>
    <xf numFmtId="41" fontId="6" fillId="0" borderId="1" xfId="0" applyNumberFormat="1" applyFont="1" applyFill="1" applyBorder="1"/>
    <xf numFmtId="164" fontId="6" fillId="0" borderId="1" xfId="0" applyNumberFormat="1" applyFont="1" applyFill="1" applyBorder="1"/>
    <xf numFmtId="41" fontId="6" fillId="0" borderId="0" xfId="0" applyNumberFormat="1" applyFont="1" applyFill="1"/>
    <xf numFmtId="0" fontId="25" fillId="0" borderId="0" xfId="0" applyFont="1" applyAlignment="1">
      <alignment horizontal="right"/>
    </xf>
    <xf numFmtId="165" fontId="6" fillId="0" borderId="0" xfId="2" applyNumberFormat="1" applyFont="1" applyAlignment="1">
      <alignment horizontal="center"/>
    </xf>
    <xf numFmtId="0" fontId="6" fillId="0" borderId="0" xfId="0" applyFont="1" applyFill="1" applyBorder="1"/>
    <xf numFmtId="0" fontId="27" fillId="0" borderId="0" xfId="0" applyFont="1" applyAlignment="1">
      <alignment horizontal="left" indent="6"/>
    </xf>
    <xf numFmtId="0" fontId="6" fillId="0" borderId="0" xfId="0" applyFont="1" applyAlignment="1">
      <alignment horizontal="left" indent="6"/>
    </xf>
    <xf numFmtId="0" fontId="6" fillId="0" borderId="0" xfId="0" applyFont="1" applyFill="1" applyAlignment="1">
      <alignment horizontal="left" indent="6"/>
    </xf>
    <xf numFmtId="0" fontId="27" fillId="0" borderId="0" xfId="0" applyFont="1" applyFill="1" applyAlignment="1">
      <alignment horizontal="left" indent="6"/>
    </xf>
    <xf numFmtId="164" fontId="6" fillId="0" borderId="32" xfId="0" applyNumberFormat="1" applyFont="1" applyBorder="1"/>
    <xf numFmtId="164" fontId="6" fillId="0" borderId="33" xfId="0" applyNumberFormat="1" applyFont="1" applyBorder="1"/>
    <xf numFmtId="0" fontId="5" fillId="0" borderId="1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37" fillId="0" borderId="0" xfId="0" applyFont="1" applyAlignment="1">
      <alignment horizontal="right"/>
    </xf>
    <xf numFmtId="0" fontId="37" fillId="0" borderId="0" xfId="0" applyFont="1"/>
    <xf numFmtId="164" fontId="6" fillId="0" borderId="31" xfId="0" applyNumberFormat="1" applyFont="1" applyFill="1" applyBorder="1"/>
    <xf numFmtId="0" fontId="14" fillId="0" borderId="0" xfId="0" applyFont="1"/>
    <xf numFmtId="0" fontId="39" fillId="0" borderId="0" xfId="0" applyFont="1"/>
    <xf numFmtId="0" fontId="4" fillId="0" borderId="0" xfId="3" applyFont="1" applyFill="1"/>
    <xf numFmtId="164" fontId="3" fillId="0" borderId="20" xfId="5" applyNumberFormat="1" applyFont="1" applyFill="1" applyBorder="1" applyProtection="1">
      <protection locked="0"/>
    </xf>
    <xf numFmtId="164" fontId="3" fillId="0" borderId="15" xfId="5" applyNumberFormat="1" applyFont="1" applyFill="1" applyBorder="1" applyProtection="1">
      <protection locked="0"/>
    </xf>
    <xf numFmtId="164" fontId="3" fillId="0" borderId="21" xfId="5" applyNumberFormat="1" applyFont="1" applyFill="1" applyBorder="1" applyProtection="1">
      <protection locked="0"/>
    </xf>
    <xf numFmtId="164" fontId="3" fillId="0" borderId="24" xfId="5" applyNumberFormat="1" applyFont="1" applyFill="1" applyBorder="1" applyProtection="1">
      <protection locked="0"/>
    </xf>
    <xf numFmtId="164" fontId="3" fillId="0" borderId="25" xfId="5" applyNumberFormat="1" applyFont="1" applyFill="1" applyBorder="1" applyAlignment="1"/>
    <xf numFmtId="164" fontId="3" fillId="0" borderId="26" xfId="5" applyNumberFormat="1" applyFont="1" applyFill="1" applyBorder="1" applyAlignment="1"/>
    <xf numFmtId="164" fontId="3" fillId="0" borderId="27" xfId="5" applyNumberFormat="1" applyFont="1" applyFill="1" applyBorder="1" applyAlignment="1"/>
    <xf numFmtId="164" fontId="3" fillId="0" borderId="20" xfId="5" quotePrefix="1" applyNumberFormat="1" applyFont="1" applyFill="1" applyBorder="1" applyAlignment="1" applyProtection="1">
      <alignment horizontal="left"/>
      <protection locked="0"/>
    </xf>
    <xf numFmtId="164" fontId="3" fillId="0" borderId="15" xfId="5" quotePrefix="1" applyNumberFormat="1" applyFont="1" applyFill="1" applyBorder="1" applyAlignment="1" applyProtection="1">
      <alignment horizontal="left"/>
      <protection locked="0"/>
    </xf>
    <xf numFmtId="164" fontId="3" fillId="0" borderId="21" xfId="5" quotePrefix="1" applyNumberFormat="1" applyFont="1" applyFill="1" applyBorder="1" applyAlignment="1" applyProtection="1">
      <alignment horizontal="left"/>
      <protection locked="0"/>
    </xf>
    <xf numFmtId="164" fontId="3" fillId="0" borderId="25" xfId="5" applyNumberFormat="1" applyFont="1" applyFill="1" applyBorder="1" applyAlignment="1">
      <alignment vertical="center"/>
    </xf>
    <xf numFmtId="164" fontId="3" fillId="0" borderId="26" xfId="5" applyNumberFormat="1" applyFont="1" applyFill="1" applyBorder="1" applyAlignment="1">
      <alignment vertical="center"/>
    </xf>
    <xf numFmtId="164" fontId="3" fillId="0" borderId="27" xfId="5" applyNumberFormat="1" applyFont="1" applyFill="1" applyBorder="1" applyAlignment="1">
      <alignment vertical="center"/>
    </xf>
    <xf numFmtId="164" fontId="3" fillId="0" borderId="28" xfId="5" applyNumberFormat="1" applyFont="1" applyFill="1" applyBorder="1"/>
    <xf numFmtId="164" fontId="3" fillId="0" borderId="28" xfId="5" applyNumberFormat="1" applyFont="1" applyFill="1" applyBorder="1" applyProtection="1">
      <protection locked="0"/>
    </xf>
    <xf numFmtId="164" fontId="3" fillId="0" borderId="29" xfId="5" applyNumberFormat="1" applyFont="1" applyFill="1" applyBorder="1" applyProtection="1">
      <protection locked="0"/>
    </xf>
    <xf numFmtId="164" fontId="3" fillId="0" borderId="30" xfId="5" applyNumberFormat="1" applyFont="1" applyFill="1" applyBorder="1" applyProtection="1">
      <protection locked="0"/>
    </xf>
    <xf numFmtId="164" fontId="3" fillId="0" borderId="18" xfId="3" applyNumberFormat="1" applyFont="1" applyFill="1" applyBorder="1"/>
    <xf numFmtId="164" fontId="3" fillId="0" borderId="0" xfId="3" applyNumberFormat="1" applyFont="1" applyFill="1" applyBorder="1"/>
    <xf numFmtId="164" fontId="3" fillId="0" borderId="19" xfId="3" applyNumberFormat="1" applyFont="1" applyFill="1" applyBorder="1"/>
    <xf numFmtId="164" fontId="3" fillId="0" borderId="22" xfId="5" quotePrefix="1" applyNumberFormat="1" applyFont="1" applyFill="1" applyBorder="1" applyAlignment="1" applyProtection="1">
      <alignment horizontal="left"/>
      <protection locked="0"/>
    </xf>
    <xf numFmtId="164" fontId="3" fillId="0" borderId="1" xfId="5" quotePrefix="1" applyNumberFormat="1" applyFont="1" applyFill="1" applyBorder="1" applyAlignment="1" applyProtection="1">
      <alignment horizontal="left"/>
      <protection locked="0"/>
    </xf>
    <xf numFmtId="164" fontId="3" fillId="0" borderId="23" xfId="5" quotePrefix="1" applyNumberFormat="1" applyFont="1" applyFill="1" applyBorder="1" applyAlignment="1" applyProtection="1">
      <alignment horizontal="left"/>
      <protection locked="0"/>
    </xf>
    <xf numFmtId="0" fontId="3" fillId="0" borderId="0" xfId="3" applyFont="1" applyFill="1"/>
    <xf numFmtId="0" fontId="11" fillId="0" borderId="0" xfId="0" applyFont="1" applyAlignment="1">
      <alignment horizontal="left"/>
    </xf>
    <xf numFmtId="0" fontId="17" fillId="0" borderId="0" xfId="0" applyFont="1" applyBorder="1" applyAlignment="1">
      <alignment horizontal="center"/>
    </xf>
    <xf numFmtId="164" fontId="6" fillId="5" borderId="0" xfId="0" applyNumberFormat="1" applyFont="1" applyFill="1"/>
    <xf numFmtId="164" fontId="6" fillId="6" borderId="0" xfId="0" applyNumberFormat="1" applyFont="1" applyFill="1"/>
    <xf numFmtId="164" fontId="6" fillId="0" borderId="11" xfId="1" applyNumberFormat="1" applyFont="1" applyFill="1" applyBorder="1"/>
    <xf numFmtId="0" fontId="6" fillId="0" borderId="0" xfId="0" quotePrefix="1" applyFont="1"/>
    <xf numFmtId="164" fontId="6" fillId="0" borderId="0" xfId="1" applyNumberFormat="1" applyFont="1" applyAlignment="1">
      <alignment horizontal="right"/>
    </xf>
    <xf numFmtId="164" fontId="41" fillId="0" borderId="0" xfId="1" applyNumberFormat="1" applyFont="1"/>
    <xf numFmtId="0" fontId="3" fillId="0" borderId="0" xfId="3" applyAlignment="1">
      <alignment horizontal="left" wrapText="1"/>
    </xf>
    <xf numFmtId="0" fontId="5" fillId="0" borderId="13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6" fillId="0" borderId="35" xfId="17" applyBorder="1" applyAlignment="1">
      <alignment horizontal="left" vertical="top" wrapText="1"/>
    </xf>
    <xf numFmtId="0" fontId="6" fillId="0" borderId="36" xfId="17" applyBorder="1" applyAlignment="1">
      <alignment horizontal="left" vertical="top" wrapText="1"/>
    </xf>
    <xf numFmtId="0" fontId="6" fillId="0" borderId="0" xfId="17" applyBorder="1" applyAlignment="1">
      <alignment horizontal="left" vertical="top" wrapText="1"/>
    </xf>
    <xf numFmtId="0" fontId="6" fillId="0" borderId="19" xfId="17" applyBorder="1" applyAlignment="1">
      <alignment horizontal="left" vertical="top" wrapText="1"/>
    </xf>
    <xf numFmtId="0" fontId="6" fillId="0" borderId="29" xfId="17" applyBorder="1" applyAlignment="1">
      <alignment horizontal="left" vertical="top" wrapText="1"/>
    </xf>
    <xf numFmtId="0" fontId="6" fillId="0" borderId="30" xfId="17" applyBorder="1" applyAlignment="1">
      <alignment horizontal="left" vertical="top" wrapText="1"/>
    </xf>
    <xf numFmtId="0" fontId="6" fillId="0" borderId="31" xfId="0" applyFont="1" applyFill="1" applyBorder="1"/>
    <xf numFmtId="0" fontId="6" fillId="0" borderId="31" xfId="0" applyFont="1" applyFill="1" applyBorder="1" applyAlignment="1">
      <alignment horizontal="center"/>
    </xf>
    <xf numFmtId="0" fontId="0" fillId="0" borderId="0" xfId="0" applyFill="1"/>
    <xf numFmtId="164" fontId="4" fillId="0" borderId="31" xfId="1" applyNumberFormat="1" applyFont="1" applyFill="1" applyBorder="1"/>
    <xf numFmtId="164" fontId="4" fillId="0" borderId="31" xfId="1" applyNumberFormat="1" applyFont="1" applyBorder="1"/>
    <xf numFmtId="164" fontId="42" fillId="0" borderId="0" xfId="5" applyNumberFormat="1" applyFont="1" applyFill="1"/>
    <xf numFmtId="164" fontId="43" fillId="0" borderId="15" xfId="3" applyNumberFormat="1" applyFont="1" applyBorder="1"/>
    <xf numFmtId="164" fontId="43" fillId="0" borderId="0" xfId="5" applyNumberFormat="1" applyFont="1" applyFill="1" applyBorder="1"/>
    <xf numFmtId="164" fontId="44" fillId="0" borderId="0" xfId="5" applyNumberFormat="1" applyFont="1" applyFill="1" applyBorder="1" applyAlignment="1" applyProtection="1">
      <alignment horizontal="left"/>
      <protection locked="0"/>
    </xf>
    <xf numFmtId="164" fontId="44" fillId="0" borderId="0" xfId="5" applyNumberFormat="1" applyFont="1" applyFill="1" applyBorder="1" applyProtection="1">
      <protection locked="0"/>
    </xf>
    <xf numFmtId="164" fontId="44" fillId="0" borderId="15" xfId="5" applyNumberFormat="1" applyFont="1" applyFill="1" applyBorder="1" applyProtection="1">
      <protection locked="0"/>
    </xf>
    <xf numFmtId="164" fontId="44" fillId="0" borderId="26" xfId="5" applyNumberFormat="1" applyFont="1" applyFill="1" applyBorder="1" applyAlignment="1"/>
    <xf numFmtId="165" fontId="44" fillId="0" borderId="0" xfId="14" applyNumberFormat="1" applyFont="1" applyFill="1" applyBorder="1" applyAlignment="1">
      <alignment vertical="center"/>
    </xf>
    <xf numFmtId="164" fontId="44" fillId="0" borderId="0" xfId="3" applyNumberFormat="1" applyFont="1" applyFill="1" applyBorder="1"/>
    <xf numFmtId="164" fontId="44" fillId="0" borderId="0" xfId="5" applyNumberFormat="1" applyFont="1" applyFill="1" applyBorder="1" applyAlignment="1">
      <alignment vertical="center"/>
    </xf>
    <xf numFmtId="164" fontId="44" fillId="0" borderId="29" xfId="5" applyNumberFormat="1" applyFont="1" applyFill="1" applyBorder="1" applyProtection="1">
      <protection locked="0"/>
    </xf>
    <xf numFmtId="164" fontId="44" fillId="0" borderId="0" xfId="1" applyNumberFormat="1" applyFont="1" applyFill="1"/>
    <xf numFmtId="164" fontId="44" fillId="0" borderId="0" xfId="1" applyNumberFormat="1" applyFont="1"/>
    <xf numFmtId="164" fontId="44" fillId="0" borderId="0" xfId="0" applyNumberFormat="1" applyFont="1"/>
    <xf numFmtId="0" fontId="44" fillId="0" borderId="1" xfId="0" applyFont="1" applyBorder="1"/>
    <xf numFmtId="164" fontId="44" fillId="0" borderId="1" xfId="1" applyNumberFormat="1" applyFont="1" applyBorder="1"/>
    <xf numFmtId="10" fontId="44" fillId="0" borderId="0" xfId="2" applyNumberFormat="1" applyFont="1"/>
    <xf numFmtId="164" fontId="44" fillId="0" borderId="31" xfId="1" applyNumberFormat="1" applyFont="1" applyFill="1" applyBorder="1"/>
    <xf numFmtId="164" fontId="45" fillId="0" borderId="31" xfId="1" applyNumberFormat="1" applyFont="1" applyBorder="1"/>
    <xf numFmtId="164" fontId="44" fillId="0" borderId="31" xfId="1" applyNumberFormat="1" applyFont="1" applyBorder="1"/>
    <xf numFmtId="164" fontId="5" fillId="0" borderId="0" xfId="1" applyNumberFormat="1" applyFont="1" applyAlignment="1">
      <alignment horizontal="right"/>
    </xf>
    <xf numFmtId="164" fontId="45" fillId="0" borderId="0" xfId="1" applyNumberFormat="1" applyFont="1"/>
    <xf numFmtId="164" fontId="14" fillId="0" borderId="0" xfId="1" applyNumberFormat="1" applyFont="1"/>
    <xf numFmtId="164" fontId="14" fillId="0" borderId="0" xfId="3" applyNumberFormat="1" applyFont="1"/>
  </cellXfs>
  <cellStyles count="33">
    <cellStyle name="Comma" xfId="1" builtinId="3"/>
    <cellStyle name="Comma [0]" xfId="27" builtinId="6"/>
    <cellStyle name="Comma [0] 3" xfId="16" xr:uid="{D180A897-3032-4522-B3EE-D50770852E2B}"/>
    <cellStyle name="Comma 10 6" xfId="19" xr:uid="{0AEB8AD9-2CC6-463A-A65B-5D39F4DE3FD4}"/>
    <cellStyle name="Comma 2" xfId="5" xr:uid="{12755D62-85AC-4223-924A-33F345E7211F}"/>
    <cellStyle name="Comma 2 2" xfId="6" xr:uid="{2D505B92-6668-41DB-A4DA-32D795930D7F}"/>
    <cellStyle name="Comma 2 2 2" xfId="29" xr:uid="{86EF4A3B-8A02-43B9-82BD-EEF4BD4C49E8}"/>
    <cellStyle name="Comma 3" xfId="9" xr:uid="{7A32A721-7815-47E4-91E3-DCF290EE68BF}"/>
    <cellStyle name="Comma 6 2" xfId="31" xr:uid="{63FA6D4D-BE6A-40EA-8658-7D7204825318}"/>
    <cellStyle name="Normal" xfId="0" builtinId="0"/>
    <cellStyle name="Normal 11 3" xfId="3" xr:uid="{F9B1837C-5964-465A-B98C-7F6D2080DF00}"/>
    <cellStyle name="Normal 15" xfId="17" xr:uid="{D4A1E3EE-6877-43D7-AE01-856FB70620EF}"/>
    <cellStyle name="Normal 16" xfId="26" xr:uid="{80668DC8-389B-457E-8509-22E9938E796D}"/>
    <cellStyle name="Normal 18" xfId="24" xr:uid="{130C8D4E-6371-4453-AE30-417B0AFFB40D}"/>
    <cellStyle name="Normal 19" xfId="23" xr:uid="{F45AFD4D-ED26-454D-BA7C-00EF9F53E9A2}"/>
    <cellStyle name="Normal 2" xfId="7" xr:uid="{19ADD39C-C829-4765-8E01-D60663AE5FAC}"/>
    <cellStyle name="Normal 2 2" xfId="8" xr:uid="{8C9946C7-90B8-4188-91BA-1DEF641B77FD}"/>
    <cellStyle name="Normal 2 3" xfId="21" xr:uid="{43F10CDB-C8E2-4B57-A479-E1DCEFC8041E}"/>
    <cellStyle name="Normal 22" xfId="25" xr:uid="{1FC9947D-431F-4E08-97DF-A983DF9C8180}"/>
    <cellStyle name="Normal 3 2" xfId="32" xr:uid="{A10EB627-54E6-4B05-9631-AF461D3AA03B}"/>
    <cellStyle name="Normal 4 2 2" xfId="15" xr:uid="{23AF58BE-AF87-40C1-AC3D-6018D8E3857B}"/>
    <cellStyle name="Normal 4 3" xfId="30" xr:uid="{6E7B5C20-3890-4019-BA42-52C90D35BF38}"/>
    <cellStyle name="Normal 6" xfId="28" xr:uid="{C4EE231F-ECB5-4234-8DA1-C3C1B8A9C024}"/>
    <cellStyle name="Normal_Adjustment Template" xfId="20" xr:uid="{47072F26-E1C5-4878-A1FA-6C8DC51FEA8E}"/>
    <cellStyle name="Normal_Copy of File50007" xfId="18" xr:uid="{B0457AC8-EE36-4ABB-A925-763E751A789D}"/>
    <cellStyle name="Percent" xfId="2" builtinId="5"/>
    <cellStyle name="Percent 10 3" xfId="22" xr:uid="{DF4BC9F2-80EA-4482-817D-888016465005}"/>
    <cellStyle name="Percent 2" xfId="10" xr:uid="{C3FC6A1D-A5D6-40A0-9E33-26CDFC951D51}"/>
    <cellStyle name="Percent 2 2" xfId="4" xr:uid="{0D02DDC0-46F2-46D2-9097-AFC0A3774E0E}"/>
    <cellStyle name="Percent 3" xfId="14" xr:uid="{0508670E-8C7C-470A-B7DA-F1BBC4C1B2BD}"/>
    <cellStyle name="SAPDataCell" xfId="11" xr:uid="{21A51CC5-5A8E-4B61-B897-D83D1CB6820F}"/>
    <cellStyle name="SAPDimensionCell" xfId="13" xr:uid="{92075799-1748-4FBE-B31D-C47D9C75E8BD}"/>
    <cellStyle name="SAPMemberCell" xfId="12" xr:uid="{EC14A0C5-39AB-4E61-8848-FE50787C70C7}"/>
  </cellStyles>
  <dxfs count="3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colors>
    <mruColors>
      <color rgb="FF9966FF"/>
      <color rgb="FFFFCCFF"/>
      <color rgb="FFFF99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9" Type="http://schemas.openxmlformats.org/officeDocument/2006/relationships/calcChain" Target="calcChain.xml"/><Relationship Id="rId21" Type="http://schemas.openxmlformats.org/officeDocument/2006/relationships/externalLink" Target="externalLinks/externalLink8.xml"/><Relationship Id="rId34" Type="http://schemas.openxmlformats.org/officeDocument/2006/relationships/externalLink" Target="externalLinks/externalLink21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externalLink" Target="externalLinks/externalLink16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32" Type="http://schemas.openxmlformats.org/officeDocument/2006/relationships/externalLink" Target="externalLinks/externalLink19.xml"/><Relationship Id="rId37" Type="http://schemas.openxmlformats.org/officeDocument/2006/relationships/styles" Target="style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15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31" Type="http://schemas.openxmlformats.org/officeDocument/2006/relationships/externalLink" Target="externalLinks/externalLink1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externalLink" Target="externalLinks/externalLink14.xml"/><Relationship Id="rId30" Type="http://schemas.openxmlformats.org/officeDocument/2006/relationships/externalLink" Target="externalLinks/externalLink17.xml"/><Relationship Id="rId35" Type="http://schemas.openxmlformats.org/officeDocument/2006/relationships/externalLink" Target="externalLinks/externalLink22.xml"/><Relationship Id="rId43" Type="http://schemas.openxmlformats.org/officeDocument/2006/relationships/customXml" Target="../customXml/item4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33" Type="http://schemas.openxmlformats.org/officeDocument/2006/relationships/externalLink" Target="externalLinks/externalLink20.xml"/><Relationship Id="rId38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4092.000\Local%20Settings\Temporary%20Internet%20Files\OLK1AC\RECOV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QP3\ClientFiles\ExcelWKS\MidAmericanFlexPlan%201-30-04%20NNG%20APBO%20fixe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Startup" Target="Documents%20and%20Settings/t75440.MEC/Local%20Settings/Temporary%20Internet%20Files/OLKB9/Ceb_FC_0201graph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70596\Local%20Settings\Temporary%20Internet%20Files\OLK3B\ORA%20Workpaper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OUTLOOK\12&amp;0_COU\96ACTUA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yeh001\My%20Documents\Agouron\Ready%20for%20Review\Executive%20Summary\california%20Agouron%20Supermodel@10%2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Fechner\Files\FILES\BONDS\INTPAY99x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Wy0902\EAST%20Blocking%209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Tax\Pacificorp%20Tax\PowerTax\2013\Tax%20Return\1%20-%20Case%20Mgmt\Case%20712%20Mgmt%20Maste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M\CPRITFin\009_2004%20Plan\012_Mar04\Results%20Mar04\CBS%20Financial%20Mar04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PDXCO\SHR02\REA\REG\zregulation\ariel\Non-Confidential%20Workpapers\230172-PAC-SLC-14-8ProFormaJBUnits12AdditionsYear2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PDXCO\SHR02\REA\REG\zregulation\ariel\Non-Confidential%20Workpapers\230172-PAC-SLC-14-7ProFormaJBUnits34andColstrip4AdditionsYear2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14-5JimBridgerMineRateBaseYear2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10-3ColstripUnit3Removal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10-2JimBridgerSCRsRemoval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10-8FlyAshRevenuesYear1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13-2GeneralWageIncreaseProFormaYear2%20(R)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14-6ExistingCoalFiredGenerationAssetsYear2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4-2-4-3GeneralWageIncreaseYear1%20(R)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RevReqSummaryModelWA2023GRCYear2ERRATA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WAJAM2023GR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deBySide"/>
      <sheetName val="AccountingDetail"/>
      <sheetName val="Pension Allocation"/>
      <sheetName val="Nonunion Ret Welfare Alloc"/>
      <sheetName val="Not Applicable"/>
      <sheetName val="ContribDetail"/>
      <sheetName val="QuarterlyDetail"/>
      <sheetName val="STable"/>
      <sheetName val="Notes"/>
      <sheetName val="Home"/>
      <sheetName val="Summary"/>
      <sheetName val="3way"/>
      <sheetName val="Monthly"/>
      <sheetName val="ADJ"/>
      <sheetName val="S"/>
      <sheetName val="S1"/>
      <sheetName val="S2"/>
      <sheetName val="S3"/>
      <sheetName val="S4"/>
      <sheetName val="WORKD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2">
          <cell r="A2">
            <v>1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B"/>
      <sheetName val="C2001 forecast"/>
      <sheetName val="C2000 actuals"/>
      <sheetName val="C2001 budget"/>
      <sheetName val="Revenue-monthly"/>
      <sheetName val="Site Costs-monthly"/>
      <sheetName val="Other Operating Costs-monthly"/>
      <sheetName val="Financial Costs-monthly"/>
      <sheetName val="Net Income-monthly"/>
      <sheetName val="Expenses-annual"/>
      <sheetName val="Expenses-annual (2)"/>
      <sheetName val="Site Cost-annual"/>
      <sheetName val="Site Cost-annual (2)"/>
      <sheetName val="SGA-annual"/>
      <sheetName val="SGA-annual (2)"/>
      <sheetName val="Other Operating Costs-annual"/>
      <sheetName val="Other Operating Costs-annua (2)"/>
      <sheetName val="CEBU - x"/>
      <sheetName val="UPLOAD"/>
      <sheetName val="Module1"/>
      <sheetName val="Module2"/>
      <sheetName val="Module3"/>
      <sheetName val="Target to Consol (Data Input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2">
          <cell r="A12" t="str">
            <v>Jan</v>
          </cell>
        </row>
        <row r="13">
          <cell r="A13" t="str">
            <v>Feb</v>
          </cell>
        </row>
        <row r="14">
          <cell r="A14" t="str">
            <v>Mar</v>
          </cell>
        </row>
        <row r="15">
          <cell r="A15" t="str">
            <v>Apr</v>
          </cell>
        </row>
        <row r="16">
          <cell r="A16" t="str">
            <v>May</v>
          </cell>
        </row>
        <row r="17">
          <cell r="A17" t="str">
            <v>Jun</v>
          </cell>
        </row>
        <row r="18">
          <cell r="A18" t="str">
            <v>Jul</v>
          </cell>
        </row>
        <row r="19">
          <cell r="A19" t="str">
            <v>Aug</v>
          </cell>
        </row>
        <row r="20">
          <cell r="A20" t="str">
            <v>Sep</v>
          </cell>
        </row>
        <row r="21">
          <cell r="A21" t="str">
            <v>Oct</v>
          </cell>
        </row>
        <row r="22">
          <cell r="A22" t="str">
            <v>Nov</v>
          </cell>
        </row>
        <row r="23">
          <cell r="A23" t="str">
            <v>Dec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"/>
      <sheetName val="Title"/>
      <sheetName val="Contents"/>
      <sheetName val="DE Income"/>
      <sheetName val="EPS"/>
      <sheetName val="Revenues"/>
      <sheetName val="Sales"/>
      <sheetName val="Table"/>
      <sheetName val="1&amp;2"/>
      <sheetName val="3"/>
      <sheetName val="4"/>
      <sheetName val="5"/>
      <sheetName val="6"/>
      <sheetName val="7"/>
      <sheetName val="8"/>
      <sheetName val="9"/>
      <sheetName val="Construct Exp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er Guide"/>
      <sheetName val="Menu"/>
      <sheetName val="Macro Tables"/>
      <sheetName val="Print"/>
      <sheetName val="Exec Summ Grph"/>
      <sheetName val="Model"/>
      <sheetName val="AIRC"/>
      <sheetName val="Gross_Rec"/>
      <sheetName val="Total CA QREs"/>
      <sheetName val="CA Wages"/>
      <sheetName val="QRE's"/>
      <sheetName val="QRE Charts"/>
      <sheetName val="Comparison"/>
      <sheetName val="Sens_Model"/>
      <sheetName val="Sens_G_R"/>
      <sheetName val="Sen_GR_Factor"/>
      <sheetName val="Sens_QRE's"/>
      <sheetName val="Sens_QRE_Factor"/>
      <sheetName val="ORIGINAL CLAIM"/>
      <sheetName val="PHASE II"/>
      <sheetName val="B_U_3"/>
      <sheetName val="B_U_4"/>
      <sheetName val="B_U_5"/>
      <sheetName val="B_U_6"/>
      <sheetName val="B_U_7"/>
      <sheetName val="B_U_8"/>
      <sheetName val="B_U_9"/>
      <sheetName val="B_U_10"/>
      <sheetName val="B_U_11"/>
      <sheetName val="B_U_12"/>
      <sheetName val="B_U_13"/>
      <sheetName val="B_U_14"/>
      <sheetName val="B_U_15"/>
      <sheetName val="B_U_16"/>
      <sheetName val="B_U_17"/>
      <sheetName val="B_U_18"/>
      <sheetName val="B_U_19"/>
      <sheetName val="B_U_20"/>
      <sheetName val="B_U_21"/>
      <sheetName val="B_U_22"/>
      <sheetName val="B_U_23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/>
      <sheetData sheetId="9"/>
      <sheetData sheetId="10" refreshError="1">
        <row r="1">
          <cell r="Q1">
            <v>36599.437053703703</v>
          </cell>
        </row>
        <row r="99">
          <cell r="D99">
            <v>11087</v>
          </cell>
          <cell r="E99">
            <v>50015</v>
          </cell>
          <cell r="F99">
            <v>323590</v>
          </cell>
          <cell r="G99">
            <v>899647</v>
          </cell>
          <cell r="H99">
            <v>2067727</v>
          </cell>
          <cell r="I99">
            <v>2741619</v>
          </cell>
          <cell r="J99">
            <v>2299558.0019999999</v>
          </cell>
          <cell r="K99">
            <v>3542463.7879999997</v>
          </cell>
          <cell r="L99">
            <v>5126210.5599999996</v>
          </cell>
          <cell r="M99">
            <v>7134127.5369999995</v>
          </cell>
          <cell r="N99">
            <v>9257454.4570000004</v>
          </cell>
          <cell r="O99">
            <v>17917881</v>
          </cell>
          <cell r="P99">
            <v>29938649</v>
          </cell>
          <cell r="Q99">
            <v>50930323</v>
          </cell>
          <cell r="R99">
            <v>49405882</v>
          </cell>
        </row>
        <row r="100">
          <cell r="D100">
            <v>5472</v>
          </cell>
          <cell r="E100">
            <v>12863</v>
          </cell>
          <cell r="F100">
            <v>125054</v>
          </cell>
          <cell r="G100">
            <v>256771</v>
          </cell>
          <cell r="H100">
            <v>535563</v>
          </cell>
          <cell r="I100">
            <v>808521</v>
          </cell>
          <cell r="J100">
            <v>710184</v>
          </cell>
          <cell r="K100">
            <v>1384519</v>
          </cell>
          <cell r="L100">
            <v>1667156</v>
          </cell>
          <cell r="M100">
            <v>2705568</v>
          </cell>
          <cell r="N100">
            <v>7703244</v>
          </cell>
          <cell r="O100">
            <v>13677482.189999999</v>
          </cell>
          <cell r="P100">
            <v>2205524.4</v>
          </cell>
          <cell r="Q100">
            <v>6259486.3000000007</v>
          </cell>
          <cell r="R100">
            <v>7163698.8000000007</v>
          </cell>
        </row>
        <row r="101">
          <cell r="D101">
            <v>3568</v>
          </cell>
          <cell r="E101">
            <v>260</v>
          </cell>
          <cell r="F101">
            <v>51757</v>
          </cell>
          <cell r="G101">
            <v>172998</v>
          </cell>
          <cell r="H101">
            <v>770702</v>
          </cell>
          <cell r="I101">
            <v>331819</v>
          </cell>
          <cell r="J101">
            <v>444501.85</v>
          </cell>
          <cell r="K101">
            <v>642759</v>
          </cell>
          <cell r="L101">
            <v>1134479.4500000002</v>
          </cell>
          <cell r="M101">
            <v>1773835.05</v>
          </cell>
          <cell r="N101">
            <v>2746436.55</v>
          </cell>
          <cell r="O101">
            <v>4339757.7677999996</v>
          </cell>
          <cell r="P101">
            <v>-6665215.1612052238</v>
          </cell>
          <cell r="Q101">
            <v>967538.2274999998</v>
          </cell>
          <cell r="R101">
            <v>-120871.49749999781</v>
          </cell>
        </row>
      </sheetData>
      <sheetData sheetId="11" refreshError="1">
        <row r="216">
          <cell r="D216">
            <v>1984</v>
          </cell>
        </row>
        <row r="222">
          <cell r="D222">
            <v>1984</v>
          </cell>
          <cell r="E222">
            <v>1985</v>
          </cell>
          <cell r="F222">
            <v>1986</v>
          </cell>
          <cell r="G222">
            <v>1987</v>
          </cell>
          <cell r="H222">
            <v>1988</v>
          </cell>
          <cell r="I222">
            <v>1989</v>
          </cell>
          <cell r="J222">
            <v>1990</v>
          </cell>
          <cell r="K222">
            <v>1991</v>
          </cell>
          <cell r="L222">
            <v>1992</v>
          </cell>
          <cell r="M222">
            <v>1993</v>
          </cell>
          <cell r="N222">
            <v>1994</v>
          </cell>
          <cell r="O222">
            <v>1995</v>
          </cell>
          <cell r="P222">
            <v>1996</v>
          </cell>
          <cell r="Q222">
            <v>1997</v>
          </cell>
          <cell r="R222">
            <v>1998</v>
          </cell>
        </row>
        <row r="223">
          <cell r="D223">
            <v>11.087</v>
          </cell>
          <cell r="E223">
            <v>50.015000000000001</v>
          </cell>
          <cell r="F223">
            <v>323.58999999999997</v>
          </cell>
          <cell r="G223">
            <v>899.64700000000005</v>
          </cell>
          <cell r="H223">
            <v>2067.7269999999999</v>
          </cell>
          <cell r="I223">
            <v>2741.6190000000001</v>
          </cell>
          <cell r="J223">
            <v>2299.5580019999998</v>
          </cell>
          <cell r="K223">
            <v>3542.4637879999996</v>
          </cell>
          <cell r="L223">
            <v>5126.2105599999995</v>
          </cell>
          <cell r="M223">
            <v>7134.1275369999994</v>
          </cell>
          <cell r="N223">
            <v>9257.4544569999998</v>
          </cell>
          <cell r="O223">
            <v>17917.881000000001</v>
          </cell>
          <cell r="P223">
            <v>29938.649000000001</v>
          </cell>
          <cell r="Q223">
            <v>50930.322999999997</v>
          </cell>
          <cell r="R223">
            <v>49405.881999999998</v>
          </cell>
        </row>
        <row r="224">
          <cell r="D224" t="e">
            <v>#REF!</v>
          </cell>
          <cell r="E224" t="e">
            <v>#REF!</v>
          </cell>
          <cell r="F224" t="e">
            <v>#REF!</v>
          </cell>
          <cell r="G224" t="e">
            <v>#REF!</v>
          </cell>
          <cell r="H224" t="e">
            <v>#REF!</v>
          </cell>
          <cell r="I224" t="e">
            <v>#REF!</v>
          </cell>
          <cell r="J224" t="e">
            <v>#REF!</v>
          </cell>
          <cell r="K224" t="e">
            <v>#REF!</v>
          </cell>
          <cell r="L224" t="e">
            <v>#REF!</v>
          </cell>
          <cell r="M224" t="e">
            <v>#REF!</v>
          </cell>
          <cell r="N224" t="e">
            <v>#REF!</v>
          </cell>
          <cell r="O224" t="e">
            <v>#REF!</v>
          </cell>
          <cell r="P224" t="e">
            <v>#REF!</v>
          </cell>
          <cell r="Q224" t="e">
            <v>#REF!</v>
          </cell>
          <cell r="R224" t="e">
            <v>#REF!</v>
          </cell>
        </row>
        <row r="225"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  <cell r="N225" t="str">
            <v/>
          </cell>
          <cell r="O225" t="str">
            <v/>
          </cell>
          <cell r="P225" t="str">
            <v/>
          </cell>
          <cell r="Q225" t="str">
            <v/>
          </cell>
          <cell r="R225" t="str">
            <v/>
          </cell>
        </row>
        <row r="226"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  <cell r="N226" t="str">
            <v/>
          </cell>
          <cell r="O226" t="str">
            <v/>
          </cell>
          <cell r="P226" t="str">
            <v/>
          </cell>
          <cell r="Q226" t="str">
            <v/>
          </cell>
          <cell r="R226" t="str">
            <v/>
          </cell>
        </row>
        <row r="227"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  <cell r="N227" t="str">
            <v/>
          </cell>
          <cell r="O227" t="str">
            <v/>
          </cell>
          <cell r="P227" t="str">
            <v/>
          </cell>
          <cell r="Q227" t="str">
            <v/>
          </cell>
          <cell r="R227" t="str">
            <v/>
          </cell>
        </row>
        <row r="228"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  <cell r="N228" t="str">
            <v/>
          </cell>
          <cell r="O228" t="str">
            <v/>
          </cell>
          <cell r="P228" t="str">
            <v/>
          </cell>
          <cell r="Q228" t="str">
            <v/>
          </cell>
          <cell r="R228" t="str">
            <v/>
          </cell>
        </row>
        <row r="249">
          <cell r="D249">
            <v>5.4720000000000004</v>
          </cell>
          <cell r="E249">
            <v>12.863</v>
          </cell>
          <cell r="F249">
            <v>125.054</v>
          </cell>
          <cell r="G249">
            <v>256.77100000000002</v>
          </cell>
          <cell r="H249">
            <v>535.56299999999999</v>
          </cell>
          <cell r="I249">
            <v>808.52099999999996</v>
          </cell>
          <cell r="J249">
            <v>710.18399999999997</v>
          </cell>
          <cell r="K249">
            <v>1384.519</v>
          </cell>
          <cell r="L249">
            <v>1667.1559999999999</v>
          </cell>
          <cell r="M249">
            <v>2705.5680000000002</v>
          </cell>
          <cell r="N249">
            <v>7703.2439999999997</v>
          </cell>
          <cell r="O249">
            <v>13677.482189999999</v>
          </cell>
          <cell r="P249">
            <v>2205.5243999999998</v>
          </cell>
          <cell r="Q249">
            <v>6259.4863000000005</v>
          </cell>
        </row>
        <row r="250">
          <cell r="D250" t="e">
            <v>#REF!</v>
          </cell>
          <cell r="E250" t="e">
            <v>#REF!</v>
          </cell>
          <cell r="F250" t="e">
            <v>#REF!</v>
          </cell>
          <cell r="G250" t="e">
            <v>#REF!</v>
          </cell>
          <cell r="H250" t="e">
            <v>#REF!</v>
          </cell>
          <cell r="I250" t="e">
            <v>#REF!</v>
          </cell>
          <cell r="J250" t="e">
            <v>#REF!</v>
          </cell>
          <cell r="K250" t="e">
            <v>#REF!</v>
          </cell>
          <cell r="L250" t="e">
            <v>#REF!</v>
          </cell>
          <cell r="M250" t="e">
            <v>#REF!</v>
          </cell>
          <cell r="N250" t="e">
            <v>#REF!</v>
          </cell>
          <cell r="O250" t="e">
            <v>#REF!</v>
          </cell>
          <cell r="P250" t="e">
            <v>#REF!</v>
          </cell>
          <cell r="Q250" t="e">
            <v>#REF!</v>
          </cell>
        </row>
        <row r="251"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  <cell r="N251" t="str">
            <v/>
          </cell>
          <cell r="O251" t="str">
            <v/>
          </cell>
          <cell r="P251" t="str">
            <v/>
          </cell>
          <cell r="Q251" t="str">
            <v/>
          </cell>
        </row>
        <row r="252"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  <cell r="N252" t="str">
            <v/>
          </cell>
          <cell r="O252" t="str">
            <v/>
          </cell>
          <cell r="P252" t="str">
            <v/>
          </cell>
          <cell r="Q252" t="str">
            <v/>
          </cell>
        </row>
        <row r="253"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  <cell r="N253" t="str">
            <v/>
          </cell>
          <cell r="O253" t="str">
            <v/>
          </cell>
          <cell r="P253" t="str">
            <v/>
          </cell>
          <cell r="Q253" t="str">
            <v/>
          </cell>
        </row>
        <row r="254"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  <cell r="N254" t="str">
            <v/>
          </cell>
          <cell r="O254" t="str">
            <v/>
          </cell>
          <cell r="P254" t="str">
            <v/>
          </cell>
          <cell r="Q254" t="str">
            <v/>
          </cell>
        </row>
        <row r="275">
          <cell r="D275">
            <v>3.5680000000000001</v>
          </cell>
          <cell r="E275">
            <v>0.26</v>
          </cell>
          <cell r="F275">
            <v>51.756999999999998</v>
          </cell>
          <cell r="G275">
            <v>172.99799999999999</v>
          </cell>
          <cell r="H275">
            <v>770.702</v>
          </cell>
          <cell r="I275">
            <v>331.81900000000002</v>
          </cell>
          <cell r="J275">
            <v>444.50184999999999</v>
          </cell>
          <cell r="K275">
            <v>642.75900000000001</v>
          </cell>
          <cell r="L275">
            <v>1134.4794500000003</v>
          </cell>
          <cell r="M275">
            <v>1773.8350500000001</v>
          </cell>
          <cell r="N275">
            <v>2746.4365499999999</v>
          </cell>
          <cell r="O275">
            <v>4339.7577677999998</v>
          </cell>
          <cell r="P275">
            <v>-6665.2151612052239</v>
          </cell>
          <cell r="Q275">
            <v>967.53822749999983</v>
          </cell>
        </row>
        <row r="276">
          <cell r="D276" t="e">
            <v>#REF!</v>
          </cell>
          <cell r="E276" t="e">
            <v>#REF!</v>
          </cell>
          <cell r="F276" t="e">
            <v>#REF!</v>
          </cell>
          <cell r="G276" t="e">
            <v>#REF!</v>
          </cell>
          <cell r="H276" t="e">
            <v>#REF!</v>
          </cell>
          <cell r="I276" t="e">
            <v>#REF!</v>
          </cell>
          <cell r="J276" t="e">
            <v>#REF!</v>
          </cell>
          <cell r="K276" t="e">
            <v>#REF!</v>
          </cell>
          <cell r="L276" t="e">
            <v>#REF!</v>
          </cell>
          <cell r="M276" t="e">
            <v>#REF!</v>
          </cell>
          <cell r="N276" t="e">
            <v>#REF!</v>
          </cell>
          <cell r="O276" t="e">
            <v>#REF!</v>
          </cell>
          <cell r="P276" t="e">
            <v>#REF!</v>
          </cell>
          <cell r="Q276" t="e">
            <v>#REF!</v>
          </cell>
        </row>
        <row r="277">
          <cell r="D277" t="str">
            <v/>
          </cell>
          <cell r="E277" t="str">
            <v/>
          </cell>
          <cell r="F277" t="str">
            <v/>
          </cell>
          <cell r="G277" t="str">
            <v/>
          </cell>
          <cell r="H277" t="str">
            <v/>
          </cell>
          <cell r="I277" t="str">
            <v/>
          </cell>
          <cell r="J277" t="str">
            <v/>
          </cell>
          <cell r="K277" t="str">
            <v/>
          </cell>
          <cell r="L277" t="str">
            <v/>
          </cell>
          <cell r="M277" t="str">
            <v/>
          </cell>
          <cell r="N277" t="str">
            <v/>
          </cell>
          <cell r="O277" t="str">
            <v/>
          </cell>
          <cell r="P277" t="str">
            <v/>
          </cell>
          <cell r="Q277" t="str">
            <v/>
          </cell>
        </row>
        <row r="278">
          <cell r="D278" t="str">
            <v/>
          </cell>
          <cell r="E278" t="str">
            <v/>
          </cell>
          <cell r="F278" t="str">
            <v/>
          </cell>
          <cell r="G278" t="str">
            <v/>
          </cell>
          <cell r="H278" t="str">
            <v/>
          </cell>
          <cell r="I278" t="str">
            <v/>
          </cell>
          <cell r="J278" t="str">
            <v/>
          </cell>
          <cell r="K278" t="str">
            <v/>
          </cell>
          <cell r="L278" t="str">
            <v/>
          </cell>
          <cell r="M278" t="str">
            <v/>
          </cell>
          <cell r="N278" t="str">
            <v/>
          </cell>
          <cell r="O278" t="str">
            <v/>
          </cell>
          <cell r="P278" t="str">
            <v/>
          </cell>
          <cell r="Q278" t="str">
            <v/>
          </cell>
        </row>
        <row r="279">
          <cell r="D279" t="str">
            <v/>
          </cell>
          <cell r="E279" t="str">
            <v/>
          </cell>
          <cell r="F279" t="str">
            <v/>
          </cell>
          <cell r="G279" t="str">
            <v/>
          </cell>
          <cell r="H279" t="str">
            <v/>
          </cell>
          <cell r="I279" t="str">
            <v/>
          </cell>
          <cell r="J279" t="str">
            <v/>
          </cell>
          <cell r="K279" t="str">
            <v/>
          </cell>
          <cell r="L279" t="str">
            <v/>
          </cell>
          <cell r="M279" t="str">
            <v/>
          </cell>
          <cell r="N279" t="str">
            <v/>
          </cell>
          <cell r="O279" t="str">
            <v/>
          </cell>
          <cell r="P279" t="str">
            <v/>
          </cell>
          <cell r="Q279" t="str">
            <v/>
          </cell>
        </row>
        <row r="280">
          <cell r="D280" t="str">
            <v/>
          </cell>
          <cell r="E280" t="str">
            <v/>
          </cell>
          <cell r="F280" t="str">
            <v/>
          </cell>
          <cell r="G280" t="str">
            <v/>
          </cell>
          <cell r="H280" t="str">
            <v/>
          </cell>
          <cell r="I280" t="str">
            <v/>
          </cell>
          <cell r="J280" t="str">
            <v/>
          </cell>
          <cell r="K280" t="str">
            <v/>
          </cell>
          <cell r="L280" t="str">
            <v/>
          </cell>
          <cell r="M280" t="str">
            <v/>
          </cell>
          <cell r="N280" t="str">
            <v/>
          </cell>
          <cell r="O280" t="str">
            <v/>
          </cell>
          <cell r="P280" t="str">
            <v/>
          </cell>
          <cell r="Q280" t="str">
            <v/>
          </cell>
        </row>
        <row r="301">
          <cell r="D301">
            <v>20.127000000000002</v>
          </cell>
          <cell r="E301">
            <v>63.137999999999998</v>
          </cell>
          <cell r="F301">
            <v>500.40100000000001</v>
          </cell>
          <cell r="G301">
            <v>1329.4160000000002</v>
          </cell>
          <cell r="H301">
            <v>3373.9920000000002</v>
          </cell>
          <cell r="I301">
            <v>3881.9590000000003</v>
          </cell>
          <cell r="J301">
            <v>3454.2438520000001</v>
          </cell>
          <cell r="K301">
            <v>5569.7417879999994</v>
          </cell>
          <cell r="L301">
            <v>7927.8460099999993</v>
          </cell>
          <cell r="M301">
            <v>11613.530586999999</v>
          </cell>
          <cell r="N301">
            <v>19707.135006999997</v>
          </cell>
          <cell r="O301">
            <v>35935.120957799998</v>
          </cell>
          <cell r="P301">
            <v>25478.958238794774</v>
          </cell>
          <cell r="Q301">
            <v>58157.347527499995</v>
          </cell>
          <cell r="R301">
            <v>56448.709302499999</v>
          </cell>
        </row>
        <row r="302">
          <cell r="D302" t="e">
            <v>#REF!</v>
          </cell>
          <cell r="E302" t="e">
            <v>#REF!</v>
          </cell>
          <cell r="F302" t="e">
            <v>#REF!</v>
          </cell>
          <cell r="G302" t="e">
            <v>#REF!</v>
          </cell>
          <cell r="H302" t="e">
            <v>#REF!</v>
          </cell>
          <cell r="I302" t="e">
            <v>#REF!</v>
          </cell>
          <cell r="J302" t="e">
            <v>#REF!</v>
          </cell>
          <cell r="K302" t="e">
            <v>#REF!</v>
          </cell>
          <cell r="L302" t="e">
            <v>#REF!</v>
          </cell>
          <cell r="M302" t="e">
            <v>#REF!</v>
          </cell>
          <cell r="N302" t="e">
            <v>#REF!</v>
          </cell>
          <cell r="O302" t="e">
            <v>#REF!</v>
          </cell>
          <cell r="P302" t="e">
            <v>#REF!</v>
          </cell>
          <cell r="Q302" t="e">
            <v>#REF!</v>
          </cell>
          <cell r="R302" t="e">
            <v>#REF!</v>
          </cell>
        </row>
        <row r="303"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</row>
        <row r="304"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</row>
        <row r="305"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</row>
        <row r="306"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</row>
        <row r="332">
          <cell r="C332" t="str">
            <v>1991</v>
          </cell>
          <cell r="D332">
            <v>222.78967152000001</v>
          </cell>
          <cell r="E332">
            <v>202.07023206864</v>
          </cell>
        </row>
        <row r="333">
          <cell r="C333" t="str">
            <v>1992</v>
          </cell>
          <cell r="D333">
            <v>317.11384039999996</v>
          </cell>
          <cell r="E333">
            <v>287.62225324280001</v>
          </cell>
        </row>
        <row r="334">
          <cell r="C334" t="str">
            <v>1993</v>
          </cell>
          <cell r="D334">
            <v>464.54122348000004</v>
          </cell>
          <cell r="E334">
            <v>421.33888969636007</v>
          </cell>
        </row>
        <row r="335">
          <cell r="C335" t="str">
            <v>1994</v>
          </cell>
          <cell r="D335">
            <v>788.2854002800002</v>
          </cell>
          <cell r="E335">
            <v>714.97485805396013</v>
          </cell>
        </row>
        <row r="336">
          <cell r="C336" t="str">
            <v>1995</v>
          </cell>
          <cell r="D336">
            <v>1437.404838312</v>
          </cell>
          <cell r="E336">
            <v>1303.7261883489841</v>
          </cell>
        </row>
        <row r="337">
          <cell r="C337" t="str">
            <v>1996</v>
          </cell>
          <cell r="D337">
            <v>1019.158329551791</v>
          </cell>
          <cell r="E337">
            <v>924.37660490347446</v>
          </cell>
        </row>
        <row r="338">
          <cell r="C338" t="str">
            <v>1997</v>
          </cell>
          <cell r="D338">
            <v>3198.6541140125</v>
          </cell>
          <cell r="E338">
            <v>2915.8930903337946</v>
          </cell>
        </row>
        <row r="339">
          <cell r="C339" t="str">
            <v>1998</v>
          </cell>
          <cell r="D339">
            <v>3104.6790116375</v>
          </cell>
          <cell r="E339">
            <v>2830.2253870087447</v>
          </cell>
        </row>
        <row r="340">
          <cell r="C340">
            <v>0</v>
          </cell>
          <cell r="D340">
            <v>0</v>
          </cell>
          <cell r="E340">
            <v>0</v>
          </cell>
        </row>
        <row r="341">
          <cell r="C341" t="str">
            <v xml:space="preserve">     Total</v>
          </cell>
          <cell r="D341">
            <v>10690.796183273791</v>
          </cell>
          <cell r="E341">
            <v>9725.5474706073182</v>
          </cell>
        </row>
        <row r="342">
          <cell r="C342">
            <v>0</v>
          </cell>
          <cell r="D342">
            <v>0</v>
          </cell>
          <cell r="E342">
            <v>0</v>
          </cell>
        </row>
        <row r="365">
          <cell r="E365">
            <v>11922041.689999999</v>
          </cell>
          <cell r="F365">
            <v>12694779.039999999</v>
          </cell>
          <cell r="G365">
            <v>13456633.050000001</v>
          </cell>
          <cell r="H365">
            <v>14229370.390000001</v>
          </cell>
          <cell r="I365">
            <v>14996093.039999999</v>
          </cell>
          <cell r="J365">
            <v>15763961.75</v>
          </cell>
          <cell r="K365">
            <v>16653546.26</v>
          </cell>
          <cell r="L365">
            <v>18240241.77</v>
          </cell>
          <cell r="M365">
            <v>19826937.280000001</v>
          </cell>
          <cell r="N365">
            <v>21376616.960000001</v>
          </cell>
          <cell r="O365">
            <v>22870053.800000001</v>
          </cell>
        </row>
        <row r="366">
          <cell r="E366">
            <v>19227246.629999999</v>
          </cell>
          <cell r="F366">
            <v>18774650.579999998</v>
          </cell>
          <cell r="G366">
            <v>18140893.010000002</v>
          </cell>
          <cell r="H366">
            <v>17402761.41</v>
          </cell>
          <cell r="I366">
            <v>16582788.550000001</v>
          </cell>
          <cell r="J366">
            <v>15763961.75</v>
          </cell>
          <cell r="K366">
            <v>15066850.75</v>
          </cell>
          <cell r="L366">
            <v>15066850.75</v>
          </cell>
          <cell r="M366">
            <v>15066850.75</v>
          </cell>
          <cell r="N366">
            <v>15066850.75</v>
          </cell>
          <cell r="O366">
            <v>15066850.75</v>
          </cell>
        </row>
        <row r="367">
          <cell r="E367">
            <v>7727806.9100000001</v>
          </cell>
          <cell r="F367">
            <v>9417179.7200000007</v>
          </cell>
          <cell r="G367">
            <v>11003875.23</v>
          </cell>
          <cell r="H367">
            <v>12590570.74</v>
          </cell>
          <cell r="I367">
            <v>14177266.25</v>
          </cell>
          <cell r="J367">
            <v>15763961.75</v>
          </cell>
          <cell r="K367">
            <v>17350657.260000002</v>
          </cell>
          <cell r="L367">
            <v>18937352.77</v>
          </cell>
          <cell r="M367">
            <v>20478366.350000001</v>
          </cell>
          <cell r="N367">
            <v>21960539.43</v>
          </cell>
          <cell r="O367">
            <v>23371872.800000001</v>
          </cell>
        </row>
      </sheetData>
      <sheetData sheetId="12" refreshError="1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  <sheetName val="Jan"/>
      <sheetName val="2021"/>
    </sheetNames>
    <sheetDataSet>
      <sheetData sheetId="0"/>
      <sheetData sheetId="1"/>
      <sheetData sheetId="2"/>
      <sheetData sheetId="3"/>
      <sheetData sheetId="4"/>
      <sheetData sheetId="5" refreshError="1">
        <row r="21">
          <cell r="B21" t="str">
            <v>26</v>
          </cell>
          <cell r="G21">
            <v>83871482</v>
          </cell>
        </row>
        <row r="22">
          <cell r="B22" t="str">
            <v>27</v>
          </cell>
          <cell r="G22">
            <v>1931963666</v>
          </cell>
        </row>
        <row r="23">
          <cell r="B23" t="str">
            <v>36</v>
          </cell>
          <cell r="G23">
            <v>70121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259 PC"/>
      <sheetName val="R257-Pollution"/>
      <sheetName val="R257-SHL"/>
      <sheetName val="R257"/>
      <sheetName val="R249"/>
      <sheetName val="R248"/>
      <sheetName val="R219 CYV"/>
      <sheetName val="R219"/>
      <sheetName val="R218 PC"/>
      <sheetName val="R216 PC"/>
      <sheetName val="R172"/>
      <sheetName val="R170 CYV"/>
      <sheetName val="R170"/>
      <sheetName val="R168"/>
      <sheetName val="R167"/>
      <sheetName val="R166 CYV"/>
      <sheetName val="R166"/>
      <sheetName val="R72 CYV - BAG"/>
      <sheetName val="R73"/>
      <sheetName val="R52"/>
      <sheetName val="R50"/>
      <sheetName val="R38 (Fed-AMT)"/>
      <sheetName val="R36 (Fed-AMT)"/>
      <sheetName val="R36 (AMT-ACE)"/>
      <sheetName val="R30-WI"/>
      <sheetName val="R30-UT"/>
      <sheetName val="R30-OR"/>
      <sheetName val="R30-Non-JCA"/>
      <sheetName val="R30-IL"/>
      <sheetName val="R30-ID"/>
      <sheetName val="R30-CA"/>
      <sheetName val="R30 (CYV)"/>
      <sheetName val="R30"/>
      <sheetName val="R20 (CYVs - Light Trucks)"/>
      <sheetName val="R20"/>
      <sheetName val="R17 (Non-JCA)"/>
      <sheetName val="R17"/>
      <sheetName val="R6"/>
      <sheetName val="R4"/>
      <sheetName val="R1"/>
      <sheetName val="O - Assign-Validate-V5"/>
      <sheetName val="O - Assign-Validate-V4"/>
      <sheetName val="O - Assign-Validate-V3"/>
      <sheetName val="O - Assign-Validate-V2"/>
      <sheetName val="O - Assign-Validate"/>
      <sheetName val="Report List"/>
      <sheetName val="R - Checklist"/>
      <sheetName val="File index"/>
      <sheetName val="i-Parameters"/>
      <sheetName val="Report Distribution"/>
      <sheetName val="R - Input"/>
      <sheetName val="S - Depr"/>
      <sheetName val="T - DIT"/>
      <sheetName val="A-1"/>
    </sheetNames>
    <sheetDataSet>
      <sheetData sheetId="0">
        <row r="1">
          <cell r="A1" t="str">
            <v>PacifiCorp FASB109 Report</v>
          </cell>
        </row>
      </sheetData>
      <sheetData sheetId="1">
        <row r="24">
          <cell r="H24">
            <v>226853964</v>
          </cell>
        </row>
      </sheetData>
      <sheetData sheetId="2">
        <row r="1">
          <cell r="A1" t="str">
            <v>PacifiCorp FASB109 Report</v>
          </cell>
        </row>
      </sheetData>
      <sheetData sheetId="3">
        <row r="1">
          <cell r="A1" t="str">
            <v>PacifiCorp FASB109 Report</v>
          </cell>
        </row>
      </sheetData>
      <sheetData sheetId="4">
        <row r="1">
          <cell r="A1">
            <v>0</v>
          </cell>
        </row>
      </sheetData>
      <sheetData sheetId="5">
        <row r="1">
          <cell r="A1" t="str">
            <v>PacifiCorp</v>
          </cell>
        </row>
      </sheetData>
      <sheetData sheetId="6">
        <row r="1">
          <cell r="A1">
            <v>0</v>
          </cell>
        </row>
      </sheetData>
      <sheetData sheetId="7">
        <row r="1">
          <cell r="A1">
            <v>0</v>
          </cell>
        </row>
      </sheetData>
      <sheetData sheetId="8">
        <row r="1">
          <cell r="A1" t="str">
            <v>PowerTax Deferred Tax Recovery By Type Report</v>
          </cell>
        </row>
      </sheetData>
      <sheetData sheetId="9"/>
      <sheetData sheetId="10">
        <row r="1">
          <cell r="A1" t="str">
            <v>PacifiCorp Deferred Tax Flowthrough Report</v>
          </cell>
        </row>
      </sheetData>
      <sheetData sheetId="11"/>
      <sheetData sheetId="12">
        <row r="1">
          <cell r="A1" t="str">
            <v>PacifiCorp Ending Deferred Tax Balance Report</v>
          </cell>
        </row>
      </sheetData>
      <sheetData sheetId="13">
        <row r="1">
          <cell r="A1" t="str">
            <v>PacifiCorp Deferred Tax Flowthrough Report</v>
          </cell>
        </row>
      </sheetData>
      <sheetData sheetId="14">
        <row r="1">
          <cell r="A1">
            <v>0</v>
          </cell>
        </row>
      </sheetData>
      <sheetData sheetId="15">
        <row r="1">
          <cell r="A1">
            <v>0</v>
          </cell>
        </row>
      </sheetData>
      <sheetData sheetId="16">
        <row r="1">
          <cell r="A1">
            <v>0</v>
          </cell>
        </row>
      </sheetData>
      <sheetData sheetId="17"/>
      <sheetData sheetId="18">
        <row r="1">
          <cell r="A1" t="str">
            <v>Tax Year</v>
          </cell>
        </row>
      </sheetData>
      <sheetData sheetId="19">
        <row r="1">
          <cell r="B1">
            <v>0</v>
          </cell>
        </row>
      </sheetData>
      <sheetData sheetId="20">
        <row r="1">
          <cell r="A1" t="str">
            <v>PacifiCorp</v>
          </cell>
        </row>
      </sheetData>
      <sheetData sheetId="21">
        <row r="1">
          <cell r="B1">
            <v>0</v>
          </cell>
        </row>
      </sheetData>
      <sheetData sheetId="22">
        <row r="1">
          <cell r="A1">
            <v>0</v>
          </cell>
        </row>
      </sheetData>
      <sheetData sheetId="23">
        <row r="1">
          <cell r="A1">
            <v>0</v>
          </cell>
        </row>
      </sheetData>
      <sheetData sheetId="24">
        <row r="1">
          <cell r="A1" t="str">
            <v>Roll Forward Schedule</v>
          </cell>
        </row>
      </sheetData>
      <sheetData sheetId="25"/>
      <sheetData sheetId="26"/>
      <sheetData sheetId="27"/>
      <sheetData sheetId="28"/>
      <sheetData sheetId="29"/>
      <sheetData sheetId="30"/>
      <sheetData sheetId="31">
        <row r="1">
          <cell r="A1" t="str">
            <v>Roll Forward Schedule</v>
          </cell>
        </row>
      </sheetData>
      <sheetData sheetId="32">
        <row r="1">
          <cell r="A1" t="str">
            <v>Roll Forward Schedule</v>
          </cell>
        </row>
      </sheetData>
      <sheetData sheetId="33">
        <row r="1">
          <cell r="A1">
            <v>0</v>
          </cell>
        </row>
      </sheetData>
      <sheetData sheetId="34">
        <row r="9">
          <cell r="A9" t="str">
            <v>Beginning  Tax Reserve</v>
          </cell>
        </row>
      </sheetData>
      <sheetData sheetId="35"/>
      <sheetData sheetId="36">
        <row r="1">
          <cell r="A1" t="str">
            <v>PacifiCorp</v>
          </cell>
        </row>
      </sheetData>
      <sheetData sheetId="37">
        <row r="6">
          <cell r="C6" t="str">
            <v>Tax Rate Applied</v>
          </cell>
        </row>
      </sheetData>
      <sheetData sheetId="38">
        <row r="1">
          <cell r="A1" t="str">
            <v>PacifiCorp</v>
          </cell>
        </row>
      </sheetData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>
        <row r="3">
          <cell r="B3">
            <v>712</v>
          </cell>
        </row>
      </sheetData>
      <sheetData sheetId="49"/>
      <sheetData sheetId="50">
        <row r="1">
          <cell r="A1" t="str">
            <v>Case 712: 2013 Tax Return</v>
          </cell>
        </row>
      </sheetData>
      <sheetData sheetId="51"/>
      <sheetData sheetId="52"/>
      <sheetData sheetId="5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alance Sheet"/>
      <sheetName val="Balance Sheet Exp."/>
      <sheetName val="Scorecard"/>
      <sheetName val="Summary"/>
      <sheetName val="EBIT"/>
      <sheetName val="OMAG"/>
      <sheetName val="OMAG by Account"/>
      <sheetName val="OMAG Variance Exp."/>
      <sheetName val="CAPEX"/>
      <sheetName val="CAPEX Variance Exp."/>
      <sheetName val="Revenue &amp; OEI"/>
      <sheetName val="Revenue &amp; OEI by Account"/>
      <sheetName val="Revenue &amp; OEI Variance Exp."/>
      <sheetName val="Operating Tax by Account"/>
      <sheetName val="Operating Tax Variance Exp."/>
      <sheetName val="FTE &amp; Contractor"/>
      <sheetName val="FTE Variance Exp."/>
      <sheetName val="Cont. Variance Exp."/>
      <sheetName val="PERCO EBIT"/>
      <sheetName val="PERCO Variance Exp."/>
      <sheetName val="Infra Variance Exp."/>
      <sheetName val="IT Applications"/>
      <sheetName val="PAM Variance Exp."/>
      <sheetName val="CSCS Variance Exp."/>
      <sheetName val="CBS Management Variance Exp."/>
      <sheetName val="PMP Variance Exp."/>
      <sheetName val="Finance Variance Exp."/>
      <sheetName val="Real Estate Variance Exp."/>
      <sheetName val="CSC Variance Exp."/>
      <sheetName val="Control"/>
      <sheetName val="CBS EBIT "/>
      <sheetName val="CAPEX Adj"/>
      <sheetName val="Curr Mo"/>
      <sheetName val="FYTD"/>
      <sheetName val="CAPEX by Director"/>
      <sheetName val="CAPEX By PC"/>
      <sheetName val="CBS UK GAAP Adjustment "/>
      <sheetName val="IS"/>
      <sheetName val="USA"/>
      <sheetName val="ITAPP"/>
      <sheetName val="PAM"/>
      <sheetName val="CSCS"/>
      <sheetName val="CBSMA"/>
      <sheetName val="PMP"/>
      <sheetName val="FHR"/>
      <sheetName val="REM"/>
      <sheetName val="CSC"/>
      <sheetName val="Perco"/>
      <sheetName val="FTE Revised Budget"/>
      <sheetName val="FTE Budget Adj"/>
      <sheetName val="FTE Budget"/>
      <sheetName val="Contractor Budget"/>
      <sheetName val="OMAG Revision"/>
      <sheetName val="OMAG Original"/>
      <sheetName val="CBS EBIT DET"/>
      <sheetName val="BS Download"/>
      <sheetName val="PC-CC OMAG Diff"/>
      <sheetName val="Sys Support"/>
      <sheetName val="LaborSavings"/>
      <sheetName val="Tech-Infr Trns"/>
      <sheetName val="T-I Amt"/>
      <sheetName val="T-I Backup"/>
      <sheetName val="Fin-CSCS Trns"/>
      <sheetName val="Janse"/>
      <sheetName val="Contractor"/>
      <sheetName val="AIP"/>
      <sheetName val="Feb-Mar Budget Adjust"/>
      <sheetName val="Revenue &amp; OEI Revision"/>
      <sheetName val="Revenue &amp; OEI Origin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0">
          <cell r="A10" t="str">
            <v>PERCo Service revenue carryover from FY03</v>
          </cell>
          <cell r="D10">
            <v>-164964.24</v>
          </cell>
        </row>
      </sheetData>
      <sheetData sheetId="21"/>
      <sheetData sheetId="22"/>
      <sheetData sheetId="23"/>
      <sheetData sheetId="24">
        <row r="51">
          <cell r="B51" t="str">
            <v>SourceURL:outbind://19-0000000051B95D8878A5D0118D0D00805FEABA130700DF0B0F748A22D0118CFF00805FEABA130000001F058F0000942765B2CB00B74FAA9EFB5941A8B4E10000014B879E0000</v>
          </cell>
        </row>
        <row r="52">
          <cell r="B52" t="str">
            <v>&lt;!DOCTYPE HTML PUBLIC "-//W3C//DTD HTML 4.0 Transitional//EN"&gt;</v>
          </cell>
        </row>
        <row r="54">
          <cell r="B54" t="str">
            <v>&lt;HTML&gt;&lt;HEAD&gt;&lt;/HEAD&gt;</v>
          </cell>
        </row>
        <row r="56">
          <cell r="B56" t="str">
            <v>&lt;BODY&gt;</v>
          </cell>
        </row>
        <row r="58">
          <cell r="B58" t="str">
            <v xml:space="preserve">&lt;DIV&gt;&lt;!--StartFragment--&gt;&lt;FONT face=Arial color=#0000ff size=2&gt;&lt;SPAN class=474042115-03062003&gt;"real </v>
          </cell>
        </row>
        <row r="59">
          <cell r="B59" t="str">
            <v>secure desktop protector"...Â Â  &lt;/SPAN&gt;&lt;/FONT&gt;&lt;!--EndFragment--&gt;&lt;/DIV&gt;</v>
          </cell>
        </row>
        <row r="60">
          <cell r="B60" t="str">
            <v>&lt;/BODY&gt;</v>
          </cell>
        </row>
        <row r="61">
          <cell r="B61" t="str">
            <v>&lt;/HTML&gt;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4.8"/>
      <sheetName val="14.8.1"/>
      <sheetName val="14.8.2"/>
    </sheetNames>
    <sheetDataSet>
      <sheetData sheetId="0"/>
      <sheetData sheetId="1">
        <row r="25">
          <cell r="AH25">
            <v>1136.0211071828128</v>
          </cell>
          <cell r="AI25">
            <v>1136.0211071828128</v>
          </cell>
          <cell r="AJ25">
            <v>1136.0211071828128</v>
          </cell>
          <cell r="AK25">
            <v>1136.0211071828128</v>
          </cell>
          <cell r="AL25">
            <v>1136.0211071828128</v>
          </cell>
          <cell r="AM25">
            <v>1136.0211071828128</v>
          </cell>
          <cell r="AN25">
            <v>1136.0211071828128</v>
          </cell>
          <cell r="AO25">
            <v>1136.0211071828128</v>
          </cell>
          <cell r="AP25">
            <v>1136.0211071828128</v>
          </cell>
          <cell r="AQ25">
            <v>1136.0211071828128</v>
          </cell>
          <cell r="AR25">
            <v>1136.0211071828128</v>
          </cell>
          <cell r="AS25">
            <v>1136.0211071828128</v>
          </cell>
        </row>
        <row r="26">
          <cell r="AH26">
            <v>10347.949297900794</v>
          </cell>
          <cell r="AI26">
            <v>10347.949297900794</v>
          </cell>
          <cell r="AJ26">
            <v>10347.949297900794</v>
          </cell>
          <cell r="AK26">
            <v>10347.949297900794</v>
          </cell>
          <cell r="AL26">
            <v>10347.949297900794</v>
          </cell>
          <cell r="AM26">
            <v>10347.949297900794</v>
          </cell>
          <cell r="AN26">
            <v>10347.949297900794</v>
          </cell>
          <cell r="AO26">
            <v>10347.949297900794</v>
          </cell>
          <cell r="AP26">
            <v>10347.949297900794</v>
          </cell>
          <cell r="AQ26">
            <v>10347.949297900794</v>
          </cell>
          <cell r="AR26">
            <v>10347.949297900794</v>
          </cell>
          <cell r="AS26">
            <v>10402.226956752402</v>
          </cell>
        </row>
        <row r="27">
          <cell r="AH27">
            <v>8430.4961744543216</v>
          </cell>
          <cell r="AI27">
            <v>8430.4961744543216</v>
          </cell>
          <cell r="AJ27">
            <v>8430.4961744543216</v>
          </cell>
          <cell r="AK27">
            <v>8430.4961744543216</v>
          </cell>
          <cell r="AL27">
            <v>8430.4961744543216</v>
          </cell>
          <cell r="AM27">
            <v>8430.4961744543216</v>
          </cell>
          <cell r="AN27">
            <v>8430.4961744543216</v>
          </cell>
          <cell r="AO27">
            <v>8430.4961744543216</v>
          </cell>
          <cell r="AP27">
            <v>8430.4961744543216</v>
          </cell>
          <cell r="AQ27">
            <v>8430.4961744543216</v>
          </cell>
          <cell r="AR27">
            <v>8430.4961744543216</v>
          </cell>
          <cell r="AS27">
            <v>8430.4961744543216</v>
          </cell>
        </row>
        <row r="39">
          <cell r="AI39">
            <v>18465635.301583257</v>
          </cell>
          <cell r="AJ39"/>
          <cell r="AM39">
            <v>8129355.8213505484</v>
          </cell>
        </row>
        <row r="43">
          <cell r="AI43">
            <v>-64878.786306997412</v>
          </cell>
          <cell r="AJ43"/>
          <cell r="AM43">
            <v>-226692.93460985104</v>
          </cell>
        </row>
      </sheetData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4.7"/>
      <sheetName val="14.7.1"/>
      <sheetName val="14.7.2"/>
      <sheetName val="14.7.3"/>
      <sheetName val="14.7.4"/>
      <sheetName val="14.7.5"/>
      <sheetName val="14.7.6"/>
    </sheetNames>
    <sheetDataSet>
      <sheetData sheetId="0"/>
      <sheetData sheetId="1">
        <row r="16">
          <cell r="E16">
            <v>9140.884043492897</v>
          </cell>
          <cell r="F16">
            <v>9153.0699500221963</v>
          </cell>
          <cell r="G16">
            <v>9164.268068433983</v>
          </cell>
          <cell r="H16">
            <v>9174.4655281177402</v>
          </cell>
          <cell r="I16">
            <v>9189.8705363156278</v>
          </cell>
          <cell r="J16">
            <v>9523.6089471997348</v>
          </cell>
          <cell r="K16">
            <v>9850.0852102852823</v>
          </cell>
          <cell r="L16">
            <v>9856.1461632638802</v>
          </cell>
          <cell r="M16">
            <v>9861.1381693174681</v>
          </cell>
          <cell r="N16">
            <v>9865.0467337541468</v>
          </cell>
          <cell r="O16">
            <v>9867.8570650486945</v>
          </cell>
          <cell r="P16">
            <v>9881.4548874554202</v>
          </cell>
        </row>
        <row r="17">
          <cell r="E17">
            <v>13190.770092847641</v>
          </cell>
          <cell r="F17">
            <v>13190.770092847641</v>
          </cell>
          <cell r="G17">
            <v>13190.770092847641</v>
          </cell>
          <cell r="H17">
            <v>13190.770092847641</v>
          </cell>
          <cell r="I17">
            <v>13190.770092847641</v>
          </cell>
          <cell r="J17">
            <v>13190.770092847641</v>
          </cell>
          <cell r="K17">
            <v>13190.770092847641</v>
          </cell>
          <cell r="L17">
            <v>13190.770092847641</v>
          </cell>
          <cell r="M17">
            <v>13190.770092847641</v>
          </cell>
          <cell r="N17">
            <v>13190.770092847641</v>
          </cell>
          <cell r="O17">
            <v>13190.770092847641</v>
          </cell>
          <cell r="P17">
            <v>13201.873886370073</v>
          </cell>
        </row>
        <row r="18">
          <cell r="E18">
            <v>389.08355329951286</v>
          </cell>
          <cell r="F18">
            <v>389.614127077381</v>
          </cell>
          <cell r="G18">
            <v>390.10169260863387</v>
          </cell>
          <cell r="H18">
            <v>390.54568950751542</v>
          </cell>
          <cell r="I18">
            <v>390.94554636381804</v>
          </cell>
          <cell r="J18">
            <v>391.30068045179252</v>
          </cell>
          <cell r="K18">
            <v>391.61049742938604</v>
          </cell>
          <cell r="L18">
            <v>391.8743910274211</v>
          </cell>
          <cell r="M18">
            <v>392.09174272830813</v>
          </cell>
          <cell r="N18">
            <v>392.26192143386635</v>
          </cell>
          <cell r="O18">
            <v>392.38428312180667</v>
          </cell>
          <cell r="P18">
            <v>393.2874695467288</v>
          </cell>
        </row>
        <row r="30">
          <cell r="E30">
            <v>12581226.877738386</v>
          </cell>
          <cell r="G30">
            <v>954171.0207251031</v>
          </cell>
        </row>
        <row r="31">
          <cell r="E31">
            <v>4397230.7878197087</v>
          </cell>
          <cell r="G31">
            <v>2576352.6882901639</v>
          </cell>
        </row>
        <row r="32">
          <cell r="E32">
            <v>185023.81675270468</v>
          </cell>
          <cell r="G32">
            <v>54446.655112406384</v>
          </cell>
        </row>
        <row r="38">
          <cell r="E38">
            <v>-97900.363025530256</v>
          </cell>
          <cell r="G38">
            <v>-109778.16879937951</v>
          </cell>
        </row>
        <row r="39">
          <cell r="E39">
            <v>-143204.47517750523</v>
          </cell>
          <cell r="G39">
            <v>-135892.68811561971</v>
          </cell>
        </row>
        <row r="40">
          <cell r="E40">
            <v>-5066.7426144448855</v>
          </cell>
          <cell r="G40">
            <v>-4268.3091276692248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4.5"/>
      <sheetName val="14.5.1 "/>
      <sheetName val="14.5.2 "/>
      <sheetName val="230172-PAC-SLC-14-5JimBridgerMi"/>
    </sheetNames>
    <sheetDataSet>
      <sheetData sheetId="0">
        <row r="11">
          <cell r="I11">
            <v>1155586.2634248782</v>
          </cell>
        </row>
        <row r="12">
          <cell r="F12">
            <v>0</v>
          </cell>
        </row>
        <row r="27">
          <cell r="F27">
            <v>182316383.03999999</v>
          </cell>
        </row>
        <row r="29">
          <cell r="F29">
            <v>-162641036.10197476</v>
          </cell>
        </row>
      </sheetData>
      <sheetData sheetId="1"/>
      <sheetData sheetId="2"/>
      <sheetData sheetId="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.3"/>
      <sheetName val="10.3.1"/>
      <sheetName val="10.3.2"/>
      <sheetName val="10.3.3"/>
    </sheetNames>
    <sheetDataSet>
      <sheetData sheetId="0" refreshError="1"/>
      <sheetData sheetId="1" refreshError="1"/>
      <sheetData sheetId="2" refreshError="1"/>
      <sheetData sheetId="3">
        <row r="6">
          <cell r="D6" t="str">
            <v>A</v>
          </cell>
          <cell r="K6" t="str">
            <v>F = E + C</v>
          </cell>
        </row>
        <row r="7">
          <cell r="C7" t="str">
            <v>WIJAM Allocation Factor</v>
          </cell>
          <cell r="D7" t="str">
            <v>12 ME June 2022</v>
          </cell>
          <cell r="K7" t="str">
            <v>Total  Unit 3 O&amp;M</v>
          </cell>
        </row>
        <row r="8">
          <cell r="C8" t="str">
            <v>CAGW</v>
          </cell>
          <cell r="D8">
            <v>-24208.32</v>
          </cell>
          <cell r="K8">
            <v>-12836.84901312</v>
          </cell>
        </row>
        <row r="9">
          <cell r="C9" t="str">
            <v>CAGW</v>
          </cell>
          <cell r="D9">
            <v>1192013.8</v>
          </cell>
          <cell r="K9">
            <v>632084.38967080007</v>
          </cell>
        </row>
        <row r="10">
          <cell r="C10" t="str">
            <v>CAGW</v>
          </cell>
          <cell r="D10">
            <v>138479.09000000003</v>
          </cell>
          <cell r="K10">
            <v>73430.753137940017</v>
          </cell>
        </row>
        <row r="11">
          <cell r="C11" t="str">
            <v>CAGW</v>
          </cell>
          <cell r="D11">
            <v>457589.89</v>
          </cell>
          <cell r="K11">
            <v>242644.36061074003</v>
          </cell>
        </row>
        <row r="12">
          <cell r="C12" t="str">
            <v>CAGW</v>
          </cell>
          <cell r="D12">
            <v>-98692.26999999999</v>
          </cell>
          <cell r="K12">
            <v>-52333.155243819994</v>
          </cell>
        </row>
        <row r="13">
          <cell r="C13" t="str">
            <v>CAGW</v>
          </cell>
          <cell r="D13">
            <v>3403596.92</v>
          </cell>
          <cell r="K13">
            <v>1804811.7243807199</v>
          </cell>
        </row>
        <row r="14">
          <cell r="C14" t="str">
            <v>CAGW</v>
          </cell>
          <cell r="D14">
            <v>350119.89</v>
          </cell>
          <cell r="K14">
            <v>185656.67359074001</v>
          </cell>
        </row>
        <row r="15">
          <cell r="C15" t="str">
            <v>CAGW</v>
          </cell>
          <cell r="D15">
            <v>54134.11</v>
          </cell>
          <cell r="K15">
            <v>28705.47797326</v>
          </cell>
        </row>
        <row r="16">
          <cell r="C16" t="str">
            <v>CAGW</v>
          </cell>
          <cell r="D16">
            <v>2914972.54</v>
          </cell>
          <cell r="K16">
            <v>1558393.6468956401</v>
          </cell>
        </row>
        <row r="17">
          <cell r="C17" t="str">
            <v>CAGW</v>
          </cell>
          <cell r="D17">
            <v>1755839.72</v>
          </cell>
          <cell r="K17">
            <v>931062.10496551997</v>
          </cell>
        </row>
        <row r="18">
          <cell r="C18" t="str">
            <v>CAGW</v>
          </cell>
          <cell r="D18">
            <v>59468.46</v>
          </cell>
          <cell r="K18">
            <v>31534.102410359999</v>
          </cell>
        </row>
        <row r="19">
          <cell r="C19" t="str">
            <v>SO</v>
          </cell>
          <cell r="D19">
            <v>306583.7</v>
          </cell>
          <cell r="K19">
            <v>162570.91226420001</v>
          </cell>
        </row>
        <row r="20">
          <cell r="C20" t="str">
            <v>SO</v>
          </cell>
          <cell r="D20">
            <v>97922.52</v>
          </cell>
          <cell r="K20">
            <v>51924.982990320001</v>
          </cell>
        </row>
        <row r="21">
          <cell r="D21">
            <v>10607820.049999999</v>
          </cell>
          <cell r="K21">
            <v>5637649.1246333001</v>
          </cell>
        </row>
        <row r="22">
          <cell r="K22" t="str">
            <v>Ref 10.3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.2"/>
      <sheetName val="10.2.1"/>
      <sheetName val="10.2.2"/>
    </sheetNames>
    <sheetDataSet>
      <sheetData sheetId="0">
        <row r="16">
          <cell r="F16">
            <v>1888169.4425256413</v>
          </cell>
        </row>
      </sheetData>
      <sheetData sheetId="1"/>
      <sheetData sheetId="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.8"/>
      <sheetName val="230172-PAC-SLC-10-8FlyAshRevenu"/>
    </sheetNames>
    <sheetDataSet>
      <sheetData sheetId="0">
        <row r="16">
          <cell r="F16">
            <v>10156499.714155717</v>
          </cell>
        </row>
      </sheetData>
      <sheetData sheetId="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.2"/>
      <sheetName val="13.2.1"/>
      <sheetName val="13.2.2"/>
      <sheetName val="13.2.3"/>
      <sheetName val="13.2.4_REDACTED"/>
      <sheetName val="13.2.5"/>
      <sheetName val="13.2.6"/>
      <sheetName val="13.2.7"/>
      <sheetName val="13.2.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0">
          <cell r="H10">
            <v>142078.62377023837</v>
          </cell>
        </row>
        <row r="14">
          <cell r="H14">
            <v>304753.07601449551</v>
          </cell>
        </row>
      </sheetData>
      <sheetData sheetId="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4.6"/>
      <sheetName val="14.6.1"/>
    </sheetNames>
    <sheetDataSet>
      <sheetData sheetId="0"/>
      <sheetData sheetId="1">
        <row r="10">
          <cell r="AD10">
            <v>703792297.27999985</v>
          </cell>
        </row>
        <row r="11">
          <cell r="AD11">
            <v>521764785.42000008</v>
          </cell>
        </row>
        <row r="12">
          <cell r="AD12">
            <v>113728226.3680649</v>
          </cell>
        </row>
        <row r="13">
          <cell r="AD13">
            <v>14443972.01</v>
          </cell>
        </row>
        <row r="14">
          <cell r="AD14">
            <v>1969943.43</v>
          </cell>
        </row>
        <row r="20">
          <cell r="Q20">
            <v>527123.00102559628</v>
          </cell>
          <cell r="R20">
            <v>527123.00102559628</v>
          </cell>
          <cell r="S20">
            <v>527123.00102559628</v>
          </cell>
          <cell r="T20">
            <v>527123.00102559628</v>
          </cell>
          <cell r="U20">
            <v>527123.00102559628</v>
          </cell>
          <cell r="V20">
            <v>527123.00102559628</v>
          </cell>
          <cell r="W20">
            <v>527123.00102559628</v>
          </cell>
          <cell r="X20">
            <v>527123.00102559628</v>
          </cell>
          <cell r="Y20">
            <v>527123.00102559628</v>
          </cell>
          <cell r="Z20">
            <v>527123.00102559628</v>
          </cell>
          <cell r="AA20">
            <v>527123.00102559628</v>
          </cell>
          <cell r="AB20">
            <v>527123.00102559628</v>
          </cell>
        </row>
        <row r="21">
          <cell r="Q21">
            <v>367903.37433181173</v>
          </cell>
          <cell r="R21">
            <v>367903.37433181173</v>
          </cell>
          <cell r="S21">
            <v>367903.37433181173</v>
          </cell>
          <cell r="T21">
            <v>367903.37433181173</v>
          </cell>
          <cell r="U21">
            <v>367903.37433181173</v>
          </cell>
          <cell r="V21">
            <v>367903.37433181173</v>
          </cell>
          <cell r="W21">
            <v>367903.37433181173</v>
          </cell>
          <cell r="X21">
            <v>367903.37433181173</v>
          </cell>
          <cell r="Y21">
            <v>367903.37433181173</v>
          </cell>
          <cell r="Z21">
            <v>367903.37433181173</v>
          </cell>
          <cell r="AA21">
            <v>367903.37433181173</v>
          </cell>
          <cell r="AB21">
            <v>367903.37433181173</v>
          </cell>
        </row>
        <row r="22">
          <cell r="Q22">
            <v>215135.89487958953</v>
          </cell>
          <cell r="R22">
            <v>215135.89487958953</v>
          </cell>
          <cell r="S22">
            <v>215135.89487958953</v>
          </cell>
          <cell r="T22">
            <v>215135.89487958953</v>
          </cell>
          <cell r="U22">
            <v>215135.89487958953</v>
          </cell>
          <cell r="V22">
            <v>215135.89487958953</v>
          </cell>
          <cell r="W22">
            <v>215135.89487958953</v>
          </cell>
          <cell r="X22">
            <v>215135.89487958953</v>
          </cell>
          <cell r="Y22">
            <v>215135.89487958953</v>
          </cell>
          <cell r="Z22">
            <v>215135.89487958953</v>
          </cell>
          <cell r="AA22">
            <v>215135.89487958953</v>
          </cell>
          <cell r="AB22">
            <v>215135.89487958953</v>
          </cell>
        </row>
        <row r="30">
          <cell r="AD30">
            <v>-1292892770.257879</v>
          </cell>
        </row>
        <row r="31">
          <cell r="AD31">
            <v>-124612949.76988654</v>
          </cell>
        </row>
        <row r="32">
          <cell r="AD32">
            <v>-14079458.598677507</v>
          </cell>
        </row>
        <row r="33">
          <cell r="AD33">
            <v>-1900265.4378076198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2"/>
      <sheetName val="4.3"/>
      <sheetName val="4.3.1"/>
      <sheetName val="4.3.2"/>
      <sheetName val="4.3.3"/>
      <sheetName val="4.3.4"/>
      <sheetName val="4.3.5_REDACTED"/>
      <sheetName val="4.3.6"/>
      <sheetName val="4.3.7"/>
      <sheetName val="4.3.8"/>
      <sheetName val="4.3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0">
          <cell r="B10">
            <v>7518243.9189972989</v>
          </cell>
          <cell r="E10">
            <v>88261.142998415235</v>
          </cell>
          <cell r="H10">
            <v>424108.53846362728</v>
          </cell>
        </row>
        <row r="14">
          <cell r="B14">
            <v>16126338.359294053</v>
          </cell>
          <cell r="E14">
            <v>189316.69034759243</v>
          </cell>
          <cell r="H14">
            <v>909696.18251522258</v>
          </cell>
        </row>
      </sheetData>
      <sheetData sheetId="1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Pro Forma Adj"/>
      <sheetName val="Interest Calc"/>
      <sheetName val="Variables"/>
      <sheetName val="Exhibit No. SLC-3 pg 1"/>
      <sheetName val="Exhibit No. SLC-3 pg 2 - 3"/>
      <sheetName val="Exhibit No. SLC-5 pg 3"/>
      <sheetName val="Tab 13"/>
      <sheetName val="Tab 14"/>
      <sheetName val="Tab 15"/>
      <sheetName val="Tab 16"/>
    </sheetNames>
    <sheetDataSet>
      <sheetData sheetId="0">
        <row r="2">
          <cell r="A2" t="str">
            <v>Washington 2023 General Rate Case</v>
          </cell>
        </row>
        <row r="37">
          <cell r="N37">
            <v>103168872.76936173</v>
          </cell>
        </row>
        <row r="64">
          <cell r="N64">
            <v>1357485560.829288</v>
          </cell>
        </row>
        <row r="67">
          <cell r="N67">
            <v>0.10299999999999999</v>
          </cell>
        </row>
        <row r="74">
          <cell r="N74">
            <v>31547204.241758589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"/>
      <sheetName val="Function"/>
      <sheetName val="Function1149"/>
      <sheetName val="NPC"/>
      <sheetName val="Results"/>
      <sheetName val="Report"/>
      <sheetName val="UTCR"/>
      <sheetName val="NRO"/>
      <sheetName val="ADJ"/>
      <sheetName val="URO"/>
      <sheetName val="ECD"/>
      <sheetName val="Unadj Data for RAM"/>
      <sheetName val="Variables"/>
      <sheetName val="Inputs"/>
      <sheetName val="Factors"/>
      <sheetName val="Check"/>
      <sheetName val="CWC"/>
      <sheetName val="WelcomeDialog"/>
      <sheetName val="Macro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53">
          <cell r="D153">
            <v>5.5958046338404543E-3</v>
          </cell>
        </row>
        <row r="154">
          <cell r="D154">
            <v>4.0000000000000001E-3</v>
          </cell>
        </row>
        <row r="155">
          <cell r="D155">
            <v>3.8733999999999998E-2</v>
          </cell>
        </row>
        <row r="156">
          <cell r="D156">
            <v>0</v>
          </cell>
        </row>
        <row r="157">
          <cell r="D157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3">
          <cell r="G3">
            <v>0.48720000000000002</v>
          </cell>
        </row>
        <row r="4">
          <cell r="G4">
            <v>1E-4</v>
          </cell>
        </row>
        <row r="5">
          <cell r="G5">
            <v>0.51270000000000004</v>
          </cell>
        </row>
        <row r="7">
          <cell r="G7">
            <v>4.7699999999999999E-2</v>
          </cell>
        </row>
        <row r="8">
          <cell r="G8">
            <v>6.7500000000000004E-2</v>
          </cell>
        </row>
        <row r="9">
          <cell r="G9">
            <v>0.10299999999999999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9894D-4BC7-408C-8D26-FEF4AAE2746C}">
  <sheetPr>
    <pageSetUpPr fitToPage="1"/>
  </sheetPr>
  <dimension ref="A1:I31"/>
  <sheetViews>
    <sheetView tabSelected="1" workbookViewId="0">
      <selection activeCell="F27" sqref="F27"/>
    </sheetView>
  </sheetViews>
  <sheetFormatPr defaultColWidth="9.140625" defaultRowHeight="11.25" x14ac:dyDescent="0.2"/>
  <cols>
    <col min="1" max="1" width="4.28515625" style="81" customWidth="1"/>
    <col min="2" max="2" width="51.5703125" style="81" bestFit="1" customWidth="1"/>
    <col min="3" max="3" width="10.7109375" style="81" customWidth="1"/>
    <col min="4" max="4" width="12" style="81" bestFit="1" customWidth="1"/>
    <col min="5" max="5" width="10.7109375" style="81" customWidth="1"/>
    <col min="6" max="6" width="22.7109375" style="83" customWidth="1"/>
    <col min="7" max="7" width="10.42578125" style="81" bestFit="1" customWidth="1"/>
    <col min="8" max="16384" width="9.140625" style="81"/>
  </cols>
  <sheetData>
    <row r="1" spans="1:7" ht="19.5" x14ac:dyDescent="0.3">
      <c r="A1" s="77" t="s">
        <v>126</v>
      </c>
      <c r="B1" s="79"/>
      <c r="C1" s="79"/>
      <c r="D1" s="79"/>
      <c r="E1" s="79"/>
      <c r="F1" s="80"/>
    </row>
    <row r="2" spans="1:7" ht="6" customHeight="1" x14ac:dyDescent="0.2">
      <c r="A2" s="82"/>
    </row>
    <row r="3" spans="1:7" ht="12.75" customHeight="1" x14ac:dyDescent="0.2">
      <c r="A3" s="309" t="s">
        <v>127</v>
      </c>
      <c r="B3" s="309"/>
      <c r="C3" s="309"/>
      <c r="D3" s="309"/>
      <c r="E3" s="309"/>
      <c r="F3" s="309"/>
    </row>
    <row r="4" spans="1:7" ht="12.75" customHeight="1" x14ac:dyDescent="0.2">
      <c r="A4" s="309"/>
      <c r="B4" s="309"/>
      <c r="C4" s="309"/>
      <c r="D4" s="309"/>
      <c r="E4" s="309"/>
      <c r="F4" s="309"/>
    </row>
    <row r="5" spans="1:7" x14ac:dyDescent="0.2">
      <c r="F5" s="81"/>
    </row>
    <row r="6" spans="1:7" x14ac:dyDescent="0.2">
      <c r="B6" s="84" t="s">
        <v>20</v>
      </c>
      <c r="C6" s="84" t="s">
        <v>21</v>
      </c>
      <c r="D6" s="84" t="s">
        <v>22</v>
      </c>
      <c r="E6" s="84" t="s">
        <v>23</v>
      </c>
      <c r="F6" s="84" t="s">
        <v>128</v>
      </c>
    </row>
    <row r="7" spans="1:7" x14ac:dyDescent="0.2">
      <c r="C7" s="85" t="s">
        <v>129</v>
      </c>
      <c r="D7" s="86" t="s">
        <v>130</v>
      </c>
      <c r="E7" s="85" t="s">
        <v>131</v>
      </c>
      <c r="F7" s="87" t="s">
        <v>102</v>
      </c>
    </row>
    <row r="8" spans="1:7" x14ac:dyDescent="0.2">
      <c r="B8" s="88" t="s">
        <v>179</v>
      </c>
      <c r="C8" s="89">
        <f>[21]Summary!$N$37</f>
        <v>103168872.76936173</v>
      </c>
      <c r="D8" s="89">
        <f>[21]Summary!$N$64</f>
        <v>1357485560.829288</v>
      </c>
      <c r="E8" s="89">
        <f>-(C8-(D8*Overall_ROR))/gross_up_factor-40</f>
        <v>-0.29147383034021601</v>
      </c>
      <c r="F8" s="95" t="s">
        <v>278</v>
      </c>
    </row>
    <row r="9" spans="1:7" x14ac:dyDescent="0.2">
      <c r="B9" s="88"/>
      <c r="C9" s="89"/>
      <c r="D9" s="89"/>
      <c r="E9" s="89"/>
      <c r="F9" s="90"/>
    </row>
    <row r="10" spans="1:7" s="94" customFormat="1" ht="24.75" customHeight="1" x14ac:dyDescent="0.25">
      <c r="A10" s="91" t="s">
        <v>132</v>
      </c>
      <c r="B10" s="91"/>
      <c r="C10" s="91"/>
      <c r="D10" s="91"/>
      <c r="E10" s="92"/>
      <c r="F10" s="93"/>
    </row>
    <row r="11" spans="1:7" x14ac:dyDescent="0.2">
      <c r="A11" s="78">
        <v>1</v>
      </c>
      <c r="B11" s="81" t="str">
        <f t="array" ref="B11:B15">TRANSPOSE('Rev Req'!C9:G9)</f>
        <v>Colstrip Unit 4 Removal</v>
      </c>
      <c r="C11" s="95">
        <f t="array" ref="C11:C15">TRANSPOSE('Rev Req'!C40:G40)</f>
        <v>1337041.238220864</v>
      </c>
      <c r="D11" s="95">
        <f t="array" ref="D11:D15">TRANSPOSE('Rev Req'!C67:G67)</f>
        <v>1720963.2208987735</v>
      </c>
      <c r="E11" s="95">
        <f>-(C11-(D11*Overall_ROR))/gross_up_factor</f>
        <v>-1604437.2767850778</v>
      </c>
      <c r="F11" s="90"/>
      <c r="G11" s="96">
        <f>E11-'Rev Req'!C71</f>
        <v>0</v>
      </c>
    </row>
    <row r="12" spans="1:7" x14ac:dyDescent="0.2">
      <c r="A12" s="78">
        <f>A11+1</f>
        <v>2</v>
      </c>
      <c r="B12" s="81" t="str">
        <v>Jim Bridger Unit 3 &amp; Unit 4 Removal</v>
      </c>
      <c r="C12" s="325">
        <v>1668817.115892743</v>
      </c>
      <c r="D12" s="95">
        <v>-2123314.9230543524</v>
      </c>
      <c r="E12" s="325">
        <f>-(C12-(D12*Overall_ROR))/gross_up_factor</f>
        <v>-2434344.7235307302</v>
      </c>
      <c r="F12" s="90"/>
    </row>
    <row r="13" spans="1:7" x14ac:dyDescent="0.2">
      <c r="A13" s="78">
        <f t="shared" ref="A13:A23" si="0">A12+1</f>
        <v>3</v>
      </c>
      <c r="B13" s="104" t="str">
        <v>Jim Bridger Mine Removal</v>
      </c>
      <c r="C13" s="98">
        <v>-33047.40393105174</v>
      </c>
      <c r="D13" s="98">
        <v>-2687006.4827182069</v>
      </c>
      <c r="E13" s="95">
        <f>-(C13-(D13*Overall_ROR))/gross_up_factor</f>
        <v>-227667.64485585911</v>
      </c>
      <c r="F13" s="90"/>
    </row>
    <row r="14" spans="1:7" x14ac:dyDescent="0.2">
      <c r="A14" s="78">
        <f>A13+1</f>
        <v>4</v>
      </c>
      <c r="B14" s="104" t="str">
        <v>Interest True-Up</v>
      </c>
      <c r="C14" s="98">
        <v>-16045.076158600263</v>
      </c>
      <c r="D14" s="98">
        <v>0</v>
      </c>
      <c r="E14" s="95">
        <f>-(C14-(D14*Overall_ROR))/gross_up_factor</f>
        <v>21341.645817616267</v>
      </c>
      <c r="F14" s="90"/>
    </row>
    <row r="15" spans="1:7" x14ac:dyDescent="0.2">
      <c r="A15" s="78">
        <f t="shared" si="0"/>
        <v>5</v>
      </c>
      <c r="B15" s="104" t="str">
        <v>Remove Deferred State Tax Expense &amp; Balance</v>
      </c>
      <c r="C15" s="98">
        <v>3970</v>
      </c>
      <c r="D15" s="98">
        <v>-198377</v>
      </c>
      <c r="E15" s="95">
        <f>-(C15-(D15*Overall_ROR))/gross_up_factor</f>
        <v>-25334.058684259529</v>
      </c>
      <c r="F15" s="90"/>
      <c r="G15" s="97"/>
    </row>
    <row r="16" spans="1:7" x14ac:dyDescent="0.2">
      <c r="A16" s="78">
        <f t="shared" si="0"/>
        <v>6</v>
      </c>
      <c r="C16" s="95"/>
      <c r="D16" s="95"/>
      <c r="E16" s="95"/>
      <c r="F16" s="90"/>
    </row>
    <row r="17" spans="1:9" x14ac:dyDescent="0.2">
      <c r="A17" s="78">
        <f t="shared" si="0"/>
        <v>7</v>
      </c>
      <c r="B17" s="100" t="s">
        <v>134</v>
      </c>
      <c r="C17" s="327">
        <f>SUM(C11:C15)</f>
        <v>2960735.8740239544</v>
      </c>
      <c r="D17" s="99">
        <f t="shared" ref="D17:E17" si="1">SUM(D11:D15)</f>
        <v>-3287735.1848737858</v>
      </c>
      <c r="E17" s="327">
        <f t="shared" si="1"/>
        <v>-4270442.0580383101</v>
      </c>
      <c r="F17" s="90"/>
      <c r="G17" s="97">
        <f>'Rev Req'!B71-E17</f>
        <v>0</v>
      </c>
      <c r="H17" s="81" t="s">
        <v>133</v>
      </c>
    </row>
    <row r="18" spans="1:9" x14ac:dyDescent="0.2">
      <c r="A18" s="78">
        <f t="shared" si="0"/>
        <v>8</v>
      </c>
      <c r="B18" s="100"/>
      <c r="C18" s="99"/>
      <c r="D18" s="99"/>
      <c r="E18" s="99"/>
      <c r="F18" s="90"/>
    </row>
    <row r="19" spans="1:9" x14ac:dyDescent="0.2">
      <c r="A19" s="78">
        <f t="shared" si="0"/>
        <v>9</v>
      </c>
      <c r="B19" s="101" t="s">
        <v>135</v>
      </c>
      <c r="C19" s="326">
        <f>C8+C17</f>
        <v>106129608.64338569</v>
      </c>
      <c r="D19" s="101">
        <f>D8+D17</f>
        <v>1354197825.6444142</v>
      </c>
      <c r="E19" s="326">
        <f>E8+E17</f>
        <v>-4270442.3495121403</v>
      </c>
      <c r="F19" s="102"/>
    </row>
    <row r="20" spans="1:9" x14ac:dyDescent="0.2">
      <c r="A20" s="78">
        <f t="shared" si="0"/>
        <v>10</v>
      </c>
      <c r="B20" s="100"/>
      <c r="C20" s="99"/>
      <c r="D20" s="99"/>
      <c r="E20" s="99"/>
      <c r="F20" s="90"/>
    </row>
    <row r="21" spans="1:9" x14ac:dyDescent="0.2">
      <c r="A21" s="78">
        <f t="shared" si="0"/>
        <v>11</v>
      </c>
      <c r="B21" s="82" t="s">
        <v>136</v>
      </c>
      <c r="C21" s="99"/>
      <c r="D21" s="99"/>
      <c r="E21" s="99"/>
      <c r="F21" s="90"/>
    </row>
    <row r="22" spans="1:9" x14ac:dyDescent="0.2">
      <c r="A22" s="78">
        <f t="shared" si="0"/>
        <v>12</v>
      </c>
      <c r="B22" s="301" t="s">
        <v>286</v>
      </c>
    </row>
    <row r="23" spans="1:9" x14ac:dyDescent="0.2">
      <c r="A23" s="78">
        <f t="shared" si="0"/>
        <v>13</v>
      </c>
      <c r="B23" s="301" t="s">
        <v>287</v>
      </c>
    </row>
    <row r="24" spans="1:9" x14ac:dyDescent="0.2">
      <c r="A24" s="78"/>
    </row>
    <row r="25" spans="1:9" x14ac:dyDescent="0.2">
      <c r="A25" s="78"/>
    </row>
    <row r="26" spans="1:9" s="78" customFormat="1" x14ac:dyDescent="0.2">
      <c r="B26" s="81"/>
      <c r="C26" s="81"/>
      <c r="D26" s="81"/>
      <c r="E26" s="81"/>
      <c r="F26" s="83"/>
      <c r="G26" s="81"/>
      <c r="H26" s="81"/>
      <c r="I26" s="81"/>
    </row>
    <row r="27" spans="1:9" s="78" customFormat="1" x14ac:dyDescent="0.2">
      <c r="B27" s="81"/>
      <c r="C27" s="81"/>
      <c r="D27" s="81"/>
      <c r="E27" s="81"/>
      <c r="F27" s="83"/>
      <c r="G27" s="81"/>
      <c r="H27" s="81"/>
      <c r="I27" s="81"/>
    </row>
    <row r="28" spans="1:9" s="78" customFormat="1" x14ac:dyDescent="0.2">
      <c r="B28" s="81"/>
      <c r="C28" s="81"/>
      <c r="D28" s="81"/>
      <c r="E28" s="81"/>
      <c r="F28" s="347"/>
      <c r="G28" s="81"/>
      <c r="H28" s="81"/>
      <c r="I28" s="81"/>
    </row>
    <row r="29" spans="1:9" s="78" customFormat="1" x14ac:dyDescent="0.2">
      <c r="B29" s="81"/>
      <c r="C29" s="81"/>
      <c r="D29" s="81"/>
      <c r="E29" s="81"/>
      <c r="F29" s="347"/>
      <c r="G29" s="81"/>
      <c r="H29" s="81"/>
      <c r="I29" s="81"/>
    </row>
    <row r="30" spans="1:9" s="78" customFormat="1" x14ac:dyDescent="0.2">
      <c r="B30" s="81"/>
      <c r="C30" s="81"/>
      <c r="D30" s="81"/>
      <c r="E30" s="81"/>
      <c r="F30" s="347"/>
      <c r="G30" s="81"/>
      <c r="H30" s="81"/>
      <c r="I30" s="81"/>
    </row>
    <row r="31" spans="1:9" s="78" customFormat="1" x14ac:dyDescent="0.2">
      <c r="B31" s="81"/>
      <c r="C31" s="81"/>
      <c r="D31" s="81"/>
      <c r="E31" s="81"/>
      <c r="F31" s="348"/>
      <c r="G31" s="81"/>
      <c r="H31" s="81"/>
      <c r="I31" s="81"/>
    </row>
  </sheetData>
  <mergeCells count="1">
    <mergeCell ref="A3:F4"/>
  </mergeCells>
  <pageMargins left="0.7" right="0.7" top="0.75" bottom="0.75" header="0.3" footer="0.3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6508F-F63D-4EC1-9150-174F67CCC47A}">
  <sheetPr>
    <pageSetUpPr fitToPage="1"/>
  </sheetPr>
  <dimension ref="A1:H93"/>
  <sheetViews>
    <sheetView zoomScale="80" zoomScaleNormal="80" workbookViewId="0">
      <selection activeCell="G35" sqref="G35"/>
    </sheetView>
  </sheetViews>
  <sheetFormatPr defaultColWidth="9.140625" defaultRowHeight="12.75" x14ac:dyDescent="0.2"/>
  <cols>
    <col min="1" max="1" width="40.7109375" style="7" customWidth="1"/>
    <col min="2" max="2" width="19" style="6" customWidth="1"/>
    <col min="3" max="3" width="17.28515625" style="6" bestFit="1" customWidth="1"/>
    <col min="4" max="4" width="16" style="7" bestFit="1" customWidth="1"/>
    <col min="5" max="5" width="16" style="7" customWidth="1"/>
    <col min="6" max="7" width="16" style="7" bestFit="1" customWidth="1"/>
    <col min="8" max="9" width="9.140625" style="6"/>
    <col min="10" max="10" width="11.28515625" style="6" bestFit="1" customWidth="1"/>
    <col min="11" max="16384" width="9.140625" style="6"/>
  </cols>
  <sheetData>
    <row r="1" spans="1:7" x14ac:dyDescent="0.2">
      <c r="A1" s="5" t="s">
        <v>19</v>
      </c>
    </row>
    <row r="2" spans="1:7" s="7" customFormat="1" x14ac:dyDescent="0.2">
      <c r="A2" s="8" t="s">
        <v>108</v>
      </c>
    </row>
    <row r="3" spans="1:7" s="7" customFormat="1" x14ac:dyDescent="0.2">
      <c r="A3" s="9" t="s">
        <v>284</v>
      </c>
    </row>
    <row r="4" spans="1:7" s="7" customFormat="1" x14ac:dyDescent="0.2">
      <c r="A4" s="9" t="s">
        <v>285</v>
      </c>
    </row>
    <row r="5" spans="1:7" s="7" customFormat="1" x14ac:dyDescent="0.2">
      <c r="A5" s="8"/>
    </row>
    <row r="6" spans="1:7" s="5" customFormat="1" ht="13.5" thickBot="1" x14ac:dyDescent="0.25">
      <c r="A6" s="9"/>
    </row>
    <row r="7" spans="1:7" s="14" customFormat="1" ht="13.5" thickBot="1" x14ac:dyDescent="0.25">
      <c r="A7" s="5"/>
      <c r="B7" s="10"/>
      <c r="C7" s="11"/>
      <c r="D7" s="12"/>
      <c r="E7" s="12"/>
      <c r="F7" s="12"/>
      <c r="G7" s="13"/>
    </row>
    <row r="8" spans="1:7" x14ac:dyDescent="0.2">
      <c r="B8" s="15"/>
      <c r="C8" s="15"/>
      <c r="D8" s="16"/>
      <c r="E8" s="16"/>
      <c r="F8" s="16"/>
      <c r="G8" s="17"/>
    </row>
    <row r="9" spans="1:7" s="23" customFormat="1" ht="51" x14ac:dyDescent="0.2">
      <c r="A9" s="18"/>
      <c r="B9" s="19" t="s">
        <v>144</v>
      </c>
      <c r="C9" s="20" t="s">
        <v>137</v>
      </c>
      <c r="D9" s="21" t="s">
        <v>138</v>
      </c>
      <c r="E9" s="21" t="s">
        <v>145</v>
      </c>
      <c r="F9" s="21" t="s">
        <v>139</v>
      </c>
      <c r="G9" s="22" t="s">
        <v>140</v>
      </c>
    </row>
    <row r="10" spans="1:7" x14ac:dyDescent="0.2">
      <c r="B10" s="24"/>
      <c r="C10" s="25"/>
      <c r="G10" s="26"/>
    </row>
    <row r="11" spans="1:7" x14ac:dyDescent="0.2">
      <c r="A11" s="18" t="s">
        <v>37</v>
      </c>
      <c r="B11" s="27"/>
      <c r="C11" s="27"/>
      <c r="D11" s="28"/>
      <c r="E11" s="28"/>
      <c r="F11" s="28"/>
      <c r="G11" s="29"/>
    </row>
    <row r="12" spans="1:7" x14ac:dyDescent="0.2">
      <c r="A12" s="18" t="s">
        <v>38</v>
      </c>
      <c r="B12" s="30">
        <f>SUM(C12:G12)</f>
        <v>0</v>
      </c>
      <c r="C12" s="31"/>
      <c r="D12" s="32"/>
      <c r="E12" s="32"/>
      <c r="F12" s="32"/>
      <c r="G12" s="33"/>
    </row>
    <row r="13" spans="1:7" x14ac:dyDescent="0.2">
      <c r="A13" s="18" t="s">
        <v>39</v>
      </c>
      <c r="B13" s="30">
        <f>SUM(C13:G13)</f>
        <v>0</v>
      </c>
      <c r="C13" s="31"/>
      <c r="D13" s="32"/>
      <c r="E13" s="32"/>
      <c r="F13" s="32"/>
      <c r="G13" s="33"/>
    </row>
    <row r="14" spans="1:7" x14ac:dyDescent="0.2">
      <c r="A14" s="18" t="s">
        <v>40</v>
      </c>
      <c r="B14" s="30">
        <f>SUM(C14:G14)</f>
        <v>0</v>
      </c>
      <c r="C14" s="31"/>
      <c r="D14" s="32"/>
      <c r="E14" s="32"/>
      <c r="F14" s="32"/>
      <c r="G14" s="33"/>
    </row>
    <row r="15" spans="1:7" x14ac:dyDescent="0.2">
      <c r="A15" s="18" t="s">
        <v>41</v>
      </c>
      <c r="B15" s="30">
        <f>SUM(C15:G15)</f>
        <v>-2250983.2967191497</v>
      </c>
      <c r="C15" s="31"/>
      <c r="D15" s="32">
        <f>-OMAG!F41</f>
        <v>-2250983.2967191497</v>
      </c>
      <c r="E15" s="32"/>
      <c r="F15" s="32"/>
      <c r="G15" s="33"/>
    </row>
    <row r="16" spans="1:7" x14ac:dyDescent="0.2">
      <c r="A16" s="18" t="s">
        <v>42</v>
      </c>
      <c r="B16" s="277">
        <f>SUM(C16:G16)</f>
        <v>0</v>
      </c>
      <c r="C16" s="277">
        <f t="shared" ref="C16" si="0">SUM(C12:C15)</f>
        <v>0</v>
      </c>
      <c r="D16" s="278"/>
      <c r="E16" s="278">
        <f t="shared" ref="E16" si="1">SUM(E12:E15)</f>
        <v>0</v>
      </c>
      <c r="F16" s="278">
        <f t="shared" ref="F16:G16" si="2">SUM(F12:F15)</f>
        <v>0</v>
      </c>
      <c r="G16" s="279">
        <f t="shared" si="2"/>
        <v>0</v>
      </c>
    </row>
    <row r="17" spans="1:7" x14ac:dyDescent="0.2">
      <c r="A17" s="18"/>
      <c r="B17" s="27"/>
      <c r="C17" s="27"/>
      <c r="D17" s="28"/>
      <c r="E17" s="28"/>
      <c r="F17" s="28"/>
      <c r="G17" s="29"/>
    </row>
    <row r="18" spans="1:7" x14ac:dyDescent="0.2">
      <c r="A18" s="18" t="s">
        <v>43</v>
      </c>
      <c r="B18" s="27"/>
      <c r="C18" s="27"/>
      <c r="D18" s="28"/>
      <c r="E18" s="28"/>
      <c r="F18" s="28"/>
      <c r="G18" s="29"/>
    </row>
    <row r="19" spans="1:7" x14ac:dyDescent="0.2">
      <c r="A19" s="18" t="s">
        <v>44</v>
      </c>
      <c r="B19" s="30">
        <f t="shared" ref="B19:B40" si="3">SUM(C19:G19)</f>
        <v>-1760501.8658609833</v>
      </c>
      <c r="C19" s="31">
        <f>-OMAG!F39</f>
        <v>-1072887.6127812411</v>
      </c>
      <c r="D19" s="328">
        <f>-OMAG!F35</f>
        <v>-687614.25307974208</v>
      </c>
      <c r="E19" s="32"/>
      <c r="F19" s="32"/>
      <c r="G19" s="33"/>
    </row>
    <row r="20" spans="1:7" x14ac:dyDescent="0.2">
      <c r="A20" s="18" t="s">
        <v>45</v>
      </c>
      <c r="B20" s="30">
        <f t="shared" si="3"/>
        <v>0</v>
      </c>
      <c r="C20" s="31"/>
      <c r="D20" s="32"/>
      <c r="E20" s="32"/>
      <c r="F20" s="32"/>
      <c r="G20" s="33"/>
    </row>
    <row r="21" spans="1:7" x14ac:dyDescent="0.2">
      <c r="A21" s="18" t="s">
        <v>46</v>
      </c>
      <c r="B21" s="30">
        <f t="shared" si="3"/>
        <v>0</v>
      </c>
      <c r="C21" s="31"/>
      <c r="D21" s="32"/>
      <c r="E21" s="32"/>
      <c r="F21" s="32"/>
      <c r="G21" s="33"/>
    </row>
    <row r="22" spans="1:7" x14ac:dyDescent="0.2">
      <c r="A22" s="18" t="s">
        <v>47</v>
      </c>
      <c r="B22" s="30">
        <f t="shared" si="3"/>
        <v>0</v>
      </c>
      <c r="C22" s="31"/>
      <c r="D22" s="32"/>
      <c r="E22" s="32"/>
      <c r="F22" s="32"/>
      <c r="G22" s="33"/>
    </row>
    <row r="23" spans="1:7" x14ac:dyDescent="0.2">
      <c r="A23" s="18" t="s">
        <v>17</v>
      </c>
      <c r="B23" s="30">
        <f t="shared" si="3"/>
        <v>0</v>
      </c>
      <c r="C23" s="31"/>
      <c r="D23" s="32"/>
      <c r="E23" s="32"/>
      <c r="F23" s="32"/>
      <c r="G23" s="33"/>
    </row>
    <row r="24" spans="1:7" x14ac:dyDescent="0.2">
      <c r="A24" s="18" t="s">
        <v>48</v>
      </c>
      <c r="B24" s="30">
        <f t="shared" si="3"/>
        <v>0</v>
      </c>
      <c r="C24" s="31"/>
      <c r="D24" s="32"/>
      <c r="E24" s="32"/>
      <c r="F24" s="32"/>
      <c r="G24" s="33"/>
    </row>
    <row r="25" spans="1:7" x14ac:dyDescent="0.2">
      <c r="A25" s="18" t="s">
        <v>49</v>
      </c>
      <c r="B25" s="30">
        <f t="shared" si="3"/>
        <v>0</v>
      </c>
      <c r="C25" s="31"/>
      <c r="D25" s="32"/>
      <c r="E25" s="32"/>
      <c r="F25" s="32"/>
      <c r="G25" s="33"/>
    </row>
    <row r="26" spans="1:7" x14ac:dyDescent="0.2">
      <c r="A26" s="18" t="s">
        <v>50</v>
      </c>
      <c r="B26" s="30">
        <f t="shared" si="3"/>
        <v>0</v>
      </c>
      <c r="C26" s="31"/>
      <c r="D26" s="32"/>
      <c r="E26" s="32"/>
      <c r="F26" s="32"/>
      <c r="G26" s="33"/>
    </row>
    <row r="27" spans="1:7" x14ac:dyDescent="0.2">
      <c r="A27" s="18" t="s">
        <v>51</v>
      </c>
      <c r="B27" s="30">
        <f t="shared" si="3"/>
        <v>0</v>
      </c>
      <c r="C27" s="31"/>
      <c r="D27" s="32"/>
      <c r="E27" s="32"/>
      <c r="F27" s="32"/>
      <c r="G27" s="33"/>
    </row>
    <row r="28" spans="1:7" x14ac:dyDescent="0.2">
      <c r="A28" s="18" t="s">
        <v>52</v>
      </c>
      <c r="B28" s="30">
        <f t="shared" si="3"/>
        <v>0</v>
      </c>
      <c r="C28" s="34"/>
      <c r="D28" s="35"/>
      <c r="E28" s="35"/>
      <c r="F28" s="35"/>
      <c r="G28" s="36"/>
    </row>
    <row r="29" spans="1:7" x14ac:dyDescent="0.2">
      <c r="A29" s="18" t="s">
        <v>53</v>
      </c>
      <c r="B29" s="280">
        <f t="shared" si="3"/>
        <v>-1760501.8658609833</v>
      </c>
      <c r="C29" s="27">
        <f t="shared" ref="C29:D29" si="4">SUM(C19:C28)</f>
        <v>-1072887.6127812411</v>
      </c>
      <c r="D29" s="329">
        <f t="shared" si="4"/>
        <v>-687614.25307974208</v>
      </c>
      <c r="E29" s="28">
        <f t="shared" ref="E29" si="5">SUM(E19:E28)</f>
        <v>0</v>
      </c>
      <c r="F29" s="28">
        <f t="shared" ref="F29:G29" si="6">SUM(F19:F28)</f>
        <v>0</v>
      </c>
      <c r="G29" s="29">
        <f t="shared" si="6"/>
        <v>0</v>
      </c>
    </row>
    <row r="30" spans="1:7" x14ac:dyDescent="0.2">
      <c r="A30" s="18" t="s">
        <v>54</v>
      </c>
      <c r="B30" s="30">
        <f t="shared" si="3"/>
        <v>-2043189.6337764943</v>
      </c>
      <c r="C30" s="31">
        <f>-'Depr Exp'!D12</f>
        <v>-619831.24623251078</v>
      </c>
      <c r="D30" s="32">
        <f>-'Depr Exp'!D21</f>
        <v>-1423358.3875439835</v>
      </c>
      <c r="E30" s="32"/>
      <c r="F30" s="32"/>
      <c r="G30" s="33"/>
    </row>
    <row r="31" spans="1:7" x14ac:dyDescent="0.2">
      <c r="A31" s="18" t="s">
        <v>55</v>
      </c>
      <c r="B31" s="30">
        <f t="shared" si="3"/>
        <v>0</v>
      </c>
      <c r="C31" s="31"/>
      <c r="D31" s="32"/>
      <c r="E31" s="32"/>
      <c r="F31" s="32"/>
      <c r="G31" s="33"/>
    </row>
    <row r="32" spans="1:7" x14ac:dyDescent="0.2">
      <c r="A32" s="18" t="s">
        <v>56</v>
      </c>
      <c r="B32" s="30">
        <f t="shared" si="3"/>
        <v>0</v>
      </c>
      <c r="C32" s="31"/>
      <c r="D32" s="32"/>
      <c r="E32" s="32"/>
      <c r="F32" s="32"/>
      <c r="G32" s="33"/>
    </row>
    <row r="33" spans="1:7" x14ac:dyDescent="0.2">
      <c r="A33" s="18" t="s">
        <v>57</v>
      </c>
      <c r="B33" s="30">
        <f t="shared" si="3"/>
        <v>819713.19108247058</v>
      </c>
      <c r="C33" s="31">
        <f>C87</f>
        <v>355470.96039288788</v>
      </c>
      <c r="D33" s="328">
        <f t="shared" ref="D33:E33" si="7">D87</f>
        <v>443304.25453098235</v>
      </c>
      <c r="E33" s="32">
        <f t="shared" si="7"/>
        <v>4892.8999999999996</v>
      </c>
      <c r="F33" s="32">
        <f t="shared" ref="F33:G33" si="8">F87</f>
        <v>16045.076158600263</v>
      </c>
      <c r="G33" s="33">
        <f t="shared" si="8"/>
        <v>0</v>
      </c>
    </row>
    <row r="34" spans="1:7" x14ac:dyDescent="0.2">
      <c r="A34" s="18" t="s">
        <v>58</v>
      </c>
      <c r="B34" s="30">
        <f t="shared" si="3"/>
        <v>0</v>
      </c>
      <c r="C34" s="30">
        <v>0</v>
      </c>
      <c r="D34" s="37">
        <v>0</v>
      </c>
      <c r="E34" s="37">
        <v>0</v>
      </c>
      <c r="F34" s="37">
        <v>0</v>
      </c>
      <c r="G34" s="38">
        <v>0</v>
      </c>
    </row>
    <row r="35" spans="1:7" x14ac:dyDescent="0.2">
      <c r="A35" s="18" t="s">
        <v>59</v>
      </c>
      <c r="B35" s="30">
        <f t="shared" si="3"/>
        <v>23242.434531051593</v>
      </c>
      <c r="C35" s="31">
        <f>+Tax!E27</f>
        <v>206.66039999981876</v>
      </c>
      <c r="D35" s="32">
        <f>+Tax!E26</f>
        <v>-1148.7297999999646</v>
      </c>
      <c r="E35" s="32">
        <f>+Tax!E28</f>
        <v>28154.503931051739</v>
      </c>
      <c r="F35" s="32"/>
      <c r="G35" s="33">
        <f>'Def Removal'!C20</f>
        <v>-3970</v>
      </c>
    </row>
    <row r="36" spans="1:7" x14ac:dyDescent="0.2">
      <c r="A36" s="18" t="s">
        <v>60</v>
      </c>
      <c r="B36" s="30">
        <f t="shared" si="3"/>
        <v>0</v>
      </c>
      <c r="C36" s="31"/>
      <c r="D36" s="32"/>
      <c r="E36" s="32"/>
      <c r="F36" s="32"/>
      <c r="G36" s="33"/>
    </row>
    <row r="37" spans="1:7" x14ac:dyDescent="0.2">
      <c r="A37" s="18" t="s">
        <v>61</v>
      </c>
      <c r="B37" s="30">
        <f t="shared" si="3"/>
        <v>0</v>
      </c>
      <c r="C37" s="31"/>
      <c r="D37" s="32"/>
      <c r="E37" s="32"/>
      <c r="F37" s="32"/>
      <c r="G37" s="33"/>
    </row>
    <row r="38" spans="1:7" x14ac:dyDescent="0.2">
      <c r="A38" s="18" t="s">
        <v>62</v>
      </c>
      <c r="B38" s="277">
        <f t="shared" si="3"/>
        <v>-2960735.8740239544</v>
      </c>
      <c r="C38" s="277">
        <f>SUM(C29:C37)</f>
        <v>-1337041.238220864</v>
      </c>
      <c r="D38" s="330">
        <f t="shared" ref="D38:E38" si="9">SUM(D29:D37)</f>
        <v>-1668817.115892743</v>
      </c>
      <c r="E38" s="278">
        <f t="shared" si="9"/>
        <v>33047.40393105174</v>
      </c>
      <c r="F38" s="278">
        <f t="shared" ref="F38:G38" si="10">SUM(F29:F37)</f>
        <v>16045.076158600263</v>
      </c>
      <c r="G38" s="279">
        <f t="shared" si="10"/>
        <v>-3970</v>
      </c>
    </row>
    <row r="39" spans="1:7" x14ac:dyDescent="0.2">
      <c r="A39" s="18"/>
      <c r="B39" s="27">
        <f t="shared" si="3"/>
        <v>0</v>
      </c>
      <c r="C39" s="27"/>
      <c r="D39" s="329"/>
      <c r="E39" s="28"/>
      <c r="F39" s="28"/>
      <c r="G39" s="29"/>
    </row>
    <row r="40" spans="1:7" ht="13.5" thickBot="1" x14ac:dyDescent="0.25">
      <c r="A40" s="18" t="s">
        <v>63</v>
      </c>
      <c r="B40" s="281">
        <f t="shared" si="3"/>
        <v>2960735.8740239544</v>
      </c>
      <c r="C40" s="281">
        <f t="shared" ref="C40:G40" si="11">C16-C38</f>
        <v>1337041.238220864</v>
      </c>
      <c r="D40" s="331">
        <f t="shared" ref="D40:E40" si="12">D16-D38</f>
        <v>1668817.115892743</v>
      </c>
      <c r="E40" s="282">
        <f t="shared" si="12"/>
        <v>-33047.40393105174</v>
      </c>
      <c r="F40" s="282">
        <f t="shared" si="11"/>
        <v>-16045.076158600263</v>
      </c>
      <c r="G40" s="283">
        <f t="shared" si="11"/>
        <v>3970</v>
      </c>
    </row>
    <row r="41" spans="1:7" ht="13.5" thickTop="1" x14ac:dyDescent="0.2">
      <c r="A41" s="18"/>
      <c r="B41" s="27"/>
      <c r="C41" s="27"/>
      <c r="D41" s="329"/>
      <c r="E41" s="28"/>
      <c r="F41" s="28"/>
      <c r="G41" s="29"/>
    </row>
    <row r="42" spans="1:7" x14ac:dyDescent="0.2">
      <c r="A42" s="18" t="s">
        <v>64</v>
      </c>
      <c r="B42" s="27"/>
      <c r="C42" s="27"/>
      <c r="D42" s="28"/>
      <c r="E42" s="28"/>
      <c r="F42" s="28"/>
      <c r="G42" s="29"/>
    </row>
    <row r="43" spans="1:7" x14ac:dyDescent="0.2">
      <c r="A43" s="18" t="s">
        <v>65</v>
      </c>
      <c r="B43" s="30">
        <f t="shared" ref="B43:B54" si="13">SUM(C43:G43)</f>
        <v>-190572533.68882617</v>
      </c>
      <c r="C43" s="31">
        <f>-SUM(EPIS!E29:E31)</f>
        <v>-27451910.99260075</v>
      </c>
      <c r="D43" s="32">
        <f>-SUM(EPIS!E26:E27)</f>
        <v>-121892777.03814588</v>
      </c>
      <c r="E43" s="32">
        <f>-'Mine RB'!D9</f>
        <v>-41227845.658079535</v>
      </c>
      <c r="F43" s="32"/>
      <c r="G43" s="33"/>
    </row>
    <row r="44" spans="1:7" x14ac:dyDescent="0.2">
      <c r="A44" s="18" t="s">
        <v>66</v>
      </c>
      <c r="B44" s="30">
        <f t="shared" si="13"/>
        <v>0</v>
      </c>
      <c r="C44" s="31"/>
      <c r="D44" s="32"/>
      <c r="E44" s="32"/>
      <c r="F44" s="32"/>
      <c r="G44" s="33"/>
    </row>
    <row r="45" spans="1:7" x14ac:dyDescent="0.2">
      <c r="A45" s="18" t="s">
        <v>67</v>
      </c>
      <c r="B45" s="30">
        <f t="shared" si="13"/>
        <v>0</v>
      </c>
      <c r="C45" s="31"/>
      <c r="D45" s="32"/>
      <c r="E45" s="32"/>
      <c r="F45" s="32"/>
      <c r="G45" s="33"/>
    </row>
    <row r="46" spans="1:7" x14ac:dyDescent="0.2">
      <c r="A46" s="18" t="s">
        <v>68</v>
      </c>
      <c r="B46" s="30">
        <f t="shared" si="13"/>
        <v>0</v>
      </c>
      <c r="C46" s="31"/>
      <c r="D46" s="32"/>
      <c r="E46" s="32"/>
      <c r="F46" s="32"/>
      <c r="G46" s="33"/>
    </row>
    <row r="47" spans="1:7" x14ac:dyDescent="0.2">
      <c r="A47" s="18" t="s">
        <v>69</v>
      </c>
      <c r="B47" s="30">
        <f t="shared" si="13"/>
        <v>0</v>
      </c>
      <c r="C47" s="31"/>
      <c r="D47" s="32"/>
      <c r="E47" s="32"/>
      <c r="F47" s="32"/>
      <c r="G47" s="33"/>
    </row>
    <row r="48" spans="1:7" x14ac:dyDescent="0.2">
      <c r="A48" s="18" t="s">
        <v>70</v>
      </c>
      <c r="B48" s="30">
        <f t="shared" si="13"/>
        <v>0</v>
      </c>
      <c r="C48" s="31"/>
      <c r="D48" s="32"/>
      <c r="E48" s="32"/>
      <c r="F48" s="32"/>
      <c r="G48" s="33"/>
    </row>
    <row r="49" spans="1:8" x14ac:dyDescent="0.2">
      <c r="A49" s="18" t="s">
        <v>71</v>
      </c>
      <c r="B49" s="30">
        <f t="shared" si="13"/>
        <v>0</v>
      </c>
      <c r="C49" s="31"/>
      <c r="D49" s="32"/>
      <c r="E49" s="32"/>
      <c r="F49" s="32"/>
      <c r="G49" s="33"/>
    </row>
    <row r="50" spans="1:8" x14ac:dyDescent="0.2">
      <c r="A50" s="18" t="s">
        <v>72</v>
      </c>
      <c r="B50" s="30">
        <f t="shared" si="13"/>
        <v>0</v>
      </c>
      <c r="C50" s="31"/>
      <c r="D50" s="32"/>
      <c r="E50" s="32"/>
      <c r="F50" s="32"/>
      <c r="G50" s="33"/>
    </row>
    <row r="51" spans="1:8" x14ac:dyDescent="0.2">
      <c r="A51" s="18" t="s">
        <v>73</v>
      </c>
      <c r="B51" s="30">
        <f t="shared" si="13"/>
        <v>0</v>
      </c>
      <c r="C51" s="31"/>
      <c r="D51" s="32"/>
      <c r="E51" s="32"/>
      <c r="F51" s="32"/>
      <c r="G51" s="33"/>
    </row>
    <row r="52" spans="1:8" x14ac:dyDescent="0.2">
      <c r="A52" s="18" t="s">
        <v>74</v>
      </c>
      <c r="B52" s="30">
        <f t="shared" si="13"/>
        <v>0</v>
      </c>
      <c r="C52" s="31"/>
      <c r="D52" s="32"/>
      <c r="E52" s="32"/>
      <c r="F52" s="32"/>
      <c r="G52" s="33"/>
    </row>
    <row r="53" spans="1:8" x14ac:dyDescent="0.2">
      <c r="A53" s="18" t="s">
        <v>75</v>
      </c>
      <c r="B53" s="30">
        <f t="shared" si="13"/>
        <v>0</v>
      </c>
      <c r="C53" s="31"/>
      <c r="D53" s="32"/>
      <c r="E53" s="32"/>
      <c r="F53" s="32"/>
      <c r="G53" s="33"/>
    </row>
    <row r="54" spans="1:8" x14ac:dyDescent="0.2">
      <c r="A54" s="18" t="s">
        <v>76</v>
      </c>
      <c r="B54" s="284">
        <f t="shared" si="13"/>
        <v>-190572533.68882617</v>
      </c>
      <c r="C54" s="284">
        <f>SUM(C43:C53)</f>
        <v>-27451910.99260075</v>
      </c>
      <c r="D54" s="285">
        <f t="shared" ref="D54:G54" si="14">SUM(D43:D53)</f>
        <v>-121892777.03814588</v>
      </c>
      <c r="E54" s="285">
        <f t="shared" ref="E54" si="15">SUM(E43:E53)</f>
        <v>-41227845.658079535</v>
      </c>
      <c r="F54" s="285">
        <f t="shared" si="14"/>
        <v>0</v>
      </c>
      <c r="G54" s="286">
        <f t="shared" si="14"/>
        <v>0</v>
      </c>
    </row>
    <row r="55" spans="1:8" x14ac:dyDescent="0.2">
      <c r="A55" s="18"/>
      <c r="B55" s="27"/>
      <c r="C55" s="27"/>
      <c r="D55" s="28"/>
      <c r="E55" s="28"/>
      <c r="F55" s="28"/>
      <c r="G55" s="29"/>
    </row>
    <row r="56" spans="1:8" x14ac:dyDescent="0.2">
      <c r="A56" s="18" t="s">
        <v>77</v>
      </c>
      <c r="B56" s="27"/>
      <c r="C56" s="27"/>
      <c r="D56" s="28"/>
      <c r="E56" s="28"/>
      <c r="F56" s="28"/>
      <c r="G56" s="29"/>
    </row>
    <row r="57" spans="1:8" x14ac:dyDescent="0.2">
      <c r="A57" s="18" t="s">
        <v>78</v>
      </c>
      <c r="B57" s="30">
        <f t="shared" ref="B57:B65" si="16">SUM(C57:G57)</f>
        <v>186123278.20610797</v>
      </c>
      <c r="C57" s="31">
        <f>-C43</f>
        <v>27451910.99260075</v>
      </c>
      <c r="D57" s="32">
        <f>-D43</f>
        <v>121892777.03814588</v>
      </c>
      <c r="E57" s="32">
        <f>-'Mine RB'!D10</f>
        <v>36778590.175361328</v>
      </c>
      <c r="F57" s="32"/>
      <c r="G57" s="33"/>
      <c r="H57" s="103"/>
    </row>
    <row r="58" spans="1:8" x14ac:dyDescent="0.2">
      <c r="A58" s="18" t="s">
        <v>79</v>
      </c>
      <c r="B58" s="30">
        <f t="shared" si="16"/>
        <v>0</v>
      </c>
      <c r="C58" s="31"/>
      <c r="D58" s="32"/>
      <c r="E58" s="32"/>
      <c r="F58" s="32"/>
      <c r="G58" s="33"/>
    </row>
    <row r="59" spans="1:8" x14ac:dyDescent="0.2">
      <c r="A59" s="18" t="s">
        <v>80</v>
      </c>
      <c r="B59" s="30">
        <f t="shared" si="16"/>
        <v>1161520.297844416</v>
      </c>
      <c r="C59" s="31">
        <f>Tax!E19</f>
        <v>1720963.2208987754</v>
      </c>
      <c r="D59" s="32">
        <f>Tax!E14</f>
        <v>-2123314.9230543594</v>
      </c>
      <c r="E59" s="32">
        <f>Tax!E21+Tax!E22</f>
        <v>1762249</v>
      </c>
      <c r="F59" s="32"/>
      <c r="G59" s="33">
        <f>'Def Removal'!D20</f>
        <v>-198377</v>
      </c>
    </row>
    <row r="60" spans="1:8" x14ac:dyDescent="0.2">
      <c r="A60" s="18" t="s">
        <v>81</v>
      </c>
      <c r="B60" s="30">
        <f t="shared" si="16"/>
        <v>0</v>
      </c>
      <c r="C60" s="31"/>
      <c r="D60" s="32"/>
      <c r="E60" s="32"/>
      <c r="F60" s="32"/>
      <c r="G60" s="33"/>
    </row>
    <row r="61" spans="1:8" x14ac:dyDescent="0.2">
      <c r="A61" s="18" t="s">
        <v>82</v>
      </c>
      <c r="B61" s="30">
        <f t="shared" si="16"/>
        <v>0</v>
      </c>
      <c r="C61" s="31"/>
      <c r="D61" s="32"/>
      <c r="E61" s="32"/>
      <c r="F61" s="32"/>
      <c r="G61" s="33"/>
    </row>
    <row r="62" spans="1:8" x14ac:dyDescent="0.2">
      <c r="A62" s="18" t="s">
        <v>83</v>
      </c>
      <c r="B62" s="30">
        <f t="shared" si="16"/>
        <v>0</v>
      </c>
      <c r="C62" s="31"/>
      <c r="D62" s="32"/>
      <c r="E62" s="32"/>
      <c r="F62" s="32"/>
      <c r="G62" s="33"/>
    </row>
    <row r="63" spans="1:8" x14ac:dyDescent="0.2">
      <c r="A63" s="18" t="s">
        <v>84</v>
      </c>
      <c r="B63" s="30">
        <f t="shared" si="16"/>
        <v>0</v>
      </c>
      <c r="C63" s="31"/>
      <c r="D63" s="32"/>
      <c r="E63" s="32"/>
      <c r="F63" s="32"/>
      <c r="G63" s="33"/>
    </row>
    <row r="64" spans="1:8" x14ac:dyDescent="0.2">
      <c r="A64" s="18"/>
      <c r="B64" s="27">
        <f t="shared" si="16"/>
        <v>0</v>
      </c>
      <c r="C64" s="27"/>
      <c r="D64" s="28"/>
      <c r="E64" s="28"/>
      <c r="F64" s="28"/>
      <c r="G64" s="29"/>
    </row>
    <row r="65" spans="1:7" x14ac:dyDescent="0.2">
      <c r="A65" s="18" t="s">
        <v>85</v>
      </c>
      <c r="B65" s="277">
        <f t="shared" si="16"/>
        <v>187284798.50395238</v>
      </c>
      <c r="C65" s="277">
        <f t="shared" ref="C65" si="17">SUM(C57:C64)</f>
        <v>29172874.213499524</v>
      </c>
      <c r="D65" s="278">
        <f t="shared" ref="D65:E65" si="18">SUM(D57:D64)</f>
        <v>119769462.11509153</v>
      </c>
      <c r="E65" s="278">
        <f t="shared" si="18"/>
        <v>38540839.175361328</v>
      </c>
      <c r="F65" s="278">
        <f t="shared" ref="F65:G65" si="19">SUM(F57:F64)</f>
        <v>0</v>
      </c>
      <c r="G65" s="279">
        <f t="shared" si="19"/>
        <v>-198377</v>
      </c>
    </row>
    <row r="66" spans="1:7" x14ac:dyDescent="0.2">
      <c r="A66" s="18"/>
      <c r="B66" s="27"/>
      <c r="C66" s="27"/>
      <c r="D66" s="28"/>
      <c r="E66" s="28"/>
      <c r="F66" s="28"/>
      <c r="G66" s="29"/>
    </row>
    <row r="67" spans="1:7" ht="13.5" thickBot="1" x14ac:dyDescent="0.25">
      <c r="A67" s="18" t="s">
        <v>86</v>
      </c>
      <c r="B67" s="287">
        <f>SUM(C67:G67)</f>
        <v>-3287735.1848737858</v>
      </c>
      <c r="C67" s="287">
        <f t="shared" ref="C67:G67" si="20">C54+C65</f>
        <v>1720963.2208987735</v>
      </c>
      <c r="D67" s="288">
        <f t="shared" ref="D67" si="21">D54+D65</f>
        <v>-2123314.9230543524</v>
      </c>
      <c r="E67" s="288">
        <f>E54+E65</f>
        <v>-2687006.4827182069</v>
      </c>
      <c r="F67" s="288">
        <f t="shared" si="20"/>
        <v>0</v>
      </c>
      <c r="G67" s="289">
        <f t="shared" si="20"/>
        <v>-198377</v>
      </c>
    </row>
    <row r="68" spans="1:7" ht="13.5" thickTop="1" x14ac:dyDescent="0.2">
      <c r="A68" s="18"/>
      <c r="B68" s="27"/>
      <c r="C68" s="27"/>
      <c r="D68" s="28"/>
      <c r="E68" s="28"/>
      <c r="F68" s="28"/>
      <c r="G68" s="29"/>
    </row>
    <row r="69" spans="1:7" x14ac:dyDescent="0.2">
      <c r="A69" s="18"/>
      <c r="B69" s="27"/>
      <c r="C69" s="27"/>
      <c r="D69" s="28"/>
      <c r="E69" s="28"/>
      <c r="F69" s="28"/>
      <c r="G69" s="29"/>
    </row>
    <row r="70" spans="1:7" s="43" customFormat="1" x14ac:dyDescent="0.2">
      <c r="A70" s="39" t="s">
        <v>87</v>
      </c>
      <c r="B70" s="40">
        <f>(((B40+[21]Summary!$N$37)/(B67+[21]Summary!$N$64))-Weighted_cost_debt-Weighted_cost_pref)/Percent_common-[21]Summary!$N$67</f>
        <v>4.518316335653888E-3</v>
      </c>
      <c r="C70" s="40">
        <f>(((C40+[21]Summary!$N$37)/(C67+[21]Summary!$N$64))-Weighted_cost_debt-Weighted_cost_pref)/Percent_common-[21]Summary!$N$67</f>
        <v>1.6250300375844628E-3</v>
      </c>
      <c r="D70" s="332">
        <f>(((D40+[21]Summary!$N$37)/(D67+[21]Summary!$N$64))-Weighted_cost_debt-Weighted_cost_pref)/Percent_common-[21]Summary!$N$67</f>
        <v>2.5278330438025659E-3</v>
      </c>
      <c r="E70" s="41">
        <f>(((E40+[21]Summary!$N$37)/(E67+[21]Summary!$N$64))-Weighted_cost_debt-Weighted_cost_pref)/Percent_common-[21]Summary!$N$67</f>
        <v>1.4048731413590643E-4</v>
      </c>
      <c r="F70" s="41">
        <f>(((F40+[21]Summary!$N$37)/(F67+[21]Summary!$N$64))-Weighted_cost_debt-Weighted_cost_pref)/Percent_common-[21]Summary!$N$67</f>
        <v>-1.2898711699912968E-4</v>
      </c>
      <c r="G70" s="42">
        <f>(((G40+[21]Summary!$N$37)/(G67+[21]Summary!$N$64))-Weighted_cost_debt-Weighted_cost_pref)/Percent_common-[21]Summary!$N$67</f>
        <v>-7.856273118866941E-5</v>
      </c>
    </row>
    <row r="71" spans="1:7" x14ac:dyDescent="0.2">
      <c r="A71" s="18" t="s">
        <v>88</v>
      </c>
      <c r="B71" s="294">
        <f>SUM(C71:G71)</f>
        <v>-4270442.0580383101</v>
      </c>
      <c r="C71" s="294">
        <f t="shared" ref="C71" si="22">-(C40-(C67*Overall_ROR))/gross_up_factor</f>
        <v>-1604437.2767850778</v>
      </c>
      <c r="D71" s="333">
        <f t="shared" ref="D71:F71" si="23">-(D40-(D67*Overall_ROR))/gross_up_factor</f>
        <v>-2434344.7235307302</v>
      </c>
      <c r="E71" s="295">
        <f t="shared" ref="E71" si="24">-(E40-(E67*Overall_ROR))/gross_up_factor</f>
        <v>-227667.64485585911</v>
      </c>
      <c r="F71" s="295">
        <f t="shared" si="23"/>
        <v>21341.645817616267</v>
      </c>
      <c r="G71" s="296">
        <f t="shared" ref="G71" si="25">-(G40-(G67*Overall_ROR))/gross_up_factor</f>
        <v>-25334.058684259529</v>
      </c>
    </row>
    <row r="72" spans="1:7" x14ac:dyDescent="0.2">
      <c r="A72" s="18"/>
      <c r="B72" s="40"/>
      <c r="C72" s="40"/>
      <c r="D72" s="41"/>
      <c r="E72" s="41"/>
      <c r="F72" s="41"/>
      <c r="G72" s="42"/>
    </row>
    <row r="73" spans="1:7" x14ac:dyDescent="0.2">
      <c r="A73" s="18" t="s">
        <v>89</v>
      </c>
      <c r="B73" s="27"/>
      <c r="C73" s="27"/>
      <c r="D73" s="28"/>
      <c r="E73" s="28"/>
      <c r="F73" s="28"/>
      <c r="G73" s="29"/>
    </row>
    <row r="74" spans="1:7" x14ac:dyDescent="0.2">
      <c r="A74" s="18" t="s">
        <v>90</v>
      </c>
      <c r="B74" s="294">
        <f t="shared" ref="B74:B80" si="26">SUM(C74:G74)</f>
        <v>3803691.4996374771</v>
      </c>
      <c r="C74" s="294">
        <f t="shared" ref="C74:G74" si="27">C16-C29-C30-C31-C32-C37</f>
        <v>1692718.8590137518</v>
      </c>
      <c r="D74" s="333">
        <f t="shared" ref="D74:E74" si="28">D16-D29-D30-D31-D32-D37</f>
        <v>2110972.6406237255</v>
      </c>
      <c r="E74" s="295">
        <f t="shared" si="28"/>
        <v>0</v>
      </c>
      <c r="F74" s="295">
        <f t="shared" si="27"/>
        <v>0</v>
      </c>
      <c r="G74" s="296">
        <f t="shared" si="27"/>
        <v>0</v>
      </c>
    </row>
    <row r="75" spans="1:7" x14ac:dyDescent="0.2">
      <c r="A75" s="18" t="s">
        <v>91</v>
      </c>
      <c r="B75" s="294">
        <f t="shared" si="26"/>
        <v>0</v>
      </c>
      <c r="C75" s="27"/>
      <c r="D75" s="28"/>
      <c r="E75" s="28"/>
      <c r="F75" s="28"/>
      <c r="G75" s="29"/>
    </row>
    <row r="76" spans="1:7" x14ac:dyDescent="0.2">
      <c r="A76" s="18" t="s">
        <v>92</v>
      </c>
      <c r="B76" s="294">
        <f t="shared" si="26"/>
        <v>0</v>
      </c>
      <c r="C76" s="30"/>
      <c r="D76" s="37"/>
      <c r="E76" s="37"/>
      <c r="F76" s="37"/>
      <c r="G76" s="38"/>
    </row>
    <row r="77" spans="1:7" x14ac:dyDescent="0.2">
      <c r="A77" s="18" t="s">
        <v>93</v>
      </c>
      <c r="B77" s="294">
        <f t="shared" si="26"/>
        <v>-76405.124564763159</v>
      </c>
      <c r="C77" s="30"/>
      <c r="D77" s="37"/>
      <c r="E77" s="37"/>
      <c r="F77" s="37">
        <f>'Interest Calc'!C17</f>
        <v>-76405.124564763159</v>
      </c>
      <c r="G77" s="38"/>
    </row>
    <row r="78" spans="1:7" x14ac:dyDescent="0.2">
      <c r="A78" s="18" t="s">
        <v>94</v>
      </c>
      <c r="B78" s="294">
        <f t="shared" si="26"/>
        <v>-6210</v>
      </c>
      <c r="C78" s="30"/>
      <c r="D78" s="37"/>
      <c r="E78" s="37">
        <f>Tax!E24</f>
        <v>-6210</v>
      </c>
      <c r="F78" s="37"/>
      <c r="G78" s="38"/>
    </row>
    <row r="79" spans="1:7" x14ac:dyDescent="0.2">
      <c r="A79" s="18" t="s">
        <v>95</v>
      </c>
      <c r="B79" s="294">
        <f t="shared" si="26"/>
        <v>0</v>
      </c>
      <c r="C79" s="297"/>
      <c r="D79" s="298"/>
      <c r="E79" s="298"/>
      <c r="F79" s="298"/>
      <c r="G79" s="299"/>
    </row>
    <row r="80" spans="1:7" x14ac:dyDescent="0.2">
      <c r="A80" s="18" t="s">
        <v>96</v>
      </c>
      <c r="B80" s="44">
        <f t="shared" si="26"/>
        <v>3873886.6242022403</v>
      </c>
      <c r="C80" s="45">
        <f t="shared" ref="C80:F80" si="29">C74-C76-C77+C78-C79</f>
        <v>1692718.8590137518</v>
      </c>
      <c r="D80" s="334">
        <f t="shared" ref="D80:E80" si="30">D74-D76-D77+D78-D79</f>
        <v>2110972.6406237255</v>
      </c>
      <c r="E80" s="46">
        <f t="shared" si="30"/>
        <v>-6210</v>
      </c>
      <c r="F80" s="46">
        <f t="shared" si="29"/>
        <v>76405.124564763159</v>
      </c>
      <c r="G80" s="47">
        <f t="shared" ref="G80" si="31">G74-G76-G77+G78-G79</f>
        <v>0</v>
      </c>
    </row>
    <row r="81" spans="1:7" x14ac:dyDescent="0.2">
      <c r="A81" s="18"/>
      <c r="B81" s="27"/>
      <c r="C81" s="27"/>
      <c r="D81" s="329"/>
      <c r="E81" s="28"/>
      <c r="F81" s="28"/>
      <c r="G81" s="29"/>
    </row>
    <row r="82" spans="1:7" x14ac:dyDescent="0.2">
      <c r="A82" s="18" t="s">
        <v>97</v>
      </c>
      <c r="B82" s="25">
        <f>SUM(C82:G82)</f>
        <v>0</v>
      </c>
      <c r="C82" s="27">
        <v>0</v>
      </c>
      <c r="D82" s="329">
        <v>0</v>
      </c>
      <c r="E82" s="28">
        <v>0</v>
      </c>
      <c r="F82" s="28">
        <v>0</v>
      </c>
      <c r="G82" s="29">
        <v>0</v>
      </c>
    </row>
    <row r="83" spans="1:7" x14ac:dyDescent="0.2">
      <c r="A83" s="18" t="s">
        <v>98</v>
      </c>
      <c r="B83" s="25">
        <f>SUM(C83:G83)</f>
        <v>3873886.6242022403</v>
      </c>
      <c r="C83" s="27">
        <f>C80-C82</f>
        <v>1692718.8590137518</v>
      </c>
      <c r="D83" s="329">
        <f t="shared" ref="D83:E83" si="32">D80-D82</f>
        <v>2110972.6406237255</v>
      </c>
      <c r="E83" s="28">
        <f t="shared" si="32"/>
        <v>-6210</v>
      </c>
      <c r="F83" s="28">
        <f t="shared" ref="F83:G83" si="33">F80-F82</f>
        <v>76405.124564763159</v>
      </c>
      <c r="G83" s="29">
        <f t="shared" si="33"/>
        <v>0</v>
      </c>
    </row>
    <row r="84" spans="1:7" x14ac:dyDescent="0.2">
      <c r="A84" s="18"/>
      <c r="B84" s="25"/>
      <c r="C84" s="27"/>
      <c r="D84" s="329"/>
      <c r="E84" s="28"/>
      <c r="F84" s="28"/>
      <c r="G84" s="29"/>
    </row>
    <row r="85" spans="1:7" x14ac:dyDescent="0.2">
      <c r="A85" s="18" t="s">
        <v>99</v>
      </c>
      <c r="B85" s="25">
        <f>SUM(C85:G85)</f>
        <v>813516.19108247058</v>
      </c>
      <c r="C85" s="27">
        <f>C83*0.21</f>
        <v>355470.96039288788</v>
      </c>
      <c r="D85" s="329">
        <f t="shared" ref="D85:E85" si="34">D83*0.21</f>
        <v>443304.25453098235</v>
      </c>
      <c r="E85" s="28">
        <f t="shared" si="34"/>
        <v>-1304.0999999999999</v>
      </c>
      <c r="F85" s="28">
        <f t="shared" ref="F85:G85" si="35">F83*0.21</f>
        <v>16045.076158600263</v>
      </c>
      <c r="G85" s="29">
        <f t="shared" si="35"/>
        <v>0</v>
      </c>
    </row>
    <row r="86" spans="1:7" x14ac:dyDescent="0.2">
      <c r="A86" s="18" t="s">
        <v>100</v>
      </c>
      <c r="B86" s="25">
        <f>SUM(C86:G86)</f>
        <v>6197</v>
      </c>
      <c r="C86" s="27"/>
      <c r="D86" s="329"/>
      <c r="E86" s="28">
        <f>Tax!E30</f>
        <v>6197</v>
      </c>
      <c r="F86" s="28"/>
      <c r="G86" s="29"/>
    </row>
    <row r="87" spans="1:7" s="7" customFormat="1" ht="13.5" thickBot="1" x14ac:dyDescent="0.25">
      <c r="A87" s="18" t="s">
        <v>101</v>
      </c>
      <c r="B87" s="290">
        <f>SUM(C87:G87)</f>
        <v>819713.19108247058</v>
      </c>
      <c r="C87" s="291">
        <f>C85+C86</f>
        <v>355470.96039288788</v>
      </c>
      <c r="D87" s="335">
        <f t="shared" ref="D87:E87" si="36">D85+D86</f>
        <v>443304.25453098235</v>
      </c>
      <c r="E87" s="292">
        <f t="shared" si="36"/>
        <v>4892.8999999999996</v>
      </c>
      <c r="F87" s="292">
        <f t="shared" ref="F87:G87" si="37">F85+F86</f>
        <v>16045.076158600263</v>
      </c>
      <c r="G87" s="293">
        <f t="shared" si="37"/>
        <v>0</v>
      </c>
    </row>
    <row r="88" spans="1:7" s="7" customFormat="1" x14ac:dyDescent="0.2">
      <c r="A88" s="18"/>
      <c r="B88" s="46"/>
      <c r="C88" s="46"/>
      <c r="D88" s="46"/>
      <c r="E88" s="46"/>
      <c r="F88" s="46"/>
      <c r="G88" s="46"/>
    </row>
    <row r="89" spans="1:7" s="7" customFormat="1" x14ac:dyDescent="0.2">
      <c r="A89" s="18"/>
      <c r="B89" s="18"/>
      <c r="C89" s="18"/>
      <c r="D89" s="18"/>
      <c r="E89" s="18"/>
      <c r="F89" s="18"/>
      <c r="G89" s="18"/>
    </row>
    <row r="90" spans="1:7" s="7" customFormat="1" x14ac:dyDescent="0.2">
      <c r="A90" s="300"/>
      <c r="B90" s="28"/>
      <c r="C90" s="28"/>
      <c r="D90" s="28"/>
      <c r="E90" s="28"/>
      <c r="F90" s="28"/>
      <c r="G90" s="28"/>
    </row>
    <row r="91" spans="1:7" s="7" customFormat="1" x14ac:dyDescent="0.2">
      <c r="A91" s="18"/>
      <c r="B91" s="28"/>
      <c r="C91" s="28"/>
      <c r="D91" s="28"/>
      <c r="E91" s="28"/>
      <c r="F91" s="28"/>
      <c r="G91" s="28"/>
    </row>
    <row r="92" spans="1:7" s="7" customFormat="1" x14ac:dyDescent="0.2">
      <c r="A92" s="18"/>
    </row>
    <row r="93" spans="1:7" s="7" customFormat="1" x14ac:dyDescent="0.2">
      <c r="A93" s="48"/>
    </row>
  </sheetData>
  <pageMargins left="1" right="0.5" top="0.75" bottom="0.5" header="0.4" footer="0.5"/>
  <pageSetup scale="68" firstPageNumber="17" fitToWidth="0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47A64-BD9C-4AED-BE36-20785CC3D20E}">
  <sheetPr>
    <pageSetUpPr fitToPage="1"/>
  </sheetPr>
  <dimension ref="B1:D32"/>
  <sheetViews>
    <sheetView workbookViewId="0">
      <selection activeCell="B39" sqref="B39"/>
    </sheetView>
  </sheetViews>
  <sheetFormatPr defaultColWidth="9.140625" defaultRowHeight="12.75" x14ac:dyDescent="0.2"/>
  <cols>
    <col min="1" max="1" width="3.140625" style="2" customWidth="1"/>
    <col min="2" max="2" width="42.28515625" style="2" customWidth="1"/>
    <col min="3" max="3" width="16.28515625" style="2" customWidth="1"/>
    <col min="4" max="4" width="26.28515625" style="2" customWidth="1"/>
    <col min="5" max="5" width="14" style="2" bestFit="1" customWidth="1"/>
    <col min="6" max="16384" width="9.140625" style="2"/>
  </cols>
  <sheetData>
    <row r="1" spans="2:4" x14ac:dyDescent="0.2">
      <c r="B1" s="49" t="s">
        <v>19</v>
      </c>
    </row>
    <row r="2" spans="2:4" x14ac:dyDescent="0.2">
      <c r="B2" s="49" t="str">
        <f>[21]Summary!A2</f>
        <v>Washington 2023 General Rate Case</v>
      </c>
    </row>
    <row r="3" spans="2:4" x14ac:dyDescent="0.2">
      <c r="B3" s="49" t="s">
        <v>277</v>
      </c>
    </row>
    <row r="4" spans="2:4" x14ac:dyDescent="0.2">
      <c r="B4" s="49" t="s">
        <v>143</v>
      </c>
    </row>
    <row r="6" spans="2:4" x14ac:dyDescent="0.2">
      <c r="B6" s="50" t="s">
        <v>142</v>
      </c>
      <c r="D6" s="51" t="s">
        <v>102</v>
      </c>
    </row>
    <row r="7" spans="2:4" x14ac:dyDescent="0.2">
      <c r="B7" s="2" t="s">
        <v>103</v>
      </c>
      <c r="C7" s="52">
        <f>Summary!D8</f>
        <v>1357485560.829288</v>
      </c>
      <c r="D7" s="53" t="s">
        <v>279</v>
      </c>
    </row>
    <row r="8" spans="2:4" x14ac:dyDescent="0.2">
      <c r="D8" s="4"/>
    </row>
    <row r="9" spans="2:4" x14ac:dyDescent="0.2">
      <c r="D9" s="4"/>
    </row>
    <row r="10" spans="2:4" x14ac:dyDescent="0.2">
      <c r="B10" s="50" t="s">
        <v>104</v>
      </c>
      <c r="D10" s="4"/>
    </row>
    <row r="11" spans="2:4" x14ac:dyDescent="0.2">
      <c r="B11" s="2" t="s">
        <v>105</v>
      </c>
      <c r="C11" s="52">
        <f>C7+'Rev Req'!B67</f>
        <v>1354197825.6444142</v>
      </c>
      <c r="D11" s="53" t="s">
        <v>280</v>
      </c>
    </row>
    <row r="12" spans="2:4" x14ac:dyDescent="0.2">
      <c r="B12" s="2" t="s">
        <v>106</v>
      </c>
      <c r="C12" s="54">
        <f>Variables!$E$8</f>
        <v>2.323944E-2</v>
      </c>
      <c r="D12" s="2" t="s">
        <v>281</v>
      </c>
    </row>
    <row r="13" spans="2:4" x14ac:dyDescent="0.2">
      <c r="B13" s="2" t="s">
        <v>107</v>
      </c>
      <c r="C13" s="52">
        <f>C11*C12</f>
        <v>31470799.117193826</v>
      </c>
      <c r="D13" s="53"/>
    </row>
    <row r="15" spans="2:4" x14ac:dyDescent="0.2">
      <c r="B15" s="2" t="s">
        <v>141</v>
      </c>
      <c r="C15" s="52">
        <f>[21]Summary!$N$74</f>
        <v>31547204.241758589</v>
      </c>
      <c r="D15" s="2" t="s">
        <v>282</v>
      </c>
    </row>
    <row r="16" spans="2:4" x14ac:dyDescent="0.2">
      <c r="D16" s="4"/>
    </row>
    <row r="17" spans="2:4" x14ac:dyDescent="0.2">
      <c r="B17" s="2" t="s">
        <v>283</v>
      </c>
      <c r="C17" s="52">
        <f>C13-C15</f>
        <v>-76405.124564763159</v>
      </c>
      <c r="D17" s="276"/>
    </row>
    <row r="18" spans="2:4" x14ac:dyDescent="0.2">
      <c r="D18" s="4"/>
    </row>
    <row r="19" spans="2:4" x14ac:dyDescent="0.2">
      <c r="D19" s="4"/>
    </row>
    <row r="20" spans="2:4" x14ac:dyDescent="0.2">
      <c r="B20" s="49"/>
      <c r="D20" s="4"/>
    </row>
    <row r="21" spans="2:4" x14ac:dyDescent="0.2">
      <c r="C21" s="55"/>
      <c r="D21" s="53"/>
    </row>
    <row r="22" spans="2:4" x14ac:dyDescent="0.2">
      <c r="C22" s="56"/>
    </row>
    <row r="23" spans="2:4" x14ac:dyDescent="0.2">
      <c r="C23" s="55"/>
      <c r="D23" s="53"/>
    </row>
    <row r="25" spans="2:4" x14ac:dyDescent="0.2">
      <c r="C25" s="55"/>
      <c r="D25" s="53"/>
    </row>
    <row r="26" spans="2:4" x14ac:dyDescent="0.2">
      <c r="D26" s="4"/>
    </row>
    <row r="27" spans="2:4" x14ac:dyDescent="0.2">
      <c r="C27" s="55"/>
    </row>
    <row r="28" spans="2:4" x14ac:dyDescent="0.2">
      <c r="D28" s="4"/>
    </row>
    <row r="29" spans="2:4" x14ac:dyDescent="0.2">
      <c r="D29" s="4"/>
    </row>
    <row r="30" spans="2:4" x14ac:dyDescent="0.2">
      <c r="D30" s="4"/>
    </row>
    <row r="31" spans="2:4" x14ac:dyDescent="0.2">
      <c r="D31" s="4"/>
    </row>
    <row r="32" spans="2:4" x14ac:dyDescent="0.2">
      <c r="D32" s="4"/>
    </row>
  </sheetData>
  <pageMargins left="0.7" right="0.7" top="0.75" bottom="0.75" header="0.3" footer="0.3"/>
  <pageSetup scale="8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4B136-3F9A-49BD-8933-81F235885A5C}">
  <sheetPr>
    <pageSetUpPr fitToPage="1"/>
  </sheetPr>
  <dimension ref="B1:F35"/>
  <sheetViews>
    <sheetView workbookViewId="0">
      <selection activeCell="O15" sqref="O15"/>
    </sheetView>
  </sheetViews>
  <sheetFormatPr defaultColWidth="9.140625" defaultRowHeight="12.75" x14ac:dyDescent="0.2"/>
  <cols>
    <col min="1" max="1" width="3.85546875" style="2" customWidth="1"/>
    <col min="2" max="4" width="15.7109375" style="2" customWidth="1"/>
    <col min="5" max="5" width="13.42578125" style="2" bestFit="1" customWidth="1"/>
    <col min="6" max="16384" width="9.140625" style="2"/>
  </cols>
  <sheetData>
    <row r="1" spans="2:5" x14ac:dyDescent="0.2">
      <c r="B1" s="49" t="s">
        <v>19</v>
      </c>
    </row>
    <row r="2" spans="2:5" x14ac:dyDescent="0.2">
      <c r="B2" s="49" t="s">
        <v>108</v>
      </c>
    </row>
    <row r="3" spans="2:5" x14ac:dyDescent="0.2">
      <c r="B3" s="49" t="s">
        <v>109</v>
      </c>
    </row>
    <row r="6" spans="2:5" x14ac:dyDescent="0.2">
      <c r="B6" s="121" t="s">
        <v>275</v>
      </c>
      <c r="C6" s="57"/>
      <c r="D6" s="57"/>
      <c r="E6" s="57"/>
    </row>
    <row r="7" spans="2:5" s="60" customFormat="1" x14ac:dyDescent="0.2">
      <c r="B7" s="58"/>
      <c r="C7" s="58" t="s">
        <v>110</v>
      </c>
      <c r="D7" s="59" t="s">
        <v>111</v>
      </c>
      <c r="E7" s="58" t="s">
        <v>112</v>
      </c>
    </row>
    <row r="8" spans="2:5" x14ac:dyDescent="0.2">
      <c r="B8" s="61" t="s">
        <v>113</v>
      </c>
      <c r="C8" s="62">
        <f>[22]Variables!G3</f>
        <v>0.48720000000000002</v>
      </c>
      <c r="D8" s="63">
        <f>[22]Variables!G7</f>
        <v>4.7699999999999999E-2</v>
      </c>
      <c r="E8" s="64">
        <f>C8*D8</f>
        <v>2.323944E-2</v>
      </c>
    </row>
    <row r="9" spans="2:5" x14ac:dyDescent="0.2">
      <c r="B9" s="61" t="s">
        <v>114</v>
      </c>
      <c r="C9" s="62">
        <f>[22]Variables!G4</f>
        <v>1E-4</v>
      </c>
      <c r="D9" s="63">
        <f>[22]Variables!G8</f>
        <v>6.7500000000000004E-2</v>
      </c>
      <c r="E9" s="64">
        <f>C9*D9</f>
        <v>6.7500000000000006E-6</v>
      </c>
    </row>
    <row r="10" spans="2:5" x14ac:dyDescent="0.2">
      <c r="B10" s="65" t="s">
        <v>115</v>
      </c>
      <c r="C10" s="66">
        <f>[22]Variables!G5</f>
        <v>0.51270000000000004</v>
      </c>
      <c r="D10" s="67">
        <f>[22]Variables!G9</f>
        <v>0.10299999999999999</v>
      </c>
      <c r="E10" s="68">
        <f>C10*D10</f>
        <v>5.2808100000000004E-2</v>
      </c>
    </row>
    <row r="11" spans="2:5" x14ac:dyDescent="0.2">
      <c r="E11" s="69">
        <f>ROUNDDOWN(SUM(E8:E10),4)</f>
        <v>7.5999999999999998E-2</v>
      </c>
    </row>
    <row r="16" spans="2:5" x14ac:dyDescent="0.2">
      <c r="B16" s="275" t="s">
        <v>276</v>
      </c>
      <c r="C16" s="70"/>
    </row>
    <row r="17" spans="2:6" x14ac:dyDescent="0.2">
      <c r="B17" s="2" t="s">
        <v>90</v>
      </c>
      <c r="D17" s="71">
        <v>1</v>
      </c>
    </row>
    <row r="18" spans="2:6" x14ac:dyDescent="0.2">
      <c r="D18" s="71"/>
    </row>
    <row r="19" spans="2:6" x14ac:dyDescent="0.2">
      <c r="B19" s="2" t="s">
        <v>116</v>
      </c>
      <c r="D19" s="71"/>
    </row>
    <row r="20" spans="2:6" x14ac:dyDescent="0.2">
      <c r="B20" s="2" t="s">
        <v>117</v>
      </c>
      <c r="D20" s="43">
        <f>[22]Results!D153</f>
        <v>5.5958046338404543E-3</v>
      </c>
      <c r="F20" s="72"/>
    </row>
    <row r="21" spans="2:6" x14ac:dyDescent="0.2">
      <c r="B21" s="2" t="s">
        <v>118</v>
      </c>
      <c r="D21" s="43">
        <f>[22]Results!D154</f>
        <v>4.0000000000000001E-3</v>
      </c>
    </row>
    <row r="22" spans="2:6" x14ac:dyDescent="0.2">
      <c r="B22" s="2" t="s">
        <v>119</v>
      </c>
      <c r="D22" s="43">
        <f>[22]Results!D155</f>
        <v>3.8733999999999998E-2</v>
      </c>
    </row>
    <row r="23" spans="2:6" x14ac:dyDescent="0.2">
      <c r="B23" s="2" t="s">
        <v>120</v>
      </c>
      <c r="D23" s="43">
        <f>[22]Results!D156</f>
        <v>0</v>
      </c>
    </row>
    <row r="24" spans="2:6" x14ac:dyDescent="0.2">
      <c r="B24" s="2" t="s">
        <v>121</v>
      </c>
      <c r="D24" s="67">
        <f>[22]Results!D157</f>
        <v>0</v>
      </c>
    </row>
    <row r="25" spans="2:6" x14ac:dyDescent="0.2">
      <c r="D25" s="71"/>
    </row>
    <row r="26" spans="2:6" x14ac:dyDescent="0.2">
      <c r="B26" s="2" t="s">
        <v>122</v>
      </c>
      <c r="D26" s="73">
        <f>D17-SUM(D19:D24)</f>
        <v>0.95167019536615949</v>
      </c>
    </row>
    <row r="27" spans="2:6" x14ac:dyDescent="0.2">
      <c r="D27" s="71"/>
    </row>
    <row r="28" spans="2:6" x14ac:dyDescent="0.2">
      <c r="B28" s="2" t="s">
        <v>123</v>
      </c>
      <c r="D28" s="74">
        <v>0</v>
      </c>
    </row>
    <row r="29" spans="2:6" x14ac:dyDescent="0.2">
      <c r="D29" s="71"/>
    </row>
    <row r="30" spans="2:6" x14ac:dyDescent="0.2">
      <c r="B30" s="2" t="s">
        <v>122</v>
      </c>
      <c r="D30" s="73">
        <f>D26-D28</f>
        <v>0.95167019536615949</v>
      </c>
    </row>
    <row r="31" spans="2:6" x14ac:dyDescent="0.2">
      <c r="D31" s="71"/>
    </row>
    <row r="32" spans="2:6" x14ac:dyDescent="0.2">
      <c r="B32" s="2" t="s">
        <v>124</v>
      </c>
      <c r="D32" s="74">
        <f>D30*0.21</f>
        <v>0.19985074102689349</v>
      </c>
    </row>
    <row r="33" spans="2:4" x14ac:dyDescent="0.2">
      <c r="D33" s="54"/>
    </row>
    <row r="34" spans="2:4" ht="13.5" thickBot="1" x14ac:dyDescent="0.25">
      <c r="B34" s="2" t="s">
        <v>125</v>
      </c>
      <c r="D34" s="75">
        <f>ROUND(D30-D32,5)</f>
        <v>0.75182000000000004</v>
      </c>
    </row>
    <row r="35" spans="2:4" ht="13.5" thickTop="1" x14ac:dyDescent="0.2">
      <c r="D35" s="76"/>
    </row>
  </sheetData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035D4-528E-4ABB-AAB4-3325C9A613CC}">
  <sheetPr>
    <pageSetUpPr fitToPage="1"/>
  </sheetPr>
  <dimension ref="A1:H41"/>
  <sheetViews>
    <sheetView zoomScale="80" zoomScaleNormal="80" workbookViewId="0">
      <selection activeCell="E29" sqref="E29:E31"/>
    </sheetView>
  </sheetViews>
  <sheetFormatPr defaultRowHeight="12.75" x14ac:dyDescent="0.2"/>
  <cols>
    <col min="1" max="1" width="23.28515625" style="127" customWidth="1"/>
    <col min="2" max="2" width="20.7109375" style="127" customWidth="1"/>
    <col min="3" max="3" width="19.7109375" style="127" customWidth="1"/>
    <col min="4" max="4" width="21.5703125" style="127" customWidth="1"/>
    <col min="5" max="5" width="20.42578125" style="127" customWidth="1"/>
    <col min="6" max="7" width="9.140625" style="127"/>
    <col min="8" max="8" width="10.5703125" style="127" bestFit="1" customWidth="1"/>
    <col min="9" max="16384" width="9.140625" style="127"/>
  </cols>
  <sheetData>
    <row r="1" spans="1:8" x14ac:dyDescent="0.2">
      <c r="A1" s="121" t="s">
        <v>19</v>
      </c>
    </row>
    <row r="2" spans="1:8" x14ac:dyDescent="0.2">
      <c r="A2" s="121" t="s">
        <v>108</v>
      </c>
    </row>
    <row r="3" spans="1:8" x14ac:dyDescent="0.2">
      <c r="A3" s="121" t="s">
        <v>262</v>
      </c>
    </row>
    <row r="4" spans="1:8" x14ac:dyDescent="0.2">
      <c r="A4" s="167" t="s">
        <v>240</v>
      </c>
    </row>
    <row r="5" spans="1:8" ht="14.25" x14ac:dyDescent="0.2">
      <c r="A5" s="186"/>
    </row>
    <row r="6" spans="1:8" s="167" customFormat="1" x14ac:dyDescent="0.2">
      <c r="B6" s="310" t="s">
        <v>264</v>
      </c>
      <c r="C6" s="311"/>
      <c r="D6" s="312"/>
    </row>
    <row r="7" spans="1:8" ht="38.25" x14ac:dyDescent="0.2">
      <c r="B7" s="268" t="s">
        <v>18</v>
      </c>
      <c r="C7" s="269" t="s">
        <v>271</v>
      </c>
      <c r="D7" s="270" t="s">
        <v>272</v>
      </c>
      <c r="E7" s="217" t="s">
        <v>269</v>
      </c>
    </row>
    <row r="8" spans="1:8" x14ac:dyDescent="0.2">
      <c r="B8" s="193"/>
      <c r="C8" s="161"/>
      <c r="D8" s="194"/>
      <c r="E8" s="160"/>
    </row>
    <row r="9" spans="1:8" ht="14.25" x14ac:dyDescent="0.2">
      <c r="A9" s="127" t="s">
        <v>311</v>
      </c>
      <c r="B9" s="193">
        <f>'[19]14.6.1'!$AD$10</f>
        <v>703792297.27999985</v>
      </c>
      <c r="C9" s="161">
        <f>SUM('[12]14.8.1'!$AI$39:$AJ$39)</f>
        <v>18465635.301583257</v>
      </c>
      <c r="D9" s="194">
        <f>'[12]14.8.1'!$AM$39</f>
        <v>8129355.8213505484</v>
      </c>
      <c r="E9" s="266">
        <f>SUM(B9:D9)</f>
        <v>730387288.40293372</v>
      </c>
    </row>
    <row r="10" spans="1:8" x14ac:dyDescent="0.2">
      <c r="A10" s="127" t="s">
        <v>273</v>
      </c>
      <c r="B10" s="193">
        <f>'[19]14.6.1'!$AD$11</f>
        <v>521764785.42000008</v>
      </c>
      <c r="C10" s="161">
        <f>'[13]14.7.1'!$E$30+'[13]14.7.1'!$E$32</f>
        <v>12766250.69449109</v>
      </c>
      <c r="D10" s="194">
        <f>'[13]14.7.1'!$G$30+'[13]14.7.1'!$G$32</f>
        <v>1008617.6758375095</v>
      </c>
      <c r="E10" s="266">
        <f>SUM(B10:D10)</f>
        <v>535539653.79032868</v>
      </c>
    </row>
    <row r="11" spans="1:8" x14ac:dyDescent="0.2">
      <c r="A11" s="127" t="s">
        <v>34</v>
      </c>
      <c r="B11" s="193">
        <f>'[19]14.6.1'!$AD$13</f>
        <v>14443972.01</v>
      </c>
      <c r="C11" s="161"/>
      <c r="D11" s="196"/>
      <c r="E11" s="266">
        <f>SUM(B11:D11)</f>
        <v>14443972.01</v>
      </c>
    </row>
    <row r="12" spans="1:8" x14ac:dyDescent="0.2">
      <c r="B12" s="197"/>
      <c r="C12" s="161"/>
      <c r="D12" s="196"/>
      <c r="E12" s="160"/>
    </row>
    <row r="13" spans="1:8" x14ac:dyDescent="0.2">
      <c r="A13" s="127" t="s">
        <v>274</v>
      </c>
      <c r="B13" s="193">
        <f>'[19]14.6.1'!$AD$12</f>
        <v>113728226.3680649</v>
      </c>
      <c r="C13" s="161">
        <f>'[13]14.7.1'!$E$31</f>
        <v>4397230.7878197087</v>
      </c>
      <c r="D13" s="194">
        <f>'[13]14.7.1'!$G$31</f>
        <v>2576352.6882901639</v>
      </c>
      <c r="E13" s="266">
        <f t="shared" ref="E13:E15" si="0">SUM(B13:D13)</f>
        <v>120701809.84417477</v>
      </c>
    </row>
    <row r="14" spans="1:8" x14ac:dyDescent="0.2">
      <c r="A14" s="127" t="s">
        <v>35</v>
      </c>
      <c r="B14" s="193">
        <f>'[19]14.6.1'!$AD$14</f>
        <v>1969943.43</v>
      </c>
      <c r="C14" s="161"/>
      <c r="D14" s="196"/>
      <c r="E14" s="266">
        <f t="shared" si="0"/>
        <v>1969943.43</v>
      </c>
    </row>
    <row r="15" spans="1:8" ht="14.25" x14ac:dyDescent="0.2">
      <c r="A15" s="127" t="s">
        <v>312</v>
      </c>
      <c r="B15" s="198">
        <v>1192038.4100000001</v>
      </c>
      <c r="C15" s="162"/>
      <c r="D15" s="199"/>
      <c r="E15" s="267">
        <f t="shared" si="0"/>
        <v>1192038.4100000001</v>
      </c>
    </row>
    <row r="16" spans="1:8" x14ac:dyDescent="0.2">
      <c r="B16" s="271" t="s">
        <v>263</v>
      </c>
      <c r="C16" s="271" t="s">
        <v>265</v>
      </c>
      <c r="D16" s="271" t="s">
        <v>265</v>
      </c>
      <c r="E16" s="273">
        <f>SUM(E8:E15)</f>
        <v>1404234705.8874373</v>
      </c>
      <c r="H16" s="172"/>
    </row>
    <row r="18" spans="1:6" x14ac:dyDescent="0.2">
      <c r="A18" s="185" t="s">
        <v>150</v>
      </c>
    </row>
    <row r="19" spans="1:6" x14ac:dyDescent="0.2">
      <c r="A19" s="178" t="s">
        <v>1</v>
      </c>
      <c r="B19" s="260">
        <f>'Depr Exp'!C26</f>
        <v>0.22162982918040364</v>
      </c>
    </row>
    <row r="20" spans="1:6" x14ac:dyDescent="0.2">
      <c r="A20" s="178" t="s">
        <v>0</v>
      </c>
      <c r="B20" s="260">
        <f>'Depr Exp'!C25</f>
        <v>0.22162982918040364</v>
      </c>
    </row>
    <row r="21" spans="1:6" ht="6.75" customHeight="1" x14ac:dyDescent="0.2">
      <c r="B21" s="173"/>
    </row>
    <row r="22" spans="1:6" s="167" customFormat="1" x14ac:dyDescent="0.2">
      <c r="B22" s="310" t="s">
        <v>146</v>
      </c>
      <c r="C22" s="311"/>
      <c r="D22" s="312"/>
    </row>
    <row r="23" spans="1:6" ht="39.75" x14ac:dyDescent="0.2">
      <c r="B23" s="268" t="s">
        <v>18</v>
      </c>
      <c r="C23" s="269" t="s">
        <v>267</v>
      </c>
      <c r="D23" s="270" t="s">
        <v>268</v>
      </c>
      <c r="E23" s="217" t="s">
        <v>269</v>
      </c>
    </row>
    <row r="24" spans="1:6" x14ac:dyDescent="0.2">
      <c r="B24" s="193"/>
      <c r="C24" s="161"/>
      <c r="D24" s="194"/>
      <c r="E24" s="160"/>
    </row>
    <row r="25" spans="1:6" x14ac:dyDescent="0.2">
      <c r="A25" s="127" t="s">
        <v>310</v>
      </c>
      <c r="B25" s="193">
        <f t="shared" ref="B25:D26" si="1">B9*$B$19</f>
        <v>155981366.62465021</v>
      </c>
      <c r="C25" s="161">
        <f t="shared" si="1"/>
        <v>4092535.5975975282</v>
      </c>
      <c r="D25" s="194">
        <f t="shared" si="1"/>
        <v>1801707.742032642</v>
      </c>
      <c r="E25" s="266">
        <f>SUM(B25:D25)</f>
        <v>161875609.9642804</v>
      </c>
    </row>
    <row r="26" spans="1:6" x14ac:dyDescent="0.2">
      <c r="A26" s="127" t="s">
        <v>149</v>
      </c>
      <c r="B26" s="193">
        <f t="shared" si="1"/>
        <v>115638640.26498458</v>
      </c>
      <c r="C26" s="161">
        <f t="shared" si="1"/>
        <v>2829381.9606942697</v>
      </c>
      <c r="D26" s="194">
        <f t="shared" si="1"/>
        <v>223539.76320420296</v>
      </c>
      <c r="E26" s="266">
        <f>SUM(B26:D26)</f>
        <v>118691561.98888305</v>
      </c>
    </row>
    <row r="27" spans="1:6" x14ac:dyDescent="0.2">
      <c r="A27" s="127" t="s">
        <v>34</v>
      </c>
      <c r="B27" s="193">
        <f>B11*$B$19</f>
        <v>3201215.0492628315</v>
      </c>
      <c r="C27" s="161"/>
      <c r="D27" s="196"/>
      <c r="E27" s="266">
        <f>SUM(B27:D27)</f>
        <v>3201215.0492628315</v>
      </c>
    </row>
    <row r="28" spans="1:6" x14ac:dyDescent="0.2">
      <c r="B28" s="197"/>
      <c r="C28" s="161"/>
      <c r="D28" s="196"/>
      <c r="E28" s="160"/>
    </row>
    <row r="29" spans="1:6" x14ac:dyDescent="0.2">
      <c r="A29" s="127" t="s">
        <v>274</v>
      </c>
      <c r="B29" s="193">
        <f>B13*$B$20</f>
        <v>25205567.382944498</v>
      </c>
      <c r="C29" s="161">
        <f>C13*$B$20</f>
        <v>974557.50837129378</v>
      </c>
      <c r="D29" s="194">
        <f>D13*$B$20</f>
        <v>570996.60621422273</v>
      </c>
      <c r="E29" s="266">
        <f t="shared" ref="E29:E30" si="2">SUM(B29:D29)</f>
        <v>26751121.497530013</v>
      </c>
    </row>
    <row r="30" spans="1:6" x14ac:dyDescent="0.2">
      <c r="A30" s="127" t="s">
        <v>35</v>
      </c>
      <c r="B30" s="193">
        <f>B14*$B$20</f>
        <v>436598.22588595841</v>
      </c>
      <c r="C30" s="161"/>
      <c r="D30" s="196"/>
      <c r="E30" s="266">
        <f t="shared" si="2"/>
        <v>436598.22588595841</v>
      </c>
      <c r="F30" s="163"/>
    </row>
    <row r="31" spans="1:6" x14ac:dyDescent="0.2">
      <c r="A31" s="127" t="s">
        <v>148</v>
      </c>
      <c r="B31" s="198">
        <f>B15*$B$20</f>
        <v>264191.26918478002</v>
      </c>
      <c r="C31" s="162"/>
      <c r="D31" s="199"/>
      <c r="E31" s="267">
        <f t="shared" ref="E31" si="3">SUM(B31:D31)</f>
        <v>264191.26918478002</v>
      </c>
      <c r="F31" s="163"/>
    </row>
    <row r="32" spans="1:6" x14ac:dyDescent="0.2">
      <c r="B32" s="178"/>
      <c r="C32" s="178"/>
      <c r="D32" s="178"/>
      <c r="E32" s="273">
        <f>SUM(E24:E31)</f>
        <v>311220297.99502701</v>
      </c>
    </row>
    <row r="34" spans="1:3" x14ac:dyDescent="0.2">
      <c r="A34" s="224" t="s">
        <v>147</v>
      </c>
    </row>
    <row r="35" spans="1:3" x14ac:dyDescent="0.2">
      <c r="A35" s="225" t="s">
        <v>314</v>
      </c>
    </row>
    <row r="36" spans="1:3" x14ac:dyDescent="0.2">
      <c r="A36" s="225" t="s">
        <v>313</v>
      </c>
    </row>
    <row r="41" spans="1:3" x14ac:dyDescent="0.2">
      <c r="C41" s="172"/>
    </row>
  </sheetData>
  <mergeCells count="2">
    <mergeCell ref="B6:D6"/>
    <mergeCell ref="B22:D22"/>
  </mergeCells>
  <pageMargins left="0.7" right="0.7" top="0.75" bottom="0.75" header="0.3" footer="0.3"/>
  <pageSetup scale="86" fitToHeight="0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BBB56-A273-46BE-A488-DBC85736F383}">
  <sheetPr>
    <pageSetUpPr fitToPage="1"/>
  </sheetPr>
  <dimension ref="A1:AR41"/>
  <sheetViews>
    <sheetView view="pageBreakPreview" zoomScale="80" zoomScaleNormal="80" zoomScaleSheetLayoutView="80" workbookViewId="0">
      <selection activeCell="J21" sqref="J21"/>
    </sheetView>
  </sheetViews>
  <sheetFormatPr defaultRowHeight="12.75" x14ac:dyDescent="0.2"/>
  <cols>
    <col min="1" max="1" width="25.28515625" style="127" customWidth="1"/>
    <col min="2" max="2" width="20.7109375" style="127" customWidth="1"/>
    <col min="3" max="3" width="19.7109375" style="127" customWidth="1"/>
    <col min="4" max="4" width="21.5703125" style="127" customWidth="1"/>
    <col min="5" max="5" width="20.42578125" style="127" customWidth="1"/>
    <col min="6" max="44" width="12.42578125" style="127" bestFit="1" customWidth="1"/>
    <col min="45" max="16384" width="9.140625" style="127"/>
  </cols>
  <sheetData>
    <row r="1" spans="1:8" x14ac:dyDescent="0.2">
      <c r="A1" s="121" t="s">
        <v>19</v>
      </c>
    </row>
    <row r="2" spans="1:8" x14ac:dyDescent="0.2">
      <c r="A2" s="121" t="s">
        <v>108</v>
      </c>
    </row>
    <row r="3" spans="1:8" x14ac:dyDescent="0.2">
      <c r="A3" s="121" t="s">
        <v>304</v>
      </c>
    </row>
    <row r="4" spans="1:8" x14ac:dyDescent="0.2">
      <c r="A4" s="167" t="s">
        <v>240</v>
      </c>
    </row>
    <row r="5" spans="1:8" ht="14.25" x14ac:dyDescent="0.2">
      <c r="A5" s="186"/>
    </row>
    <row r="6" spans="1:8" s="167" customFormat="1" x14ac:dyDescent="0.2">
      <c r="B6" s="310" t="s">
        <v>315</v>
      </c>
      <c r="C6" s="311"/>
      <c r="D6" s="312"/>
    </row>
    <row r="7" spans="1:8" ht="38.25" x14ac:dyDescent="0.2">
      <c r="B7" s="268" t="s">
        <v>18</v>
      </c>
      <c r="C7" s="269" t="s">
        <v>271</v>
      </c>
      <c r="D7" s="270" t="s">
        <v>272</v>
      </c>
      <c r="E7" s="217" t="s">
        <v>269</v>
      </c>
    </row>
    <row r="8" spans="1:8" x14ac:dyDescent="0.2">
      <c r="B8" s="193"/>
      <c r="C8" s="161"/>
      <c r="D8" s="194"/>
      <c r="E8" s="160"/>
    </row>
    <row r="9" spans="1:8" x14ac:dyDescent="0.2">
      <c r="A9" s="127" t="s">
        <v>305</v>
      </c>
      <c r="B9" s="193">
        <f>'[19]14.6.1'!$AD$30</f>
        <v>-1292892770.257879</v>
      </c>
      <c r="C9" s="161">
        <f>SUM('[12]14.8.1'!$AI$43:$AJ$43)+'[13]14.7.1'!$E$38+'[13]14.7.1'!$E$40</f>
        <v>-167845.89194697255</v>
      </c>
      <c r="D9" s="194">
        <f>'[13]14.7.1'!$G$38+'[13]14.7.1'!$G$40+'[12]14.8.1'!$AM$43</f>
        <v>-340739.41253689979</v>
      </c>
      <c r="E9" s="266">
        <f>SUM(B9:D9)</f>
        <v>-1293401355.5623629</v>
      </c>
    </row>
    <row r="10" spans="1:8" x14ac:dyDescent="0.2">
      <c r="A10" s="127" t="s">
        <v>34</v>
      </c>
      <c r="B10" s="193">
        <f>'[19]14.6.1'!$AD$32</f>
        <v>-14079458.598677507</v>
      </c>
      <c r="C10" s="161"/>
      <c r="D10" s="196"/>
      <c r="E10" s="266">
        <f>SUM(B10:D10)</f>
        <v>-14079458.598677507</v>
      </c>
    </row>
    <row r="11" spans="1:8" x14ac:dyDescent="0.2">
      <c r="B11" s="197"/>
      <c r="C11" s="161"/>
      <c r="D11" s="196"/>
      <c r="E11" s="160"/>
    </row>
    <row r="12" spans="1:8" x14ac:dyDescent="0.2">
      <c r="A12" s="127" t="s">
        <v>274</v>
      </c>
      <c r="B12" s="193">
        <f>'[19]14.6.1'!$AD$31</f>
        <v>-124612949.76988654</v>
      </c>
      <c r="C12" s="161">
        <f>'[13]14.7.1'!$E$39</f>
        <v>-143204.47517750523</v>
      </c>
      <c r="D12" s="194">
        <f>'[13]14.7.1'!$G$39</f>
        <v>-135892.68811561971</v>
      </c>
      <c r="E12" s="266">
        <f t="shared" ref="E12:E14" si="0">SUM(B12:D12)</f>
        <v>-124892046.93317968</v>
      </c>
    </row>
    <row r="13" spans="1:8" x14ac:dyDescent="0.2">
      <c r="A13" s="127" t="s">
        <v>35</v>
      </c>
      <c r="B13" s="193">
        <f>'[19]14.6.1'!$AD$33</f>
        <v>-1900265.4378076198</v>
      </c>
      <c r="C13" s="161"/>
      <c r="D13" s="196"/>
      <c r="E13" s="266">
        <f t="shared" si="0"/>
        <v>-1900265.4378076198</v>
      </c>
    </row>
    <row r="14" spans="1:8" ht="14.25" x14ac:dyDescent="0.2">
      <c r="A14" s="127" t="s">
        <v>270</v>
      </c>
      <c r="B14" s="305">
        <f>(AF39+AR39+2*SUM(AG39:AQ39))/24</f>
        <v>-816230.59993853979</v>
      </c>
      <c r="C14" s="162"/>
      <c r="D14" s="199"/>
      <c r="E14" s="267">
        <f t="shared" si="0"/>
        <v>-816230.59993853979</v>
      </c>
    </row>
    <row r="15" spans="1:8" x14ac:dyDescent="0.2">
      <c r="B15" s="271" t="s">
        <v>263</v>
      </c>
      <c r="C15" s="271" t="s">
        <v>265</v>
      </c>
      <c r="D15" s="271" t="s">
        <v>265</v>
      </c>
      <c r="E15" s="273">
        <f>SUM(E8:E14)</f>
        <v>-1435089357.1319661</v>
      </c>
      <c r="H15" s="172"/>
    </row>
    <row r="17" spans="1:9" x14ac:dyDescent="0.2">
      <c r="A17" s="185" t="s">
        <v>150</v>
      </c>
    </row>
    <row r="18" spans="1:9" x14ac:dyDescent="0.2">
      <c r="A18" s="178" t="s">
        <v>1</v>
      </c>
      <c r="B18" s="260">
        <f>'Depr Exp'!C26</f>
        <v>0.22162982918040364</v>
      </c>
    </row>
    <row r="19" spans="1:9" x14ac:dyDescent="0.2">
      <c r="A19" s="178" t="s">
        <v>0</v>
      </c>
      <c r="B19" s="260">
        <f>'Depr Exp'!C25</f>
        <v>0.22162982918040364</v>
      </c>
    </row>
    <row r="20" spans="1:9" ht="6.75" customHeight="1" x14ac:dyDescent="0.2">
      <c r="B20" s="173"/>
    </row>
    <row r="21" spans="1:9" s="167" customFormat="1" x14ac:dyDescent="0.2">
      <c r="B21" s="310" t="s">
        <v>316</v>
      </c>
      <c r="C21" s="311"/>
      <c r="D21" s="312"/>
    </row>
    <row r="22" spans="1:9" ht="39.75" x14ac:dyDescent="0.2">
      <c r="B22" s="268" t="s">
        <v>18</v>
      </c>
      <c r="C22" s="269" t="s">
        <v>267</v>
      </c>
      <c r="D22" s="270" t="s">
        <v>268</v>
      </c>
      <c r="E22" s="217" t="s">
        <v>269</v>
      </c>
    </row>
    <row r="23" spans="1:9" x14ac:dyDescent="0.2">
      <c r="B23" s="193"/>
      <c r="C23" s="161"/>
      <c r="D23" s="194"/>
      <c r="E23" s="160"/>
    </row>
    <row r="24" spans="1:9" x14ac:dyDescent="0.2">
      <c r="A24" s="127" t="s">
        <v>305</v>
      </c>
      <c r="B24" s="193">
        <f>B9*$B$18</f>
        <v>-286543603.82083255</v>
      </c>
      <c r="C24" s="161">
        <f>C9*$B$18</f>
        <v>-37199.65636084001</v>
      </c>
      <c r="D24" s="194">
        <f>D9*$B$18</f>
        <v>-75518.017795584179</v>
      </c>
      <c r="E24" s="266">
        <f>SUM(B24:D24)</f>
        <v>-286656321.49498898</v>
      </c>
      <c r="H24" s="172"/>
      <c r="I24" s="306"/>
    </row>
    <row r="25" spans="1:9" x14ac:dyDescent="0.2">
      <c r="A25" s="127" t="s">
        <v>34</v>
      </c>
      <c r="B25" s="193">
        <f>B10*$B$18</f>
        <v>-3120428.0041774609</v>
      </c>
      <c r="C25" s="161"/>
      <c r="D25" s="196"/>
      <c r="E25" s="266">
        <f>SUM(B25:D25)</f>
        <v>-3120428.0041774609</v>
      </c>
    </row>
    <row r="26" spans="1:9" x14ac:dyDescent="0.2">
      <c r="B26" s="197"/>
      <c r="C26" s="161"/>
      <c r="D26" s="196"/>
      <c r="E26" s="160"/>
    </row>
    <row r="27" spans="1:9" x14ac:dyDescent="0.2">
      <c r="A27" s="127" t="s">
        <v>274</v>
      </c>
      <c r="B27" s="193">
        <f>B12*$B$19</f>
        <v>-27617946.771166172</v>
      </c>
      <c r="C27" s="161">
        <f>C12*$B$19</f>
        <v>-31738.383371459837</v>
      </c>
      <c r="D27" s="194">
        <f>D12*$B$19</f>
        <v>-30117.873253930662</v>
      </c>
      <c r="E27" s="266">
        <f t="shared" ref="E27:E29" si="1">SUM(B27:D27)</f>
        <v>-27679803.027791563</v>
      </c>
      <c r="H27" s="172"/>
    </row>
    <row r="28" spans="1:9" x14ac:dyDescent="0.2">
      <c r="A28" s="127" t="s">
        <v>35</v>
      </c>
      <c r="B28" s="193">
        <f>B13*$B$19</f>
        <v>-421155.5043787277</v>
      </c>
      <c r="C28" s="161"/>
      <c r="D28" s="196"/>
      <c r="E28" s="266">
        <f t="shared" si="1"/>
        <v>-421155.5043787277</v>
      </c>
      <c r="F28" s="163"/>
    </row>
    <row r="29" spans="1:9" x14ac:dyDescent="0.2">
      <c r="A29" s="127" t="s">
        <v>148</v>
      </c>
      <c r="B29" s="198">
        <f>B14*$B$19</f>
        <v>-180901.04843619696</v>
      </c>
      <c r="C29" s="162"/>
      <c r="D29" s="199"/>
      <c r="E29" s="267">
        <f t="shared" si="1"/>
        <v>-180901.04843619696</v>
      </c>
      <c r="F29" s="163"/>
    </row>
    <row r="30" spans="1:9" x14ac:dyDescent="0.2">
      <c r="B30" s="178"/>
      <c r="C30" s="178"/>
      <c r="D30" s="178"/>
      <c r="E30" s="273">
        <f>SUM(E23:E29)</f>
        <v>-318058609.07977295</v>
      </c>
    </row>
    <row r="32" spans="1:9" x14ac:dyDescent="0.2">
      <c r="A32" s="224" t="s">
        <v>147</v>
      </c>
    </row>
    <row r="33" spans="1:44" x14ac:dyDescent="0.2">
      <c r="A33" s="225" t="s">
        <v>309</v>
      </c>
    </row>
    <row r="34" spans="1:44" x14ac:dyDescent="0.2">
      <c r="A34" s="274"/>
    </row>
    <row r="37" spans="1:44" x14ac:dyDescent="0.2">
      <c r="B37" s="3">
        <v>44713</v>
      </c>
      <c r="C37" s="3">
        <v>44743</v>
      </c>
      <c r="D37" s="3">
        <v>44774</v>
      </c>
      <c r="E37" s="3">
        <v>44805</v>
      </c>
      <c r="F37" s="3">
        <v>44835</v>
      </c>
      <c r="G37" s="3">
        <v>44866</v>
      </c>
      <c r="H37" s="3">
        <v>44896</v>
      </c>
      <c r="I37" s="3">
        <v>44927</v>
      </c>
      <c r="J37" s="3">
        <v>44958</v>
      </c>
      <c r="K37" s="3">
        <v>44986</v>
      </c>
      <c r="L37" s="3">
        <v>45017</v>
      </c>
      <c r="M37" s="3">
        <v>45047</v>
      </c>
      <c r="N37" s="3">
        <v>45078</v>
      </c>
      <c r="O37" s="3">
        <v>45108</v>
      </c>
      <c r="P37" s="3">
        <v>45139</v>
      </c>
      <c r="Q37" s="3">
        <v>45170</v>
      </c>
      <c r="R37" s="3">
        <v>45200</v>
      </c>
      <c r="S37" s="3">
        <v>45231</v>
      </c>
      <c r="T37" s="3">
        <v>45261</v>
      </c>
      <c r="U37" s="3">
        <v>45292</v>
      </c>
      <c r="V37" s="3">
        <v>45323</v>
      </c>
      <c r="W37" s="3">
        <v>45352</v>
      </c>
      <c r="X37" s="3">
        <v>45383</v>
      </c>
      <c r="Y37" s="3">
        <v>45413</v>
      </c>
      <c r="Z37" s="3">
        <v>45444</v>
      </c>
      <c r="AA37" s="3">
        <v>45474</v>
      </c>
      <c r="AB37" s="3">
        <v>45505</v>
      </c>
      <c r="AC37" s="3">
        <v>45536</v>
      </c>
      <c r="AD37" s="3">
        <v>45566</v>
      </c>
      <c r="AE37" s="3">
        <v>45597</v>
      </c>
      <c r="AF37" s="3">
        <v>45627</v>
      </c>
      <c r="AG37" s="3">
        <v>45658</v>
      </c>
      <c r="AH37" s="3">
        <v>45689</v>
      </c>
      <c r="AI37" s="3">
        <v>45717</v>
      </c>
      <c r="AJ37" s="3">
        <v>45748</v>
      </c>
      <c r="AK37" s="3">
        <v>45778</v>
      </c>
      <c r="AL37" s="3">
        <v>45809</v>
      </c>
      <c r="AM37" s="3">
        <v>45839</v>
      </c>
      <c r="AN37" s="3">
        <v>45870</v>
      </c>
      <c r="AO37" s="3">
        <v>45901</v>
      </c>
      <c r="AP37" s="3">
        <v>45931</v>
      </c>
      <c r="AQ37" s="3">
        <v>45962</v>
      </c>
      <c r="AR37" s="3">
        <v>45992</v>
      </c>
    </row>
    <row r="38" spans="1:44" x14ac:dyDescent="0.2">
      <c r="A38" s="127" t="s">
        <v>306</v>
      </c>
      <c r="B38" s="119">
        <f>EPIS!B15</f>
        <v>1192038.4100000001</v>
      </c>
      <c r="C38" s="172">
        <f>B38</f>
        <v>1192038.4100000001</v>
      </c>
      <c r="D38" s="172">
        <f t="shared" ref="D38:AR38" si="2">C38</f>
        <v>1192038.4100000001</v>
      </c>
      <c r="E38" s="172">
        <f t="shared" si="2"/>
        <v>1192038.4100000001</v>
      </c>
      <c r="F38" s="172">
        <f t="shared" si="2"/>
        <v>1192038.4100000001</v>
      </c>
      <c r="G38" s="172">
        <f t="shared" si="2"/>
        <v>1192038.4100000001</v>
      </c>
      <c r="H38" s="172">
        <f t="shared" si="2"/>
        <v>1192038.4100000001</v>
      </c>
      <c r="I38" s="172">
        <f t="shared" si="2"/>
        <v>1192038.4100000001</v>
      </c>
      <c r="J38" s="172">
        <f t="shared" si="2"/>
        <v>1192038.4100000001</v>
      </c>
      <c r="K38" s="172">
        <f t="shared" si="2"/>
        <v>1192038.4100000001</v>
      </c>
      <c r="L38" s="172">
        <f t="shared" si="2"/>
        <v>1192038.4100000001</v>
      </c>
      <c r="M38" s="172">
        <f t="shared" si="2"/>
        <v>1192038.4100000001</v>
      </c>
      <c r="N38" s="172">
        <f t="shared" si="2"/>
        <v>1192038.4100000001</v>
      </c>
      <c r="O38" s="172">
        <f t="shared" si="2"/>
        <v>1192038.4100000001</v>
      </c>
      <c r="P38" s="172">
        <f t="shared" si="2"/>
        <v>1192038.4100000001</v>
      </c>
      <c r="Q38" s="172">
        <f t="shared" si="2"/>
        <v>1192038.4100000001</v>
      </c>
      <c r="R38" s="172">
        <f t="shared" si="2"/>
        <v>1192038.4100000001</v>
      </c>
      <c r="S38" s="172">
        <f t="shared" si="2"/>
        <v>1192038.4100000001</v>
      </c>
      <c r="T38" s="172">
        <f t="shared" si="2"/>
        <v>1192038.4100000001</v>
      </c>
      <c r="U38" s="172">
        <f t="shared" si="2"/>
        <v>1192038.4100000001</v>
      </c>
      <c r="V38" s="172">
        <f t="shared" si="2"/>
        <v>1192038.4100000001</v>
      </c>
      <c r="W38" s="172">
        <f t="shared" si="2"/>
        <v>1192038.4100000001</v>
      </c>
      <c r="X38" s="172">
        <f t="shared" si="2"/>
        <v>1192038.4100000001</v>
      </c>
      <c r="Y38" s="172">
        <f t="shared" si="2"/>
        <v>1192038.4100000001</v>
      </c>
      <c r="Z38" s="172">
        <f t="shared" si="2"/>
        <v>1192038.4100000001</v>
      </c>
      <c r="AA38" s="172">
        <f t="shared" si="2"/>
        <v>1192038.4100000001</v>
      </c>
      <c r="AB38" s="172">
        <f t="shared" si="2"/>
        <v>1192038.4100000001</v>
      </c>
      <c r="AC38" s="172">
        <f t="shared" si="2"/>
        <v>1192038.4100000001</v>
      </c>
      <c r="AD38" s="172">
        <f t="shared" si="2"/>
        <v>1192038.4100000001</v>
      </c>
      <c r="AE38" s="172">
        <f t="shared" si="2"/>
        <v>1192038.4100000001</v>
      </c>
      <c r="AF38" s="172">
        <f t="shared" si="2"/>
        <v>1192038.4100000001</v>
      </c>
      <c r="AG38" s="172">
        <f t="shared" si="2"/>
        <v>1192038.4100000001</v>
      </c>
      <c r="AH38" s="172">
        <f t="shared" si="2"/>
        <v>1192038.4100000001</v>
      </c>
      <c r="AI38" s="172">
        <f t="shared" si="2"/>
        <v>1192038.4100000001</v>
      </c>
      <c r="AJ38" s="172">
        <f t="shared" si="2"/>
        <v>1192038.4100000001</v>
      </c>
      <c r="AK38" s="172">
        <f t="shared" si="2"/>
        <v>1192038.4100000001</v>
      </c>
      <c r="AL38" s="172">
        <f t="shared" si="2"/>
        <v>1192038.4100000001</v>
      </c>
      <c r="AM38" s="172">
        <f t="shared" si="2"/>
        <v>1192038.4100000001</v>
      </c>
      <c r="AN38" s="172">
        <f t="shared" si="2"/>
        <v>1192038.4100000001</v>
      </c>
      <c r="AO38" s="172">
        <f t="shared" si="2"/>
        <v>1192038.4100000001</v>
      </c>
      <c r="AP38" s="172">
        <f t="shared" si="2"/>
        <v>1192038.4100000001</v>
      </c>
      <c r="AQ38" s="172">
        <f t="shared" si="2"/>
        <v>1192038.4100000001</v>
      </c>
      <c r="AR38" s="172">
        <f t="shared" si="2"/>
        <v>1192038.4100000001</v>
      </c>
    </row>
    <row r="39" spans="1:44" x14ac:dyDescent="0.2">
      <c r="A39" s="127" t="s">
        <v>308</v>
      </c>
      <c r="B39" s="119">
        <v>-645939.16999999993</v>
      </c>
      <c r="C39" s="172">
        <f>B39-((SUM(B38:C38)/2)*$B$41)/12</f>
        <v>-650669.4874982927</v>
      </c>
      <c r="D39" s="172">
        <f t="shared" ref="D39:AR39" si="3">C39-((SUM(C38:D38)/2)*$B$41)/12</f>
        <v>-655399.80499658547</v>
      </c>
      <c r="E39" s="172">
        <f t="shared" si="3"/>
        <v>-660130.12249487825</v>
      </c>
      <c r="F39" s="172">
        <f t="shared" si="3"/>
        <v>-664860.43999317102</v>
      </c>
      <c r="G39" s="172">
        <f t="shared" si="3"/>
        <v>-669590.7574914638</v>
      </c>
      <c r="H39" s="172">
        <f t="shared" si="3"/>
        <v>-674321.07498975657</v>
      </c>
      <c r="I39" s="172">
        <f t="shared" si="3"/>
        <v>-679051.39248804934</v>
      </c>
      <c r="J39" s="172">
        <f t="shared" si="3"/>
        <v>-683781.70998634212</v>
      </c>
      <c r="K39" s="172">
        <f t="shared" si="3"/>
        <v>-688512.02748463489</v>
      </c>
      <c r="L39" s="172">
        <f t="shared" si="3"/>
        <v>-693242.34498292767</v>
      </c>
      <c r="M39" s="172">
        <f t="shared" si="3"/>
        <v>-697972.66248122044</v>
      </c>
      <c r="N39" s="172">
        <f t="shared" si="3"/>
        <v>-702702.97997951321</v>
      </c>
      <c r="O39" s="172">
        <f t="shared" si="3"/>
        <v>-707433.29747780599</v>
      </c>
      <c r="P39" s="172">
        <f t="shared" si="3"/>
        <v>-712163.61497609876</v>
      </c>
      <c r="Q39" s="172">
        <f t="shared" si="3"/>
        <v>-716893.93247439153</v>
      </c>
      <c r="R39" s="172">
        <f t="shared" si="3"/>
        <v>-721624.24997268431</v>
      </c>
      <c r="S39" s="172">
        <f t="shared" si="3"/>
        <v>-726354.56747097708</v>
      </c>
      <c r="T39" s="303">
        <f t="shared" si="3"/>
        <v>-731084.88496926986</v>
      </c>
      <c r="U39" s="303">
        <f t="shared" si="3"/>
        <v>-735815.20246756263</v>
      </c>
      <c r="V39" s="303">
        <f t="shared" si="3"/>
        <v>-740545.5199658554</v>
      </c>
      <c r="W39" s="303">
        <f t="shared" si="3"/>
        <v>-745275.83746414818</v>
      </c>
      <c r="X39" s="303">
        <f t="shared" si="3"/>
        <v>-750006.15496244095</v>
      </c>
      <c r="Y39" s="303">
        <f t="shared" si="3"/>
        <v>-754736.47246073373</v>
      </c>
      <c r="Z39" s="303">
        <f t="shared" si="3"/>
        <v>-759466.7899590265</v>
      </c>
      <c r="AA39" s="303">
        <f t="shared" si="3"/>
        <v>-764197.10745731927</v>
      </c>
      <c r="AB39" s="303">
        <f t="shared" si="3"/>
        <v>-768927.42495561205</v>
      </c>
      <c r="AC39" s="303">
        <f t="shared" si="3"/>
        <v>-773657.74245390482</v>
      </c>
      <c r="AD39" s="303">
        <f t="shared" si="3"/>
        <v>-778388.0599521976</v>
      </c>
      <c r="AE39" s="303">
        <f t="shared" si="3"/>
        <v>-783118.37745049037</v>
      </c>
      <c r="AF39" s="303">
        <f t="shared" si="3"/>
        <v>-787848.69494878314</v>
      </c>
      <c r="AG39" s="304">
        <f t="shared" si="3"/>
        <v>-792579.01244707592</v>
      </c>
      <c r="AH39" s="304">
        <f t="shared" si="3"/>
        <v>-797309.32994536869</v>
      </c>
      <c r="AI39" s="304">
        <f t="shared" si="3"/>
        <v>-802039.64744366147</v>
      </c>
      <c r="AJ39" s="304">
        <f t="shared" si="3"/>
        <v>-806769.96494195424</v>
      </c>
      <c r="AK39" s="304">
        <f t="shared" si="3"/>
        <v>-811500.28244024701</v>
      </c>
      <c r="AL39" s="304">
        <f t="shared" si="3"/>
        <v>-816230.59993853979</v>
      </c>
      <c r="AM39" s="304">
        <f t="shared" si="3"/>
        <v>-820960.91743683256</v>
      </c>
      <c r="AN39" s="304">
        <f t="shared" si="3"/>
        <v>-825691.23493512534</v>
      </c>
      <c r="AO39" s="304">
        <f t="shared" si="3"/>
        <v>-830421.55243341811</v>
      </c>
      <c r="AP39" s="304">
        <f t="shared" si="3"/>
        <v>-835151.86993171088</v>
      </c>
      <c r="AQ39" s="304">
        <f t="shared" si="3"/>
        <v>-839882.18743000366</v>
      </c>
      <c r="AR39" s="304">
        <f t="shared" si="3"/>
        <v>-844612.50492829643</v>
      </c>
    </row>
    <row r="41" spans="1:44" x14ac:dyDescent="0.2">
      <c r="A41" s="127" t="s">
        <v>307</v>
      </c>
      <c r="B41" s="173">
        <v>4.7619111517986805E-2</v>
      </c>
    </row>
  </sheetData>
  <mergeCells count="2">
    <mergeCell ref="B6:D6"/>
    <mergeCell ref="B21:D21"/>
  </mergeCells>
  <pageMargins left="0.7" right="0.7" top="0.75" bottom="0.75" header="0.3" footer="0.3"/>
  <pageSetup scale="76" fitToHeight="0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C1B38-7625-4611-816F-87E372564F63}">
  <sheetPr>
    <pageSetUpPr fitToPage="1"/>
  </sheetPr>
  <dimension ref="A1:AG51"/>
  <sheetViews>
    <sheetView view="pageBreakPreview" zoomScale="90" zoomScaleNormal="90" zoomScaleSheetLayoutView="90" workbookViewId="0">
      <selection activeCell="D21" sqref="D21"/>
    </sheetView>
  </sheetViews>
  <sheetFormatPr defaultRowHeight="14.25" x14ac:dyDescent="0.2"/>
  <cols>
    <col min="1" max="1" width="23.7109375" style="186" customWidth="1"/>
    <col min="2" max="2" width="9.42578125" style="186" customWidth="1"/>
    <col min="3" max="3" width="17.140625" style="186" customWidth="1"/>
    <col min="4" max="4" width="18.85546875" style="186" customWidth="1"/>
    <col min="5" max="5" width="19.28515625" style="186" customWidth="1"/>
    <col min="6" max="6" width="12.42578125" style="186" customWidth="1"/>
    <col min="7" max="7" width="17.5703125" style="186" customWidth="1"/>
    <col min="8" max="9" width="18" style="186" customWidth="1"/>
    <col min="10" max="10" width="14.42578125" style="186" bestFit="1" customWidth="1"/>
    <col min="11" max="11" width="10.7109375" style="186" bestFit="1" customWidth="1"/>
    <col min="12" max="12" width="24.28515625" style="186" customWidth="1"/>
    <col min="13" max="13" width="22.140625" style="186" customWidth="1"/>
    <col min="14" max="14" width="17.140625" style="186" customWidth="1"/>
    <col min="15" max="15" width="22.5703125" style="186" customWidth="1"/>
    <col min="16" max="16" width="23.5703125" style="186" customWidth="1"/>
    <col min="17" max="17" width="17.140625" style="186" customWidth="1"/>
    <col min="18" max="18" width="21.5703125" style="186" customWidth="1"/>
    <col min="19" max="26" width="9.5703125" style="186" bestFit="1" customWidth="1"/>
    <col min="27" max="28" width="9.140625" style="186"/>
    <col min="29" max="29" width="9.140625" style="238"/>
    <col min="30" max="30" width="26.28515625" style="238" bestFit="1" customWidth="1"/>
    <col min="31" max="31" width="12.28515625" style="238" bestFit="1" customWidth="1"/>
    <col min="32" max="33" width="9.140625" style="238"/>
    <col min="34" max="16384" width="9.140625" style="186"/>
  </cols>
  <sheetData>
    <row r="1" spans="1:31" x14ac:dyDescent="0.2">
      <c r="A1" s="121" t="s">
        <v>19</v>
      </c>
    </row>
    <row r="2" spans="1:31" x14ac:dyDescent="0.2">
      <c r="A2" s="121" t="s">
        <v>108</v>
      </c>
    </row>
    <row r="3" spans="1:31" x14ac:dyDescent="0.2">
      <c r="A3" s="121" t="s">
        <v>255</v>
      </c>
    </row>
    <row r="4" spans="1:31" x14ac:dyDescent="0.2">
      <c r="A4" s="167" t="s">
        <v>256</v>
      </c>
    </row>
    <row r="5" spans="1:31" x14ac:dyDescent="0.2">
      <c r="G5" s="189"/>
      <c r="H5" s="189"/>
      <c r="I5" s="189"/>
      <c r="J5" s="189"/>
      <c r="K5" s="189"/>
      <c r="L5" s="189"/>
      <c r="M5" s="189"/>
      <c r="N5" s="189"/>
      <c r="O5" s="189"/>
      <c r="P5" s="189"/>
      <c r="Q5" s="189"/>
      <c r="R5" s="189"/>
      <c r="S5" s="189"/>
      <c r="T5" s="189"/>
      <c r="U5" s="189"/>
      <c r="V5" s="189"/>
      <c r="W5" s="189"/>
      <c r="X5" s="189"/>
    </row>
    <row r="6" spans="1:31" x14ac:dyDescent="0.2">
      <c r="A6" s="127"/>
      <c r="B6" s="127"/>
      <c r="C6" s="169" t="s">
        <v>155</v>
      </c>
      <c r="D6" s="169" t="s">
        <v>157</v>
      </c>
      <c r="E6" s="169"/>
      <c r="F6" s="127"/>
      <c r="G6" s="189"/>
      <c r="H6" s="189"/>
      <c r="I6" s="189"/>
      <c r="J6" s="189"/>
      <c r="K6" s="189"/>
      <c r="L6" s="189"/>
      <c r="M6" s="189"/>
      <c r="N6" s="189"/>
      <c r="O6" s="189"/>
      <c r="P6" s="189"/>
      <c r="Q6" s="189"/>
      <c r="R6" s="189"/>
      <c r="S6" s="189"/>
      <c r="T6" s="189"/>
      <c r="U6" s="189"/>
      <c r="V6" s="189"/>
      <c r="W6" s="189"/>
      <c r="X6" s="189"/>
    </row>
    <row r="7" spans="1:31" ht="15" x14ac:dyDescent="0.25">
      <c r="A7" s="127"/>
      <c r="B7" s="127"/>
      <c r="C7" s="179" t="s">
        <v>154</v>
      </c>
      <c r="D7" s="179" t="s">
        <v>154</v>
      </c>
      <c r="E7" s="179"/>
      <c r="F7" s="127"/>
      <c r="G7" s="189"/>
      <c r="H7" s="189"/>
      <c r="I7" s="313"/>
      <c r="J7" s="313"/>
      <c r="K7" s="189"/>
      <c r="L7" s="189"/>
      <c r="M7" s="313"/>
      <c r="N7" s="313"/>
      <c r="O7" s="190"/>
      <c r="P7" s="302"/>
      <c r="Q7" s="313"/>
      <c r="R7" s="313"/>
      <c r="S7" s="189"/>
      <c r="T7" s="189"/>
      <c r="U7" s="189"/>
      <c r="V7" s="189"/>
      <c r="W7" s="189"/>
      <c r="X7" s="189"/>
      <c r="AE7" s="239"/>
    </row>
    <row r="8" spans="1:31" x14ac:dyDescent="0.2">
      <c r="A8" s="262" t="s">
        <v>156</v>
      </c>
      <c r="B8" s="127"/>
      <c r="C8" s="127"/>
      <c r="D8" s="127"/>
      <c r="E8" s="250"/>
      <c r="F8" s="127"/>
      <c r="G8" s="248"/>
      <c r="H8" s="189"/>
      <c r="I8" s="190"/>
      <c r="J8" s="190"/>
      <c r="K8" s="189"/>
      <c r="L8" s="189"/>
      <c r="M8" s="190"/>
      <c r="N8" s="190"/>
      <c r="O8" s="190"/>
      <c r="P8" s="302"/>
      <c r="Q8" s="302"/>
      <c r="R8" s="302"/>
      <c r="S8" s="189"/>
      <c r="T8" s="189"/>
      <c r="U8" s="189"/>
      <c r="V8" s="189"/>
      <c r="W8" s="189"/>
      <c r="X8" s="189"/>
      <c r="AD8" s="240"/>
    </row>
    <row r="9" spans="1:31" x14ac:dyDescent="0.2">
      <c r="A9" s="263" t="s">
        <v>207</v>
      </c>
      <c r="B9" s="127"/>
      <c r="C9" s="172">
        <f>SUM(C40:N40)</f>
        <v>2581630.7385550737</v>
      </c>
      <c r="D9" s="172">
        <f>C9*$C$25</f>
        <v>572166.37959284033</v>
      </c>
      <c r="E9" s="251"/>
      <c r="F9" s="172"/>
      <c r="G9" s="242"/>
      <c r="H9" s="249"/>
      <c r="I9" s="187"/>
      <c r="J9" s="187"/>
      <c r="K9" s="189"/>
      <c r="L9" s="249"/>
      <c r="M9" s="187"/>
      <c r="N9" s="187"/>
      <c r="O9" s="187"/>
      <c r="P9" s="249"/>
      <c r="Q9" s="187"/>
      <c r="R9" s="187"/>
      <c r="S9" s="189"/>
      <c r="T9" s="189"/>
      <c r="U9" s="189"/>
      <c r="V9" s="189"/>
      <c r="W9" s="189"/>
      <c r="X9" s="189"/>
      <c r="AE9" s="241"/>
    </row>
    <row r="10" spans="1:31" x14ac:dyDescent="0.2">
      <c r="A10" s="263" t="s">
        <v>257</v>
      </c>
      <c r="B10" s="127"/>
      <c r="C10" s="161">
        <f>SUM(C43:N43)</f>
        <v>158300.34490769412</v>
      </c>
      <c r="D10" s="201">
        <f>C10*$C$25</f>
        <v>35084.078401091225</v>
      </c>
      <c r="E10" s="252"/>
      <c r="F10" s="172"/>
      <c r="G10" s="242"/>
      <c r="H10" s="249"/>
      <c r="I10" s="187"/>
      <c r="J10" s="187"/>
      <c r="K10" s="189"/>
      <c r="L10" s="249"/>
      <c r="M10" s="187"/>
      <c r="N10" s="187"/>
      <c r="O10" s="187"/>
      <c r="P10" s="249"/>
      <c r="Q10" s="187"/>
      <c r="R10" s="187"/>
      <c r="S10" s="189"/>
      <c r="T10" s="189"/>
      <c r="U10" s="189"/>
      <c r="V10" s="189"/>
      <c r="W10" s="189"/>
      <c r="X10" s="189"/>
      <c r="AE10" s="241"/>
    </row>
    <row r="11" spans="1:31" x14ac:dyDescent="0.2">
      <c r="A11" s="263" t="s">
        <v>258</v>
      </c>
      <c r="B11" s="127"/>
      <c r="C11" s="162">
        <f>EPIS!B15*4.762%</f>
        <v>56764.8690842</v>
      </c>
      <c r="D11" s="162">
        <f>C11*$C$25</f>
        <v>12580.788238579222</v>
      </c>
      <c r="E11" s="251"/>
      <c r="F11" s="172"/>
      <c r="G11" s="242"/>
      <c r="H11" s="249"/>
      <c r="I11" s="187"/>
      <c r="J11" s="187"/>
      <c r="K11" s="189"/>
      <c r="L11" s="249"/>
      <c r="M11" s="187"/>
      <c r="N11" s="187"/>
      <c r="O11" s="187"/>
      <c r="P11" s="249"/>
      <c r="Q11" s="187"/>
      <c r="R11" s="187"/>
      <c r="S11" s="189"/>
      <c r="T11" s="189"/>
      <c r="U11" s="189"/>
      <c r="V11" s="189"/>
      <c r="W11" s="189"/>
      <c r="X11" s="189"/>
      <c r="AE11" s="241"/>
    </row>
    <row r="12" spans="1:31" x14ac:dyDescent="0.2">
      <c r="A12" s="263"/>
      <c r="B12" s="127"/>
      <c r="C12" s="172">
        <f>SUM(C9:C11)</f>
        <v>2796695.9525469677</v>
      </c>
      <c r="D12" s="172">
        <f>SUM(D9:D11)</f>
        <v>619831.24623251078</v>
      </c>
      <c r="E12" s="251"/>
      <c r="F12" s="127"/>
      <c r="G12" s="242"/>
      <c r="H12" s="249"/>
      <c r="I12" s="187"/>
      <c r="J12" s="187"/>
      <c r="K12" s="189"/>
      <c r="L12" s="249"/>
      <c r="M12" s="187"/>
      <c r="N12" s="187"/>
      <c r="O12" s="187"/>
      <c r="P12" s="249"/>
      <c r="Q12" s="187"/>
      <c r="R12" s="187"/>
      <c r="S12" s="189"/>
      <c r="T12" s="189"/>
      <c r="U12" s="189"/>
      <c r="V12" s="189"/>
      <c r="W12" s="189"/>
      <c r="X12" s="189"/>
      <c r="AE12" s="243"/>
    </row>
    <row r="13" spans="1:31" x14ac:dyDescent="0.2">
      <c r="A13" s="263"/>
      <c r="B13" s="127"/>
      <c r="C13" s="172"/>
      <c r="D13" s="127"/>
      <c r="E13" s="250"/>
      <c r="F13" s="127"/>
      <c r="G13" s="248"/>
      <c r="H13" s="249"/>
      <c r="I13" s="187"/>
      <c r="J13" s="187"/>
      <c r="K13" s="189"/>
      <c r="L13" s="249"/>
      <c r="M13" s="187"/>
      <c r="N13" s="187"/>
      <c r="O13" s="187"/>
      <c r="P13" s="249"/>
      <c r="Q13" s="187"/>
      <c r="R13" s="187"/>
      <c r="S13" s="189"/>
      <c r="T13" s="189"/>
      <c r="U13" s="189"/>
      <c r="V13" s="189"/>
      <c r="W13" s="189"/>
      <c r="X13" s="189"/>
    </row>
    <row r="14" spans="1:31" ht="15" x14ac:dyDescent="0.25">
      <c r="A14" s="263"/>
      <c r="B14" s="127"/>
      <c r="C14" s="172"/>
      <c r="D14" s="127"/>
      <c r="E14" s="250"/>
      <c r="F14" s="127"/>
      <c r="G14" s="248"/>
      <c r="H14" s="249"/>
      <c r="I14" s="187"/>
      <c r="J14" s="187"/>
      <c r="K14" s="189"/>
      <c r="L14" s="249"/>
      <c r="M14" s="187"/>
      <c r="N14" s="187"/>
      <c r="O14" s="187"/>
      <c r="P14" s="249"/>
      <c r="Q14" s="187"/>
      <c r="R14" s="187"/>
      <c r="S14" s="189"/>
      <c r="T14" s="189"/>
      <c r="U14" s="189"/>
      <c r="V14" s="189"/>
      <c r="W14" s="189"/>
      <c r="X14" s="189"/>
      <c r="AD14" s="244"/>
      <c r="AE14" s="243"/>
    </row>
    <row r="15" spans="1:31" x14ac:dyDescent="0.2">
      <c r="A15" s="263"/>
      <c r="B15" s="253"/>
      <c r="C15" s="127"/>
      <c r="D15" s="127"/>
      <c r="E15" s="250"/>
      <c r="F15" s="127"/>
      <c r="G15" s="248"/>
      <c r="H15" s="249"/>
      <c r="I15" s="187"/>
      <c r="J15" s="187"/>
      <c r="K15" s="189"/>
      <c r="L15" s="249"/>
      <c r="M15" s="187"/>
      <c r="N15" s="187"/>
      <c r="O15" s="187"/>
      <c r="P15" s="249"/>
      <c r="Q15" s="187"/>
      <c r="R15" s="187"/>
      <c r="S15" s="189"/>
      <c r="T15" s="189"/>
      <c r="U15" s="189"/>
      <c r="V15" s="189"/>
      <c r="W15" s="189"/>
      <c r="X15" s="189"/>
      <c r="AE15" s="243"/>
    </row>
    <row r="16" spans="1:31" x14ac:dyDescent="0.2">
      <c r="A16" s="264"/>
      <c r="B16" s="253"/>
      <c r="C16" s="253"/>
      <c r="D16" s="253"/>
      <c r="E16" s="250"/>
      <c r="F16" s="127"/>
      <c r="G16" s="248"/>
      <c r="H16" s="249"/>
      <c r="I16" s="187"/>
      <c r="J16" s="187"/>
      <c r="K16" s="189"/>
      <c r="L16" s="249"/>
      <c r="M16" s="187"/>
      <c r="N16" s="187"/>
      <c r="O16" s="187"/>
      <c r="P16" s="249"/>
      <c r="Q16" s="187"/>
      <c r="R16" s="187"/>
      <c r="S16" s="189"/>
      <c r="T16" s="189"/>
      <c r="U16" s="189"/>
      <c r="V16" s="189"/>
      <c r="W16" s="189"/>
      <c r="X16" s="189"/>
    </row>
    <row r="17" spans="1:31" x14ac:dyDescent="0.2">
      <c r="A17" s="265" t="s">
        <v>33</v>
      </c>
      <c r="B17" s="253"/>
      <c r="C17" s="253"/>
      <c r="D17" s="253"/>
      <c r="E17" s="250"/>
      <c r="F17" s="127"/>
      <c r="G17" s="248"/>
      <c r="H17" s="249"/>
      <c r="I17" s="187"/>
      <c r="J17" s="187"/>
      <c r="K17" s="189"/>
      <c r="L17" s="249"/>
      <c r="M17" s="187"/>
      <c r="N17" s="187"/>
      <c r="O17" s="187"/>
      <c r="P17" s="249"/>
      <c r="Q17" s="187"/>
      <c r="R17" s="187"/>
      <c r="S17" s="189"/>
      <c r="T17" s="189"/>
      <c r="U17" s="189"/>
      <c r="V17" s="189"/>
      <c r="W17" s="189"/>
      <c r="X17" s="189"/>
    </row>
    <row r="18" spans="1:31" x14ac:dyDescent="0.2">
      <c r="A18" s="264" t="s">
        <v>259</v>
      </c>
      <c r="B18" s="253"/>
      <c r="C18" s="254">
        <f>SUM(C39:N39)</f>
        <v>4414840.491981742</v>
      </c>
      <c r="D18" s="223">
        <f>C18*$C$26</f>
        <v>978460.34409664257</v>
      </c>
      <c r="E18" s="251"/>
      <c r="F18" s="172"/>
      <c r="G18" s="242"/>
      <c r="H18" s="249"/>
      <c r="I18" s="187"/>
      <c r="J18" s="187"/>
      <c r="K18" s="189"/>
      <c r="L18" s="249"/>
      <c r="M18" s="187"/>
      <c r="N18" s="187"/>
      <c r="O18" s="187"/>
      <c r="P18" s="249"/>
      <c r="Q18" s="187"/>
      <c r="R18" s="187"/>
      <c r="S18" s="189"/>
      <c r="T18" s="189"/>
      <c r="U18" s="189"/>
      <c r="V18" s="189"/>
      <c r="W18" s="189"/>
      <c r="X18" s="189"/>
      <c r="AD18" s="240"/>
    </row>
    <row r="19" spans="1:31" x14ac:dyDescent="0.2">
      <c r="A19" s="264" t="s">
        <v>260</v>
      </c>
      <c r="B19" s="253"/>
      <c r="C19" s="255">
        <f>'[16]10.2'!$F$16</f>
        <v>1888169.4425256413</v>
      </c>
      <c r="D19" s="223">
        <f>C19*$C$26</f>
        <v>418474.67101061583</v>
      </c>
      <c r="E19" s="251"/>
      <c r="F19" s="174"/>
      <c r="G19" s="242"/>
      <c r="H19" s="249"/>
      <c r="I19" s="187"/>
      <c r="J19" s="187"/>
      <c r="K19" s="189"/>
      <c r="L19" s="249"/>
      <c r="M19" s="187"/>
      <c r="N19" s="187"/>
      <c r="O19" s="187"/>
      <c r="P19" s="249"/>
      <c r="Q19" s="187"/>
      <c r="R19" s="187"/>
      <c r="S19" s="189"/>
      <c r="T19" s="189"/>
      <c r="U19" s="189"/>
      <c r="V19" s="189"/>
      <c r="W19" s="189"/>
      <c r="X19" s="189"/>
      <c r="AE19" s="241"/>
    </row>
    <row r="20" spans="1:31" x14ac:dyDescent="0.2">
      <c r="A20" s="264" t="s">
        <v>261</v>
      </c>
      <c r="B20" s="253"/>
      <c r="C20" s="256">
        <f>SUM(C42:N42)</f>
        <v>119222.99689730325</v>
      </c>
      <c r="D20" s="257">
        <f>C20*$C$26</f>
        <v>26423.372436725112</v>
      </c>
      <c r="E20" s="251"/>
      <c r="F20" s="172"/>
      <c r="G20" s="242"/>
      <c r="H20" s="249"/>
      <c r="I20" s="187"/>
      <c r="J20" s="187"/>
      <c r="K20" s="189"/>
      <c r="L20" s="249"/>
      <c r="M20" s="187"/>
      <c r="N20" s="187"/>
      <c r="O20" s="187"/>
      <c r="P20" s="249"/>
      <c r="Q20" s="187"/>
      <c r="R20" s="187"/>
      <c r="S20" s="189"/>
      <c r="T20" s="189"/>
      <c r="U20" s="189"/>
      <c r="V20" s="189"/>
      <c r="W20" s="189"/>
      <c r="X20" s="189"/>
      <c r="AE20" s="241"/>
    </row>
    <row r="21" spans="1:31" x14ac:dyDescent="0.2">
      <c r="A21" s="264"/>
      <c r="B21" s="253"/>
      <c r="C21" s="258">
        <f>SUM(C18:C20)</f>
        <v>6422232.9314046865</v>
      </c>
      <c r="D21" s="258">
        <f>SUM(D18:D20)</f>
        <v>1423358.3875439835</v>
      </c>
      <c r="E21" s="251"/>
      <c r="F21" s="127"/>
      <c r="G21" s="242"/>
      <c r="H21" s="189"/>
      <c r="I21" s="189"/>
      <c r="J21" s="189"/>
      <c r="K21" s="189"/>
      <c r="L21" s="189"/>
      <c r="M21" s="189"/>
      <c r="N21" s="189"/>
      <c r="O21" s="189"/>
      <c r="P21" s="189"/>
      <c r="Q21" s="189"/>
      <c r="R21" s="189"/>
      <c r="S21" s="189"/>
      <c r="T21" s="189"/>
      <c r="U21" s="189"/>
      <c r="V21" s="189"/>
      <c r="W21" s="189"/>
      <c r="X21" s="189"/>
      <c r="AE21" s="246"/>
    </row>
    <row r="22" spans="1:31" x14ac:dyDescent="0.2">
      <c r="A22" s="127"/>
      <c r="B22" s="127"/>
      <c r="C22" s="127"/>
      <c r="D22" s="127"/>
      <c r="E22" s="127"/>
      <c r="F22" s="174"/>
      <c r="G22" s="242"/>
      <c r="H22" s="189"/>
      <c r="I22" s="191"/>
      <c r="J22" s="191"/>
      <c r="K22" s="189"/>
      <c r="L22" s="189"/>
      <c r="M22" s="191"/>
      <c r="N22" s="191"/>
      <c r="O22" s="191"/>
      <c r="P22" s="189"/>
      <c r="Q22" s="191"/>
      <c r="R22" s="191"/>
      <c r="S22" s="189"/>
      <c r="T22" s="189"/>
      <c r="U22" s="189"/>
      <c r="V22" s="189"/>
      <c r="W22" s="189"/>
      <c r="X22" s="189"/>
      <c r="AE22" s="246"/>
    </row>
    <row r="23" spans="1:31" x14ac:dyDescent="0.2">
      <c r="A23" s="127"/>
      <c r="B23" s="127"/>
      <c r="C23" s="127"/>
      <c r="D23" s="127"/>
      <c r="E23" s="127"/>
      <c r="F23" s="127"/>
      <c r="G23" s="189"/>
      <c r="H23" s="189"/>
      <c r="I23" s="243"/>
      <c r="J23" s="243"/>
      <c r="K23" s="238"/>
      <c r="L23" s="238"/>
      <c r="M23" s="243"/>
      <c r="N23" s="243"/>
      <c r="O23" s="243"/>
      <c r="P23" s="189"/>
      <c r="Q23" s="191"/>
      <c r="R23" s="191"/>
      <c r="S23" s="189"/>
      <c r="T23" s="189"/>
      <c r="U23" s="189"/>
      <c r="V23" s="189"/>
      <c r="W23" s="189"/>
      <c r="X23" s="189"/>
      <c r="AE23" s="246"/>
    </row>
    <row r="24" spans="1:31" x14ac:dyDescent="0.2">
      <c r="A24" s="127"/>
      <c r="B24" s="259" t="s">
        <v>254</v>
      </c>
      <c r="C24" s="127"/>
      <c r="D24" s="127"/>
      <c r="E24" s="127"/>
      <c r="F24" s="127"/>
      <c r="G24" s="189"/>
      <c r="H24" s="189"/>
      <c r="I24" s="243"/>
      <c r="J24" s="243"/>
      <c r="K24" s="238"/>
      <c r="L24" s="238"/>
      <c r="M24" s="243"/>
      <c r="N24" s="243"/>
      <c r="O24" s="243"/>
      <c r="P24" s="189"/>
      <c r="Q24" s="191"/>
      <c r="R24" s="191"/>
      <c r="S24" s="189"/>
      <c r="T24" s="189"/>
      <c r="U24" s="189"/>
      <c r="V24" s="189"/>
      <c r="W24" s="189"/>
      <c r="X24" s="189"/>
      <c r="AE24" s="246"/>
    </row>
    <row r="25" spans="1:31" x14ac:dyDescent="0.2">
      <c r="A25" s="127"/>
      <c r="B25" s="178" t="s">
        <v>0</v>
      </c>
      <c r="C25" s="260">
        <v>0.22162982918040364</v>
      </c>
      <c r="D25" s="127"/>
      <c r="E25" s="127"/>
      <c r="F25" s="127"/>
      <c r="G25" s="189"/>
      <c r="H25" s="189"/>
      <c r="I25" s="238"/>
      <c r="J25" s="238"/>
      <c r="K25" s="238"/>
      <c r="L25" s="238"/>
      <c r="M25" s="238"/>
      <c r="N25" s="238"/>
      <c r="O25" s="238"/>
      <c r="P25" s="189"/>
      <c r="Q25" s="189"/>
      <c r="R25" s="189"/>
      <c r="S25" s="189"/>
      <c r="T25" s="189"/>
      <c r="U25" s="189"/>
      <c r="V25" s="189"/>
      <c r="W25" s="189"/>
      <c r="X25" s="189"/>
    </row>
    <row r="26" spans="1:31" ht="15" x14ac:dyDescent="0.25">
      <c r="A26" s="127"/>
      <c r="B26" s="178" t="s">
        <v>1</v>
      </c>
      <c r="C26" s="260">
        <v>0.22162982918040364</v>
      </c>
      <c r="D26" s="127"/>
      <c r="E26" s="127"/>
      <c r="F26" s="127"/>
      <c r="G26" s="189"/>
      <c r="H26" s="190"/>
      <c r="I26" s="191"/>
      <c r="J26" s="191"/>
      <c r="K26" s="189"/>
      <c r="L26" s="189"/>
      <c r="M26" s="191"/>
      <c r="N26" s="191"/>
      <c r="O26" s="191"/>
      <c r="P26" s="189"/>
      <c r="Q26" s="189"/>
      <c r="R26" s="189"/>
      <c r="S26" s="189"/>
      <c r="T26" s="189"/>
      <c r="U26" s="189"/>
      <c r="V26" s="189"/>
      <c r="W26" s="189"/>
      <c r="X26" s="189"/>
      <c r="AD26" s="244"/>
      <c r="AE26" s="243"/>
    </row>
    <row r="27" spans="1:31" x14ac:dyDescent="0.2">
      <c r="G27" s="189"/>
      <c r="H27" s="189"/>
      <c r="I27" s="189"/>
      <c r="J27" s="189"/>
      <c r="K27" s="189"/>
      <c r="L27" s="189"/>
      <c r="M27" s="189"/>
      <c r="N27" s="189"/>
      <c r="O27" s="189"/>
      <c r="P27" s="189"/>
      <c r="Q27" s="189"/>
      <c r="R27" s="189"/>
      <c r="S27" s="189"/>
      <c r="T27" s="189"/>
      <c r="U27" s="189"/>
      <c r="V27" s="189"/>
      <c r="W27" s="189"/>
      <c r="X27" s="189"/>
      <c r="AE27" s="243"/>
    </row>
    <row r="28" spans="1:31" x14ac:dyDescent="0.2">
      <c r="A28" s="225" t="s">
        <v>147</v>
      </c>
      <c r="E28" s="247"/>
      <c r="G28" s="189"/>
      <c r="H28" s="189"/>
      <c r="I28" s="189"/>
      <c r="J28" s="189"/>
      <c r="K28" s="189"/>
      <c r="L28" s="189"/>
      <c r="M28" s="189"/>
      <c r="N28" s="189"/>
      <c r="O28" s="189"/>
    </row>
    <row r="29" spans="1:31" x14ac:dyDescent="0.2">
      <c r="A29" s="225" t="s">
        <v>250</v>
      </c>
      <c r="G29" s="189"/>
      <c r="H29" s="189"/>
      <c r="I29" s="189"/>
      <c r="J29" s="189"/>
      <c r="K29" s="189"/>
      <c r="L29" s="189"/>
      <c r="M29" s="189"/>
      <c r="N29" s="189"/>
      <c r="O29" s="189"/>
    </row>
    <row r="30" spans="1:31" x14ac:dyDescent="0.2">
      <c r="A30" s="225" t="s">
        <v>252</v>
      </c>
      <c r="G30" s="189"/>
      <c r="H30" s="189"/>
      <c r="I30" s="189"/>
      <c r="J30" s="189"/>
      <c r="K30" s="189"/>
      <c r="L30" s="189"/>
      <c r="M30" s="189"/>
      <c r="N30" s="189"/>
      <c r="O30" s="189"/>
    </row>
    <row r="31" spans="1:31" x14ac:dyDescent="0.2">
      <c r="A31" s="225" t="s">
        <v>253</v>
      </c>
      <c r="G31" s="189"/>
      <c r="H31" s="189"/>
      <c r="I31" s="189"/>
      <c r="J31" s="189"/>
      <c r="K31" s="189"/>
      <c r="L31" s="189"/>
      <c r="M31" s="189"/>
      <c r="N31" s="189"/>
      <c r="O31" s="189"/>
    </row>
    <row r="32" spans="1:31" x14ac:dyDescent="0.2">
      <c r="A32" s="225" t="s">
        <v>251</v>
      </c>
      <c r="C32" s="245"/>
    </row>
    <row r="33" spans="1:33" x14ac:dyDescent="0.2">
      <c r="A33" s="224"/>
    </row>
    <row r="35" spans="1:33" s="127" customFormat="1" ht="12.75" x14ac:dyDescent="0.2">
      <c r="AC35" s="261"/>
      <c r="AD35" s="261"/>
      <c r="AE35" s="261"/>
      <c r="AF35" s="261"/>
      <c r="AG35" s="261"/>
    </row>
    <row r="36" spans="1:33" s="127" customFormat="1" ht="12.75" x14ac:dyDescent="0.2">
      <c r="A36" s="185" t="s">
        <v>242</v>
      </c>
      <c r="AC36" s="261"/>
      <c r="AD36" s="261"/>
      <c r="AE36" s="261"/>
      <c r="AF36" s="261"/>
      <c r="AG36" s="261"/>
    </row>
    <row r="37" spans="1:33" s="127" customFormat="1" ht="12.75" x14ac:dyDescent="0.2">
      <c r="B37" s="233" t="s">
        <v>244</v>
      </c>
      <c r="C37" s="3">
        <v>45658</v>
      </c>
      <c r="D37" s="3">
        <v>45689</v>
      </c>
      <c r="E37" s="3">
        <v>45717</v>
      </c>
      <c r="F37" s="3">
        <v>45748</v>
      </c>
      <c r="G37" s="3">
        <v>45778</v>
      </c>
      <c r="H37" s="3">
        <v>45809</v>
      </c>
      <c r="I37" s="3">
        <v>45839</v>
      </c>
      <c r="J37" s="3">
        <v>45870</v>
      </c>
      <c r="K37" s="3">
        <v>45901</v>
      </c>
      <c r="L37" s="3">
        <v>45931</v>
      </c>
      <c r="M37" s="3">
        <v>45962</v>
      </c>
      <c r="N37" s="3">
        <v>45992</v>
      </c>
      <c r="AC37" s="261"/>
      <c r="AD37" s="261"/>
      <c r="AE37" s="261"/>
      <c r="AF37" s="261"/>
      <c r="AG37" s="261"/>
    </row>
    <row r="38" spans="1:33" s="127" customFormat="1" ht="12.75" x14ac:dyDescent="0.2">
      <c r="A38" s="127" t="s">
        <v>317</v>
      </c>
      <c r="B38" s="200" t="s">
        <v>319</v>
      </c>
      <c r="C38" s="119">
        <f>'[19]14.6.1'!Q20</f>
        <v>527123.00102559628</v>
      </c>
      <c r="D38" s="119">
        <f>'[19]14.6.1'!R20</f>
        <v>527123.00102559628</v>
      </c>
      <c r="E38" s="119">
        <f>'[19]14.6.1'!S20</f>
        <v>527123.00102559628</v>
      </c>
      <c r="F38" s="119">
        <f>'[19]14.6.1'!T20</f>
        <v>527123.00102559628</v>
      </c>
      <c r="G38" s="119">
        <f>'[19]14.6.1'!U20</f>
        <v>527123.00102559628</v>
      </c>
      <c r="H38" s="119">
        <f>'[19]14.6.1'!V20</f>
        <v>527123.00102559628</v>
      </c>
      <c r="I38" s="119">
        <f>'[19]14.6.1'!W20</f>
        <v>527123.00102559628</v>
      </c>
      <c r="J38" s="119">
        <f>'[19]14.6.1'!X20</f>
        <v>527123.00102559628</v>
      </c>
      <c r="K38" s="119">
        <f>'[19]14.6.1'!Y20</f>
        <v>527123.00102559628</v>
      </c>
      <c r="L38" s="119">
        <f>'[19]14.6.1'!Z20</f>
        <v>527123.00102559628</v>
      </c>
      <c r="M38" s="119">
        <f>'[19]14.6.1'!AA20</f>
        <v>527123.00102559628</v>
      </c>
      <c r="N38" s="119">
        <f>'[19]14.6.1'!AB20</f>
        <v>527123.00102559628</v>
      </c>
      <c r="AC38" s="261"/>
      <c r="AD38" s="261"/>
      <c r="AE38" s="261"/>
      <c r="AF38" s="261"/>
      <c r="AG38" s="261"/>
    </row>
    <row r="39" spans="1:33" s="127" customFormat="1" ht="12.75" x14ac:dyDescent="0.2">
      <c r="A39" s="127" t="s">
        <v>241</v>
      </c>
      <c r="B39" s="204" t="s">
        <v>248</v>
      </c>
      <c r="C39" s="119">
        <f>'[19]14.6.1'!Q21</f>
        <v>367903.37433181173</v>
      </c>
      <c r="D39" s="119">
        <f>'[19]14.6.1'!R21</f>
        <v>367903.37433181173</v>
      </c>
      <c r="E39" s="119">
        <f>'[19]14.6.1'!S21</f>
        <v>367903.37433181173</v>
      </c>
      <c r="F39" s="119">
        <f>'[19]14.6.1'!T21</f>
        <v>367903.37433181173</v>
      </c>
      <c r="G39" s="119">
        <f>'[19]14.6.1'!U21</f>
        <v>367903.37433181173</v>
      </c>
      <c r="H39" s="119">
        <f>'[19]14.6.1'!V21</f>
        <v>367903.37433181173</v>
      </c>
      <c r="I39" s="119">
        <f>'[19]14.6.1'!W21</f>
        <v>367903.37433181173</v>
      </c>
      <c r="J39" s="119">
        <f>'[19]14.6.1'!X21</f>
        <v>367903.37433181173</v>
      </c>
      <c r="K39" s="119">
        <f>'[19]14.6.1'!Y21</f>
        <v>367903.37433181173</v>
      </c>
      <c r="L39" s="119">
        <f>'[19]14.6.1'!Z21</f>
        <v>367903.37433181173</v>
      </c>
      <c r="M39" s="119">
        <f>'[19]14.6.1'!AA21</f>
        <v>367903.37433181173</v>
      </c>
      <c r="N39" s="119">
        <f>'[19]14.6.1'!AB21</f>
        <v>367903.37433181173</v>
      </c>
      <c r="AC39" s="261"/>
      <c r="AD39" s="261"/>
      <c r="AE39" s="261"/>
      <c r="AF39" s="261"/>
      <c r="AG39" s="261"/>
    </row>
    <row r="40" spans="1:33" s="127" customFormat="1" ht="12.75" x14ac:dyDescent="0.2">
      <c r="A40" s="127" t="s">
        <v>243</v>
      </c>
      <c r="B40" s="204" t="s">
        <v>248</v>
      </c>
      <c r="C40" s="119">
        <f>'[19]14.6.1'!Q22</f>
        <v>215135.89487958953</v>
      </c>
      <c r="D40" s="119">
        <f>'[19]14.6.1'!R22</f>
        <v>215135.89487958953</v>
      </c>
      <c r="E40" s="119">
        <f>'[19]14.6.1'!S22</f>
        <v>215135.89487958953</v>
      </c>
      <c r="F40" s="119">
        <f>'[19]14.6.1'!T22</f>
        <v>215135.89487958953</v>
      </c>
      <c r="G40" s="119">
        <f>'[19]14.6.1'!U22</f>
        <v>215135.89487958953</v>
      </c>
      <c r="H40" s="119">
        <f>'[19]14.6.1'!V22</f>
        <v>215135.89487958953</v>
      </c>
      <c r="I40" s="119">
        <f>'[19]14.6.1'!W22</f>
        <v>215135.89487958953</v>
      </c>
      <c r="J40" s="119">
        <f>'[19]14.6.1'!X22</f>
        <v>215135.89487958953</v>
      </c>
      <c r="K40" s="119">
        <f>'[19]14.6.1'!Y22</f>
        <v>215135.89487958953</v>
      </c>
      <c r="L40" s="119">
        <f>'[19]14.6.1'!Z22</f>
        <v>215135.89487958953</v>
      </c>
      <c r="M40" s="119">
        <f>'[19]14.6.1'!AA22</f>
        <v>215135.89487958953</v>
      </c>
      <c r="N40" s="119">
        <f>'[19]14.6.1'!AB22</f>
        <v>215135.89487958953</v>
      </c>
      <c r="AC40" s="261"/>
      <c r="AD40" s="261"/>
      <c r="AE40" s="261"/>
      <c r="AF40" s="261"/>
      <c r="AG40" s="261"/>
    </row>
    <row r="41" spans="1:33" s="127" customFormat="1" ht="12.75" x14ac:dyDescent="0.2">
      <c r="A41" s="127" t="s">
        <v>318</v>
      </c>
      <c r="B41" s="204" t="s">
        <v>319</v>
      </c>
      <c r="C41" s="119">
        <f>SUM('[12]14.8.1'!AH25:AH27)</f>
        <v>19914.466579537926</v>
      </c>
      <c r="D41" s="119">
        <f>SUM('[12]14.8.1'!AI25:AI27)</f>
        <v>19914.466579537926</v>
      </c>
      <c r="E41" s="119">
        <f>SUM('[12]14.8.1'!AJ25:AJ27)</f>
        <v>19914.466579537926</v>
      </c>
      <c r="F41" s="119">
        <f>SUM('[12]14.8.1'!AK25:AK27)</f>
        <v>19914.466579537926</v>
      </c>
      <c r="G41" s="119">
        <f>SUM('[12]14.8.1'!AL25:AL27)</f>
        <v>19914.466579537926</v>
      </c>
      <c r="H41" s="119">
        <f>SUM('[12]14.8.1'!AM25:AM27)</f>
        <v>19914.466579537926</v>
      </c>
      <c r="I41" s="119">
        <f>SUM('[12]14.8.1'!AN25:AN27)</f>
        <v>19914.466579537926</v>
      </c>
      <c r="J41" s="119">
        <f>SUM('[12]14.8.1'!AO25:AO27)</f>
        <v>19914.466579537926</v>
      </c>
      <c r="K41" s="119">
        <f>SUM('[12]14.8.1'!AP25:AP27)</f>
        <v>19914.466579537926</v>
      </c>
      <c r="L41" s="119">
        <f>SUM('[12]14.8.1'!AQ25:AQ27)</f>
        <v>19914.466579537926</v>
      </c>
      <c r="M41" s="119">
        <f>SUM('[12]14.8.1'!AR25:AR27)</f>
        <v>19914.466579537926</v>
      </c>
      <c r="N41" s="119">
        <f>SUM('[12]14.8.1'!AS25:AS27)</f>
        <v>19968.744238389536</v>
      </c>
      <c r="AC41" s="261"/>
      <c r="AD41" s="261"/>
      <c r="AE41" s="261"/>
      <c r="AF41" s="261"/>
      <c r="AG41" s="261"/>
    </row>
    <row r="42" spans="1:33" s="127" customFormat="1" ht="12.75" x14ac:dyDescent="0.2">
      <c r="A42" s="127" t="s">
        <v>245</v>
      </c>
      <c r="B42" s="204" t="s">
        <v>249</v>
      </c>
      <c r="C42" s="119">
        <f>'[13]14.7.1'!E16+'[13]14.7.1'!E18</f>
        <v>9529.9675967924104</v>
      </c>
      <c r="D42" s="119">
        <f>'[13]14.7.1'!F16+'[13]14.7.1'!F18</f>
        <v>9542.6840770995768</v>
      </c>
      <c r="E42" s="119">
        <f>'[13]14.7.1'!G16+'[13]14.7.1'!G18</f>
        <v>9554.369761042617</v>
      </c>
      <c r="F42" s="119">
        <f>'[13]14.7.1'!H16+'[13]14.7.1'!H18</f>
        <v>9565.0112176252551</v>
      </c>
      <c r="G42" s="119">
        <f>'[13]14.7.1'!I16+'[13]14.7.1'!I18</f>
        <v>9580.8160826794465</v>
      </c>
      <c r="H42" s="119">
        <f>'[13]14.7.1'!J16+'[13]14.7.1'!J18</f>
        <v>9914.9096276515265</v>
      </c>
      <c r="I42" s="119">
        <f>'[13]14.7.1'!K16+'[13]14.7.1'!K18</f>
        <v>10241.695707714669</v>
      </c>
      <c r="J42" s="119">
        <f>'[13]14.7.1'!L16+'[13]14.7.1'!L18</f>
        <v>10248.020554291301</v>
      </c>
      <c r="K42" s="119">
        <f>'[13]14.7.1'!M16+'[13]14.7.1'!M18</f>
        <v>10253.229912045776</v>
      </c>
      <c r="L42" s="119">
        <f>'[13]14.7.1'!N16+'[13]14.7.1'!N18</f>
        <v>10257.308655188013</v>
      </c>
      <c r="M42" s="119">
        <f>'[13]14.7.1'!O16+'[13]14.7.1'!O18</f>
        <v>10260.241348170501</v>
      </c>
      <c r="N42" s="119">
        <f>'[13]14.7.1'!P16+'[13]14.7.1'!P18</f>
        <v>10274.742357002149</v>
      </c>
      <c r="AC42" s="261"/>
      <c r="AD42" s="261"/>
      <c r="AE42" s="261"/>
      <c r="AF42" s="261"/>
      <c r="AG42" s="261"/>
    </row>
    <row r="43" spans="1:33" s="127" customFormat="1" ht="12.75" x14ac:dyDescent="0.2">
      <c r="A43" s="127" t="s">
        <v>246</v>
      </c>
      <c r="B43" s="204" t="s">
        <v>249</v>
      </c>
      <c r="C43" s="119">
        <f>'[13]14.7.1'!E17</f>
        <v>13190.770092847641</v>
      </c>
      <c r="D43" s="119">
        <f>'[13]14.7.1'!F17</f>
        <v>13190.770092847641</v>
      </c>
      <c r="E43" s="119">
        <f>'[13]14.7.1'!G17</f>
        <v>13190.770092847641</v>
      </c>
      <c r="F43" s="119">
        <f>'[13]14.7.1'!H17</f>
        <v>13190.770092847641</v>
      </c>
      <c r="G43" s="119">
        <f>'[13]14.7.1'!I17</f>
        <v>13190.770092847641</v>
      </c>
      <c r="H43" s="119">
        <f>'[13]14.7.1'!J17</f>
        <v>13190.770092847641</v>
      </c>
      <c r="I43" s="119">
        <f>'[13]14.7.1'!K17</f>
        <v>13190.770092847641</v>
      </c>
      <c r="J43" s="119">
        <f>'[13]14.7.1'!L17</f>
        <v>13190.770092847641</v>
      </c>
      <c r="K43" s="119">
        <f>'[13]14.7.1'!M17</f>
        <v>13190.770092847641</v>
      </c>
      <c r="L43" s="119">
        <f>'[13]14.7.1'!N17</f>
        <v>13190.770092847641</v>
      </c>
      <c r="M43" s="119">
        <f>'[13]14.7.1'!O17</f>
        <v>13190.770092847641</v>
      </c>
      <c r="N43" s="119">
        <f>'[13]14.7.1'!P17</f>
        <v>13201.873886370073</v>
      </c>
      <c r="AC43" s="261"/>
      <c r="AD43" s="261"/>
      <c r="AE43" s="261"/>
      <c r="AF43" s="261"/>
      <c r="AG43" s="261"/>
    </row>
    <row r="44" spans="1:33" s="127" customFormat="1" ht="12.75" x14ac:dyDescent="0.2">
      <c r="A44" s="183" t="s">
        <v>247</v>
      </c>
      <c r="AC44" s="261"/>
      <c r="AD44" s="261"/>
      <c r="AE44" s="261"/>
      <c r="AF44" s="261"/>
      <c r="AG44" s="261"/>
    </row>
    <row r="45" spans="1:33" x14ac:dyDescent="0.2">
      <c r="C45" s="209"/>
      <c r="D45" s="209"/>
      <c r="E45" s="209"/>
      <c r="F45" s="209"/>
      <c r="G45" s="209"/>
      <c r="H45" s="209"/>
      <c r="I45" s="209"/>
      <c r="J45" s="209"/>
      <c r="K45" s="209"/>
      <c r="L45" s="209"/>
      <c r="M45" s="209"/>
      <c r="N45" s="209">
        <f>SUM(C38:N39,C41:N42)</f>
        <v>11098567.377799502</v>
      </c>
      <c r="O45" s="186" t="s">
        <v>321</v>
      </c>
    </row>
    <row r="46" spans="1:33" x14ac:dyDescent="0.2">
      <c r="C46" s="188"/>
      <c r="N46" s="188">
        <f>SUM(C40:N40,C43:N43)</f>
        <v>2739931.0834627692</v>
      </c>
      <c r="O46" s="186" t="s">
        <v>320</v>
      </c>
    </row>
    <row r="48" spans="1:33" x14ac:dyDescent="0.2">
      <c r="N48" s="188">
        <f>N45*C26</f>
        <v>2459773.5920889038</v>
      </c>
      <c r="O48" s="186" t="s">
        <v>322</v>
      </c>
    </row>
    <row r="49" spans="3:15" x14ac:dyDescent="0.2">
      <c r="N49" s="188">
        <f>N46*C25</f>
        <v>607250.45799393184</v>
      </c>
      <c r="O49" s="186" t="s">
        <v>323</v>
      </c>
    </row>
    <row r="50" spans="3:15" x14ac:dyDescent="0.2">
      <c r="C50" s="188"/>
    </row>
    <row r="51" spans="3:15" x14ac:dyDescent="0.2">
      <c r="C51" s="188"/>
    </row>
  </sheetData>
  <mergeCells count="3">
    <mergeCell ref="I7:J7"/>
    <mergeCell ref="M7:N7"/>
    <mergeCell ref="Q7:R7"/>
  </mergeCells>
  <pageMargins left="0.7" right="0.7" top="0.75" bottom="0.75" header="0.3" footer="0.3"/>
  <pageSetup fitToHeight="0" orientation="landscape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22308-432C-465F-A6CE-2723CE5B4419}">
  <dimension ref="A1:D19"/>
  <sheetViews>
    <sheetView workbookViewId="0">
      <selection activeCell="D10" sqref="D10"/>
    </sheetView>
  </sheetViews>
  <sheetFormatPr defaultRowHeight="12.75" x14ac:dyDescent="0.2"/>
  <cols>
    <col min="1" max="1" width="6.85546875" style="127" bestFit="1" customWidth="1"/>
    <col min="2" max="2" width="23" style="127" customWidth="1"/>
    <col min="3" max="3" width="18.140625" style="127" customWidth="1"/>
    <col min="4" max="4" width="20.7109375" style="127" customWidth="1"/>
    <col min="5" max="16384" width="9.140625" style="127"/>
  </cols>
  <sheetData>
    <row r="1" spans="1:4" x14ac:dyDescent="0.2">
      <c r="A1" s="121" t="s">
        <v>19</v>
      </c>
    </row>
    <row r="2" spans="1:4" x14ac:dyDescent="0.2">
      <c r="A2" s="121" t="s">
        <v>108</v>
      </c>
    </row>
    <row r="3" spans="1:4" x14ac:dyDescent="0.2">
      <c r="A3" s="121" t="s">
        <v>239</v>
      </c>
    </row>
    <row r="4" spans="1:4" x14ac:dyDescent="0.2">
      <c r="A4" s="167" t="s">
        <v>240</v>
      </c>
    </row>
    <row r="5" spans="1:4" x14ac:dyDescent="0.2">
      <c r="A5" s="167"/>
    </row>
    <row r="7" spans="1:4" x14ac:dyDescent="0.2">
      <c r="C7" s="226" t="s">
        <v>155</v>
      </c>
      <c r="D7" s="227" t="s">
        <v>157</v>
      </c>
    </row>
    <row r="8" spans="1:4" x14ac:dyDescent="0.2">
      <c r="C8" s="228" t="s">
        <v>3</v>
      </c>
      <c r="D8" s="229" t="s">
        <v>3</v>
      </c>
    </row>
    <row r="9" spans="1:4" x14ac:dyDescent="0.2">
      <c r="A9" s="192">
        <v>399</v>
      </c>
      <c r="B9" s="230" t="s">
        <v>8</v>
      </c>
      <c r="C9" s="235">
        <f>'[14]14.5'!$F$27</f>
        <v>182316383.03999999</v>
      </c>
      <c r="D9" s="231">
        <f>C9*$B$15</f>
        <v>41227845.658079535</v>
      </c>
    </row>
    <row r="10" spans="1:4" x14ac:dyDescent="0.2">
      <c r="A10" s="165" t="s">
        <v>5</v>
      </c>
      <c r="B10" s="200" t="s">
        <v>10</v>
      </c>
      <c r="C10" s="236">
        <f>'[14]14.5'!$F$29</f>
        <v>-162641036.10197476</v>
      </c>
      <c r="D10" s="232">
        <f>C10*$B$15</f>
        <v>-36778590.175361328</v>
      </c>
    </row>
    <row r="11" spans="1:4" x14ac:dyDescent="0.2">
      <c r="A11" s="166" t="s">
        <v>6</v>
      </c>
      <c r="B11" s="233" t="s">
        <v>9</v>
      </c>
      <c r="C11" s="237">
        <f>'[14]14.5'!$F$12</f>
        <v>0</v>
      </c>
      <c r="D11" s="234">
        <f>C11*$B$15</f>
        <v>0</v>
      </c>
    </row>
    <row r="12" spans="1:4" x14ac:dyDescent="0.2">
      <c r="A12" s="204"/>
      <c r="B12" s="204"/>
      <c r="C12" s="271" t="s">
        <v>238</v>
      </c>
    </row>
    <row r="13" spans="1:4" x14ac:dyDescent="0.2">
      <c r="A13" s="204"/>
      <c r="B13" s="204"/>
      <c r="C13" s="119"/>
      <c r="D13" s="172"/>
    </row>
    <row r="14" spans="1:4" x14ac:dyDescent="0.2">
      <c r="A14" s="185" t="s">
        <v>266</v>
      </c>
    </row>
    <row r="15" spans="1:4" x14ac:dyDescent="0.2">
      <c r="A15" s="178" t="s">
        <v>7</v>
      </c>
      <c r="B15" s="260">
        <v>0.22613352113854845</v>
      </c>
    </row>
    <row r="19" spans="1:1" x14ac:dyDescent="0.2">
      <c r="A19" s="214"/>
    </row>
  </sheetData>
  <pageMargins left="0.7" right="0.7" top="0.75" bottom="0.75" header="0.3" footer="0.3"/>
  <pageSetup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8974A-0E0D-4FCF-8CBA-05C6D00AE9FC}">
  <sheetPr>
    <pageSetUpPr fitToPage="1"/>
  </sheetPr>
  <dimension ref="A1:H50"/>
  <sheetViews>
    <sheetView topLeftCell="A4" workbookViewId="0">
      <selection activeCell="G33" sqref="G33"/>
    </sheetView>
  </sheetViews>
  <sheetFormatPr defaultRowHeight="12.75" x14ac:dyDescent="0.2"/>
  <cols>
    <col min="1" max="1" width="21" style="127" customWidth="1"/>
    <col min="2" max="2" width="17.7109375" style="127" bestFit="1" customWidth="1"/>
    <col min="3" max="3" width="15.85546875" style="127" customWidth="1"/>
    <col min="4" max="5" width="16" style="127" customWidth="1"/>
    <col min="6" max="6" width="17.7109375" style="127" bestFit="1" customWidth="1"/>
    <col min="7" max="7" width="9.140625" style="127"/>
    <col min="8" max="8" width="14" style="127" bestFit="1" customWidth="1"/>
    <col min="9" max="16384" width="9.140625" style="127"/>
  </cols>
  <sheetData>
    <row r="1" spans="1:8" x14ac:dyDescent="0.2">
      <c r="A1" s="206" t="s">
        <v>19</v>
      </c>
    </row>
    <row r="2" spans="1:8" x14ac:dyDescent="0.2">
      <c r="A2" s="121" t="s">
        <v>108</v>
      </c>
    </row>
    <row r="3" spans="1:8" x14ac:dyDescent="0.2">
      <c r="A3" s="167" t="s">
        <v>210</v>
      </c>
    </row>
    <row r="4" spans="1:8" x14ac:dyDescent="0.2">
      <c r="A4" s="167"/>
    </row>
    <row r="6" spans="1:8" x14ac:dyDescent="0.2">
      <c r="C6" s="311" t="s">
        <v>152</v>
      </c>
      <c r="D6" s="311"/>
      <c r="E6" s="311"/>
    </row>
    <row r="7" spans="1:8" x14ac:dyDescent="0.2">
      <c r="B7" s="169" t="s">
        <v>152</v>
      </c>
      <c r="C7" s="210" t="s">
        <v>193</v>
      </c>
      <c r="D7" s="210" t="s">
        <v>163</v>
      </c>
      <c r="E7" s="210" t="s">
        <v>178</v>
      </c>
      <c r="F7" s="211" t="s">
        <v>152</v>
      </c>
    </row>
    <row r="8" spans="1:8" x14ac:dyDescent="0.2">
      <c r="B8" s="169" t="s">
        <v>2</v>
      </c>
      <c r="C8" s="210" t="s">
        <v>194</v>
      </c>
      <c r="D8" s="210" t="s">
        <v>195</v>
      </c>
      <c r="E8" s="210" t="s">
        <v>195</v>
      </c>
      <c r="F8" s="211" t="s">
        <v>4</v>
      </c>
    </row>
    <row r="9" spans="1:8" ht="14.25" x14ac:dyDescent="0.2">
      <c r="A9" s="184" t="s">
        <v>209</v>
      </c>
      <c r="B9" s="119"/>
    </row>
    <row r="10" spans="1:8" x14ac:dyDescent="0.2">
      <c r="A10" s="212" t="s">
        <v>7</v>
      </c>
      <c r="B10" s="336">
        <f>(SUMIFS('JB OMAG'!F:F,'JB OMAG'!B:B,"517003",'JB OMAG'!E:E,"JBE")+SUMIFS('JB OMAG'!F:F,'JB OMAG'!B:B,"517004",'JB OMAG'!E:E,"JBE"))*1000</f>
        <v>-259906.36000000002</v>
      </c>
      <c r="F10" s="337">
        <f>SUM(B10:E10)</f>
        <v>-259906.36000000002</v>
      </c>
      <c r="H10" s="119"/>
    </row>
    <row r="11" spans="1:8" x14ac:dyDescent="0.2">
      <c r="A11" s="212" t="s">
        <v>1</v>
      </c>
      <c r="B11" s="220">
        <f>(SUMIFS('JB OMAG'!F:F,'JB OMAG'!B:B,"517003",'JB OMAG'!E:E,"JBG")+SUMIFS('JB OMAG'!F:F,'JB OMAG'!B:B,"517004",'JB OMAG'!E:E,"JBG"))*1000</f>
        <v>3357506.6</v>
      </c>
      <c r="C11" s="337">
        <f>'Labor Esc.'!C33</f>
        <v>13039.46151124358</v>
      </c>
      <c r="D11" s="337">
        <f>'Labor Esc.'!D33</f>
        <v>62656.643410855555</v>
      </c>
      <c r="E11" s="337">
        <f>'Labor Esc.'!E33</f>
        <v>20990.30992897684</v>
      </c>
      <c r="F11" s="119">
        <f>SUM(B11:E11)</f>
        <v>3454193.0148510761</v>
      </c>
      <c r="H11" s="119"/>
    </row>
    <row r="12" spans="1:8" x14ac:dyDescent="0.2">
      <c r="A12" s="212" t="s">
        <v>25</v>
      </c>
      <c r="B12" s="221">
        <f>(SUMIFS('JB OMAG'!F:F,'JB OMAG'!B:B,"517003",'JB OMAG'!E:E,"SO")+SUMIFS('JB OMAG'!F:F,'JB OMAG'!B:B,"517004",'JB OMAG'!E:E,"SO"))*1000</f>
        <v>-270508.78999999998</v>
      </c>
      <c r="C12" s="339"/>
      <c r="D12" s="339"/>
      <c r="E12" s="339"/>
      <c r="F12" s="162">
        <f>SUM(B12:E12)</f>
        <v>-270508.78999999998</v>
      </c>
      <c r="H12" s="119"/>
    </row>
    <row r="13" spans="1:8" x14ac:dyDescent="0.2">
      <c r="A13" s="212"/>
      <c r="B13" s="337">
        <f>SUM(B10:B12)</f>
        <v>2827091.45</v>
      </c>
      <c r="C13" s="337">
        <f t="shared" ref="C13:F13" si="0">SUM(C10:C12)</f>
        <v>13039.46151124358</v>
      </c>
      <c r="D13" s="337">
        <f t="shared" si="0"/>
        <v>62656.643410855555</v>
      </c>
      <c r="E13" s="337">
        <f t="shared" si="0"/>
        <v>20990.30992897684</v>
      </c>
      <c r="F13" s="337">
        <f t="shared" si="0"/>
        <v>2923777.8648510762</v>
      </c>
    </row>
    <row r="14" spans="1:8" ht="14.25" x14ac:dyDescent="0.2">
      <c r="A14" s="184" t="s">
        <v>232</v>
      </c>
    </row>
    <row r="15" spans="1:8" x14ac:dyDescent="0.2">
      <c r="A15" s="212" t="s">
        <v>0</v>
      </c>
      <c r="B15" s="119">
        <f>SUMIFS('[15]10.3.3'!$D:$D,'[15]10.3.3'!$C:$C,A15)-SUMIFS('[15]10.3.3'!$K:$K,'[15]10.3.3'!$C:$C,A15)</f>
        <v>4780160.6006212197</v>
      </c>
      <c r="F15" s="172">
        <f>SUM(B15:E15)</f>
        <v>4780160.6006212197</v>
      </c>
    </row>
    <row r="16" spans="1:8" x14ac:dyDescent="0.2">
      <c r="A16" s="212" t="s">
        <v>25</v>
      </c>
      <c r="B16" s="162">
        <f>SUMIFS('[15]10.3.3'!$D:$D,'[15]10.3.3'!$C:$C,A16)-SUMIFS('[15]10.3.3'!$K:$K,'[15]10.3.3'!$C:$C,A16)</f>
        <v>190010.32474548003</v>
      </c>
      <c r="C16" s="164"/>
      <c r="D16" s="164"/>
      <c r="E16" s="164"/>
      <c r="F16" s="213">
        <f>SUM(B16:E16)</f>
        <v>190010.32474548003</v>
      </c>
    </row>
    <row r="17" spans="1:6" x14ac:dyDescent="0.2">
      <c r="B17" s="172">
        <f>SUM(B15:B16)</f>
        <v>4970170.9253666997</v>
      </c>
      <c r="F17" s="172">
        <f>SUM(F15:F16)</f>
        <v>4970170.9253666997</v>
      </c>
    </row>
    <row r="18" spans="1:6" ht="14.25" x14ac:dyDescent="0.2">
      <c r="A18" s="184" t="s">
        <v>233</v>
      </c>
    </row>
    <row r="19" spans="1:6" x14ac:dyDescent="0.2">
      <c r="A19" s="212" t="s">
        <v>1</v>
      </c>
      <c r="F19" s="220">
        <f>'[17]10.8'!$F$16</f>
        <v>10156499.714155717</v>
      </c>
    </row>
    <row r="21" spans="1:6" x14ac:dyDescent="0.2">
      <c r="A21" s="185" t="s">
        <v>150</v>
      </c>
    </row>
    <row r="22" spans="1:6" x14ac:dyDescent="0.2">
      <c r="A22" s="178" t="s">
        <v>7</v>
      </c>
      <c r="B22" s="260">
        <f>'Mine RB'!B15</f>
        <v>0.22613352113854845</v>
      </c>
    </row>
    <row r="23" spans="1:6" x14ac:dyDescent="0.2">
      <c r="A23" s="178" t="s">
        <v>1</v>
      </c>
      <c r="B23" s="260">
        <f>'Depr Exp'!C26</f>
        <v>0.22162982918040364</v>
      </c>
    </row>
    <row r="24" spans="1:6" x14ac:dyDescent="0.2">
      <c r="A24" s="178" t="s">
        <v>0</v>
      </c>
      <c r="B24" s="260">
        <f>'Depr Exp'!C25</f>
        <v>0.22162982918040364</v>
      </c>
    </row>
    <row r="25" spans="1:6" x14ac:dyDescent="0.2">
      <c r="A25" s="178" t="s">
        <v>25</v>
      </c>
      <c r="B25" s="260">
        <v>7.0845810240555085E-2</v>
      </c>
    </row>
    <row r="26" spans="1:6" x14ac:dyDescent="0.2">
      <c r="B26" s="173"/>
    </row>
    <row r="27" spans="1:6" x14ac:dyDescent="0.2">
      <c r="B27" s="173"/>
    </row>
    <row r="28" spans="1:6" x14ac:dyDescent="0.2">
      <c r="B28" s="173"/>
      <c r="C28" s="311" t="s">
        <v>201</v>
      </c>
      <c r="D28" s="311"/>
      <c r="E28" s="311"/>
    </row>
    <row r="29" spans="1:6" x14ac:dyDescent="0.2">
      <c r="B29" s="169" t="s">
        <v>153</v>
      </c>
      <c r="C29" s="210" t="s">
        <v>193</v>
      </c>
      <c r="D29" s="210" t="s">
        <v>163</v>
      </c>
      <c r="E29" s="210" t="s">
        <v>178</v>
      </c>
      <c r="F29" s="169" t="s">
        <v>153</v>
      </c>
    </row>
    <row r="30" spans="1:6" x14ac:dyDescent="0.2">
      <c r="B30" s="169" t="s">
        <v>2</v>
      </c>
      <c r="C30" s="210" t="s">
        <v>194</v>
      </c>
      <c r="D30" s="210" t="s">
        <v>195</v>
      </c>
      <c r="E30" s="210" t="s">
        <v>195</v>
      </c>
      <c r="F30" s="211" t="s">
        <v>4</v>
      </c>
    </row>
    <row r="31" spans="1:6" x14ac:dyDescent="0.2">
      <c r="A31" s="184" t="s">
        <v>33</v>
      </c>
    </row>
    <row r="32" spans="1:6" x14ac:dyDescent="0.2">
      <c r="A32" s="212" t="s">
        <v>7</v>
      </c>
      <c r="B32" s="338">
        <f>B10*B22</f>
        <v>-58773.540353103184</v>
      </c>
      <c r="F32" s="337">
        <f>SUM(B32:E32)</f>
        <v>-58773.540353103184</v>
      </c>
    </row>
    <row r="33" spans="1:6" x14ac:dyDescent="0.2">
      <c r="A33" s="212" t="s">
        <v>1</v>
      </c>
      <c r="B33" s="172">
        <f>B11*B23</f>
        <v>744123.61423007783</v>
      </c>
      <c r="C33" s="338">
        <f>C11*$B$23</f>
        <v>2889.9336273413624</v>
      </c>
      <c r="D33" s="338">
        <f t="shared" ref="D33:E33" si="1">D11*$B$23</f>
        <v>13886.58117616538</v>
      </c>
      <c r="E33" s="338">
        <f t="shared" si="1"/>
        <v>4652.0788040028674</v>
      </c>
      <c r="F33" s="119">
        <f>SUM(B33:E33)</f>
        <v>765552.20783758746</v>
      </c>
    </row>
    <row r="34" spans="1:6" x14ac:dyDescent="0.2">
      <c r="A34" s="212" t="s">
        <v>25</v>
      </c>
      <c r="B34" s="213">
        <f>B12*B25</f>
        <v>-19164.414404742165</v>
      </c>
      <c r="C34" s="339"/>
      <c r="D34" s="339"/>
      <c r="E34" s="339"/>
      <c r="F34" s="162">
        <f>SUM(B34:E34)</f>
        <v>-19164.414404742165</v>
      </c>
    </row>
    <row r="35" spans="1:6" x14ac:dyDescent="0.2">
      <c r="A35" s="212"/>
      <c r="B35" s="338">
        <f>SUM(B32:B34)</f>
        <v>666185.65947223245</v>
      </c>
      <c r="C35" s="338">
        <f t="shared" ref="C35:E35" si="2">SUM(C32:C34)</f>
        <v>2889.9336273413624</v>
      </c>
      <c r="D35" s="338">
        <f t="shared" si="2"/>
        <v>13886.58117616538</v>
      </c>
      <c r="E35" s="338">
        <f t="shared" si="2"/>
        <v>4652.0788040028674</v>
      </c>
      <c r="F35" s="338">
        <f>SUM(F32:F34)</f>
        <v>687614.25307974208</v>
      </c>
    </row>
    <row r="36" spans="1:6" x14ac:dyDescent="0.2">
      <c r="A36" s="184" t="s">
        <v>32</v>
      </c>
      <c r="B36" s="119"/>
    </row>
    <row r="37" spans="1:6" x14ac:dyDescent="0.2">
      <c r="A37" s="212" t="s">
        <v>0</v>
      </c>
      <c r="B37" s="172">
        <f>B15*B24</f>
        <v>1059426.1773705767</v>
      </c>
      <c r="F37" s="172">
        <f>SUM(B37:E37)</f>
        <v>1059426.1773705767</v>
      </c>
    </row>
    <row r="38" spans="1:6" x14ac:dyDescent="0.2">
      <c r="A38" s="212" t="s">
        <v>25</v>
      </c>
      <c r="B38" s="213">
        <f>B16*B25</f>
        <v>13461.435410664526</v>
      </c>
      <c r="C38" s="164"/>
      <c r="D38" s="164"/>
      <c r="E38" s="164"/>
      <c r="F38" s="213">
        <f>SUM(B38:E38)</f>
        <v>13461.435410664526</v>
      </c>
    </row>
    <row r="39" spans="1:6" x14ac:dyDescent="0.2">
      <c r="B39" s="172">
        <f>SUM(B37:B38)</f>
        <v>1072887.6127812411</v>
      </c>
      <c r="C39" s="172">
        <f t="shared" ref="C39:E39" si="3">SUM(C37:C38)</f>
        <v>0</v>
      </c>
      <c r="D39" s="172">
        <f t="shared" si="3"/>
        <v>0</v>
      </c>
      <c r="E39" s="172">
        <f t="shared" si="3"/>
        <v>0</v>
      </c>
      <c r="F39" s="172">
        <f>SUM(F37:F38)</f>
        <v>1072887.6127812411</v>
      </c>
    </row>
    <row r="40" spans="1:6" x14ac:dyDescent="0.2">
      <c r="A40" s="184" t="s">
        <v>151</v>
      </c>
    </row>
    <row r="41" spans="1:6" x14ac:dyDescent="0.2">
      <c r="A41" s="212" t="s">
        <v>1</v>
      </c>
      <c r="F41" s="223">
        <f>F19*B23</f>
        <v>2250983.2967191497</v>
      </c>
    </row>
    <row r="45" spans="1:6" x14ac:dyDescent="0.2">
      <c r="A45" s="224" t="s">
        <v>147</v>
      </c>
    </row>
    <row r="46" spans="1:6" x14ac:dyDescent="0.2">
      <c r="A46" s="225" t="s">
        <v>235</v>
      </c>
    </row>
    <row r="47" spans="1:6" x14ac:dyDescent="0.2">
      <c r="A47" s="225" t="s">
        <v>236</v>
      </c>
    </row>
    <row r="48" spans="1:6" x14ac:dyDescent="0.2">
      <c r="A48" s="225" t="s">
        <v>234</v>
      </c>
    </row>
    <row r="49" spans="1:1" x14ac:dyDescent="0.2">
      <c r="A49" s="225" t="s">
        <v>237</v>
      </c>
    </row>
    <row r="50" spans="1:1" x14ac:dyDescent="0.2">
      <c r="A50" s="171"/>
    </row>
  </sheetData>
  <mergeCells count="2">
    <mergeCell ref="C28:E28"/>
    <mergeCell ref="C6:E6"/>
  </mergeCells>
  <pageMargins left="0.7" right="0.7" top="0.75" bottom="0.75" header="0.3" footer="0.3"/>
  <pageSetup scale="87" fitToHeight="0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8913D-35E1-4745-95F7-D92375656888}">
  <dimension ref="A1:G34"/>
  <sheetViews>
    <sheetView view="pageBreakPreview" zoomScale="90" zoomScaleNormal="100" zoomScaleSheetLayoutView="90" workbookViewId="0">
      <selection activeCell="H39" sqref="H39"/>
    </sheetView>
  </sheetViews>
  <sheetFormatPr defaultRowHeight="12.75" x14ac:dyDescent="0.2"/>
  <cols>
    <col min="1" max="1" width="18.42578125" style="127" customWidth="1"/>
    <col min="2" max="3" width="17.28515625" style="127" customWidth="1"/>
    <col min="4" max="5" width="15.5703125" style="127" customWidth="1"/>
    <col min="6" max="6" width="18.28515625" style="127" customWidth="1"/>
    <col min="7" max="7" width="10.7109375" style="127" customWidth="1"/>
    <col min="8" max="16384" width="9.140625" style="127"/>
  </cols>
  <sheetData>
    <row r="1" spans="1:7" x14ac:dyDescent="0.2">
      <c r="A1" s="206" t="s">
        <v>19</v>
      </c>
    </row>
    <row r="2" spans="1:7" x14ac:dyDescent="0.2">
      <c r="A2" s="121" t="s">
        <v>108</v>
      </c>
    </row>
    <row r="3" spans="1:7" x14ac:dyDescent="0.2">
      <c r="A3" s="167" t="s">
        <v>208</v>
      </c>
    </row>
    <row r="4" spans="1:7" x14ac:dyDescent="0.2">
      <c r="A4" s="167"/>
    </row>
    <row r="6" spans="1:7" x14ac:dyDescent="0.2">
      <c r="B6" s="311" t="s">
        <v>152</v>
      </c>
      <c r="C6" s="311"/>
      <c r="D6" s="311"/>
      <c r="E6" s="311"/>
      <c r="F6" s="311"/>
    </row>
    <row r="7" spans="1:7" ht="38.25" x14ac:dyDescent="0.2">
      <c r="A7" s="175" t="s">
        <v>180</v>
      </c>
      <c r="B7" s="176" t="s">
        <v>181</v>
      </c>
      <c r="C7" s="176" t="s">
        <v>185</v>
      </c>
      <c r="D7" s="177" t="s">
        <v>184</v>
      </c>
      <c r="E7" s="177" t="s">
        <v>183</v>
      </c>
      <c r="F7" s="177" t="s">
        <v>182</v>
      </c>
    </row>
    <row r="8" spans="1:7" x14ac:dyDescent="0.2">
      <c r="A8" s="127" t="s">
        <v>186</v>
      </c>
      <c r="B8" s="119">
        <f>'[20]4.3.8'!$B$10</f>
        <v>7518243.9189972989</v>
      </c>
      <c r="C8" s="119">
        <f>'[20]4.3.8'!$E$10</f>
        <v>88261.142998415235</v>
      </c>
      <c r="D8" s="119">
        <f>'[20]4.3.8'!$H$10</f>
        <v>424108.53846362728</v>
      </c>
      <c r="E8" s="119">
        <f>'[18]13.2.7'!$H$10</f>
        <v>142078.62377023837</v>
      </c>
      <c r="F8" s="119">
        <f>SUM(B8:E8)</f>
        <v>8172692.2242295798</v>
      </c>
      <c r="G8" s="272" t="s">
        <v>204</v>
      </c>
    </row>
    <row r="9" spans="1:7" x14ac:dyDescent="0.2">
      <c r="A9" s="164" t="s">
        <v>187</v>
      </c>
      <c r="B9" s="162">
        <f>'[20]4.3.8'!$B$14</f>
        <v>16126338.359294053</v>
      </c>
      <c r="C9" s="162">
        <f>'[20]4.3.8'!$E$14</f>
        <v>189316.69034759243</v>
      </c>
      <c r="D9" s="162">
        <f>'[20]4.3.8'!$H$14</f>
        <v>909696.18251522258</v>
      </c>
      <c r="E9" s="162">
        <f>'[18]13.2.7'!$H$14</f>
        <v>304753.07601449551</v>
      </c>
      <c r="F9" s="162">
        <f t="shared" ref="F9" si="0">SUM(B9:E9)</f>
        <v>17530104.308171365</v>
      </c>
      <c r="G9" s="272" t="s">
        <v>204</v>
      </c>
    </row>
    <row r="10" spans="1:7" x14ac:dyDescent="0.2">
      <c r="A10" s="127" t="s">
        <v>188</v>
      </c>
      <c r="B10" s="172">
        <f>SUM(B8:B9)</f>
        <v>23644582.278291352</v>
      </c>
      <c r="C10" s="172">
        <f t="shared" ref="C10:F10" si="1">SUM(C8:C9)</f>
        <v>277577.83334600768</v>
      </c>
      <c r="D10" s="172">
        <f t="shared" si="1"/>
        <v>1333804.7209788498</v>
      </c>
      <c r="E10" s="172">
        <f t="shared" si="1"/>
        <v>446831.69978473388</v>
      </c>
      <c r="F10" s="172">
        <f t="shared" si="1"/>
        <v>25702796.532400943</v>
      </c>
    </row>
    <row r="11" spans="1:7" x14ac:dyDescent="0.2">
      <c r="C11" s="271" t="s">
        <v>190</v>
      </c>
      <c r="D11" s="271" t="s">
        <v>190</v>
      </c>
      <c r="E11" s="271" t="s">
        <v>189</v>
      </c>
    </row>
    <row r="12" spans="1:7" x14ac:dyDescent="0.2">
      <c r="C12" s="271" t="s">
        <v>202</v>
      </c>
      <c r="D12" s="271" t="s">
        <v>202</v>
      </c>
      <c r="E12" s="271" t="s">
        <v>203</v>
      </c>
    </row>
    <row r="13" spans="1:7" x14ac:dyDescent="0.2">
      <c r="A13" s="185" t="s">
        <v>266</v>
      </c>
    </row>
    <row r="14" spans="1:7" x14ac:dyDescent="0.2">
      <c r="A14" s="178" t="s">
        <v>1</v>
      </c>
      <c r="B14" s="260">
        <f>EPIS!B19</f>
        <v>0.22162982918040364</v>
      </c>
    </row>
    <row r="16" spans="1:7" x14ac:dyDescent="0.2">
      <c r="B16" s="311" t="s">
        <v>36</v>
      </c>
      <c r="C16" s="311"/>
      <c r="D16" s="311"/>
      <c r="E16" s="311"/>
      <c r="F16" s="311"/>
    </row>
    <row r="17" spans="1:7" ht="38.25" x14ac:dyDescent="0.2">
      <c r="A17" s="175" t="s">
        <v>180</v>
      </c>
      <c r="B17" s="176" t="s">
        <v>181</v>
      </c>
      <c r="C17" s="176" t="s">
        <v>185</v>
      </c>
      <c r="D17" s="177" t="s">
        <v>184</v>
      </c>
      <c r="E17" s="177" t="s">
        <v>183</v>
      </c>
      <c r="F17" s="177" t="s">
        <v>182</v>
      </c>
    </row>
    <row r="18" spans="1:7" x14ac:dyDescent="0.2">
      <c r="A18" s="127" t="s">
        <v>186</v>
      </c>
      <c r="B18" s="172">
        <f t="shared" ref="B18:E19" si="2">B8*$B$14</f>
        <v>1666267.1155039798</v>
      </c>
      <c r="C18" s="172">
        <f t="shared" si="2"/>
        <v>19561.302046005945</v>
      </c>
      <c r="D18" s="172">
        <f t="shared" si="2"/>
        <v>93995.102933644361</v>
      </c>
      <c r="E18" s="172">
        <f t="shared" si="2"/>
        <v>31488.861116384764</v>
      </c>
      <c r="F18" s="172">
        <f>SUM(B18:E18)</f>
        <v>1811312.3816000149</v>
      </c>
      <c r="G18" s="272" t="s">
        <v>205</v>
      </c>
    </row>
    <row r="19" spans="1:7" x14ac:dyDescent="0.2">
      <c r="A19" s="164" t="s">
        <v>187</v>
      </c>
      <c r="B19" s="162">
        <f t="shared" si="2"/>
        <v>3574077.6158757317</v>
      </c>
      <c r="C19" s="162">
        <f t="shared" si="2"/>
        <v>41958.225742736278</v>
      </c>
      <c r="D19" s="162">
        <f t="shared" si="2"/>
        <v>201615.80953691408</v>
      </c>
      <c r="E19" s="162">
        <f t="shared" si="2"/>
        <v>67542.372179295198</v>
      </c>
      <c r="F19" s="162">
        <f>SUM(B19:E19)</f>
        <v>3885194.0233346773</v>
      </c>
      <c r="G19" s="272" t="s">
        <v>205</v>
      </c>
    </row>
    <row r="20" spans="1:7" x14ac:dyDescent="0.2">
      <c r="A20" s="127" t="s">
        <v>188</v>
      </c>
      <c r="B20" s="172">
        <f>SUM(B18:B19)</f>
        <v>5240344.731379712</v>
      </c>
      <c r="C20" s="172">
        <f t="shared" ref="C20" si="3">SUM(C18:C19)</f>
        <v>61519.527788742227</v>
      </c>
      <c r="D20" s="172">
        <f t="shared" ref="D20" si="4">SUM(D18:D19)</f>
        <v>295610.91247055843</v>
      </c>
      <c r="E20" s="172">
        <f t="shared" ref="E20" si="5">SUM(E18:E19)</f>
        <v>99031.233295679966</v>
      </c>
      <c r="F20" s="172">
        <f t="shared" ref="F20" si="6">SUM(F18:F19)</f>
        <v>5696506.4049346922</v>
      </c>
    </row>
    <row r="21" spans="1:7" x14ac:dyDescent="0.2">
      <c r="C21" s="271" t="s">
        <v>192</v>
      </c>
      <c r="D21" s="271" t="s">
        <v>192</v>
      </c>
      <c r="E21" s="271" t="s">
        <v>191</v>
      </c>
    </row>
    <row r="22" spans="1:7" x14ac:dyDescent="0.2">
      <c r="C22" s="271" t="s">
        <v>202</v>
      </c>
      <c r="D22" s="271" t="s">
        <v>202</v>
      </c>
      <c r="E22" s="271" t="s">
        <v>203</v>
      </c>
    </row>
    <row r="23" spans="1:7" x14ac:dyDescent="0.2">
      <c r="C23" s="182"/>
      <c r="D23" s="182"/>
      <c r="E23" s="182"/>
    </row>
    <row r="24" spans="1:7" x14ac:dyDescent="0.2">
      <c r="A24" s="185" t="s">
        <v>206</v>
      </c>
    </row>
    <row r="25" spans="1:7" x14ac:dyDescent="0.2">
      <c r="A25" s="185"/>
    </row>
    <row r="26" spans="1:7" x14ac:dyDescent="0.2">
      <c r="C26" s="179" t="s">
        <v>2</v>
      </c>
    </row>
    <row r="27" spans="1:7" x14ac:dyDescent="0.2">
      <c r="B27" s="178" t="s">
        <v>196</v>
      </c>
      <c r="C27" s="337">
        <f>'JB OMAG'!F59*1000</f>
        <v>60181773.509999976</v>
      </c>
    </row>
    <row r="28" spans="1:7" x14ac:dyDescent="0.2">
      <c r="B28" s="178" t="s">
        <v>197</v>
      </c>
      <c r="C28" s="340">
        <f>('JB OMAG'!F58+'JB OMAG'!F48)*1000</f>
        <v>2827091.4499999997</v>
      </c>
    </row>
    <row r="29" spans="1:7" x14ac:dyDescent="0.2">
      <c r="B29" s="178" t="s">
        <v>198</v>
      </c>
      <c r="C29" s="341">
        <f>C28/C27</f>
        <v>4.6975874672923058E-2</v>
      </c>
    </row>
    <row r="31" spans="1:7" x14ac:dyDescent="0.2">
      <c r="B31" s="181"/>
      <c r="C31" s="181"/>
      <c r="D31" s="181"/>
      <c r="E31" s="181"/>
      <c r="F31" s="181"/>
    </row>
    <row r="32" spans="1:7" ht="38.25" x14ac:dyDescent="0.2">
      <c r="A32" s="180"/>
      <c r="B32" s="207" t="s">
        <v>181</v>
      </c>
      <c r="C32" s="207" t="s">
        <v>185</v>
      </c>
      <c r="D32" s="208" t="s">
        <v>184</v>
      </c>
      <c r="E32" s="208" t="s">
        <v>183</v>
      </c>
      <c r="F32" s="208" t="s">
        <v>182</v>
      </c>
    </row>
    <row r="33" spans="1:6" x14ac:dyDescent="0.2">
      <c r="A33" s="163" t="s">
        <v>199</v>
      </c>
      <c r="B33" s="338">
        <f>B10*$C$29</f>
        <v>1110724.9337986321</v>
      </c>
      <c r="C33" s="338">
        <f t="shared" ref="C33:F33" si="7">C10*$C$29</f>
        <v>13039.46151124358</v>
      </c>
      <c r="D33" s="338">
        <f t="shared" si="7"/>
        <v>62656.643410855555</v>
      </c>
      <c r="E33" s="338">
        <f t="shared" si="7"/>
        <v>20990.30992897684</v>
      </c>
      <c r="F33" s="338">
        <f t="shared" si="7"/>
        <v>1207411.3486497081</v>
      </c>
    </row>
    <row r="34" spans="1:6" x14ac:dyDescent="0.2">
      <c r="A34" s="127" t="s">
        <v>200</v>
      </c>
      <c r="B34" s="338">
        <f>B20*$C$29</f>
        <v>246169.777344206</v>
      </c>
      <c r="C34" s="338">
        <f>C20*$C$29</f>
        <v>2889.9336273413624</v>
      </c>
      <c r="D34" s="338">
        <f>D20*$C$29</f>
        <v>13886.58117616538</v>
      </c>
      <c r="E34" s="338">
        <f>E20*$C$29</f>
        <v>4652.0788040028674</v>
      </c>
      <c r="F34" s="338">
        <f>F20*$C$29</f>
        <v>267598.37095171557</v>
      </c>
    </row>
  </sheetData>
  <mergeCells count="2">
    <mergeCell ref="B6:F6"/>
    <mergeCell ref="B16:F16"/>
  </mergeCells>
  <pageMargins left="0.7" right="0.7" top="0.75" bottom="0.75" header="0.3" footer="0.3"/>
  <pageSetup orientation="landscape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598EF-2BB9-4246-8133-5A256EEFAC49}">
  <dimension ref="A1:L130"/>
  <sheetViews>
    <sheetView view="pageBreakPreview" topLeftCell="A34" zoomScale="80" zoomScaleNormal="100" zoomScaleSheetLayoutView="80" workbookViewId="0">
      <selection activeCell="I61" sqref="I61"/>
    </sheetView>
  </sheetViews>
  <sheetFormatPr defaultRowHeight="12.75" x14ac:dyDescent="0.2"/>
  <cols>
    <col min="1" max="1" width="2.85546875" style="127" customWidth="1"/>
    <col min="2" max="2" width="12.140625" style="127" customWidth="1"/>
    <col min="3" max="3" width="8.85546875" style="204" customWidth="1"/>
    <col min="4" max="4" width="34.5703125" style="127" bestFit="1" customWidth="1"/>
    <col min="5" max="5" width="6.140625" style="204" bestFit="1" customWidth="1"/>
    <col min="6" max="7" width="12.85546875" style="119" bestFit="1" customWidth="1"/>
    <col min="8" max="8" width="13.28515625" style="127" customWidth="1"/>
    <col min="9" max="9" width="11.42578125" style="127" customWidth="1"/>
    <col min="10" max="10" width="36.42578125" style="127" bestFit="1" customWidth="1"/>
    <col min="11" max="11" width="7.7109375" style="127" bestFit="1" customWidth="1"/>
    <col min="12" max="12" width="12" style="215" bestFit="1" customWidth="1"/>
    <col min="13" max="16384" width="9.140625" style="127"/>
  </cols>
  <sheetData>
    <row r="1" spans="1:12" x14ac:dyDescent="0.2">
      <c r="A1" s="206" t="s">
        <v>19</v>
      </c>
    </row>
    <row r="2" spans="1:12" x14ac:dyDescent="0.2">
      <c r="A2" s="121" t="s">
        <v>108</v>
      </c>
    </row>
    <row r="3" spans="1:12" x14ac:dyDescent="0.2">
      <c r="A3" s="167" t="s">
        <v>229</v>
      </c>
    </row>
    <row r="4" spans="1:12" x14ac:dyDescent="0.2">
      <c r="A4" s="167" t="s">
        <v>230</v>
      </c>
    </row>
    <row r="6" spans="1:12" ht="26.25" x14ac:dyDescent="0.25">
      <c r="B6" s="222" t="s">
        <v>231</v>
      </c>
      <c r="C6" s="217" t="s">
        <v>226</v>
      </c>
      <c r="D6" s="216" t="s">
        <v>225</v>
      </c>
      <c r="E6" s="205" t="s">
        <v>227</v>
      </c>
      <c r="F6" s="219" t="s">
        <v>228</v>
      </c>
      <c r="G6" s="219" t="s">
        <v>324</v>
      </c>
      <c r="H6"/>
      <c r="I6"/>
      <c r="J6"/>
      <c r="K6"/>
      <c r="L6"/>
    </row>
    <row r="7" spans="1:12" ht="15" x14ac:dyDescent="0.25">
      <c r="B7" s="195" t="s">
        <v>16</v>
      </c>
      <c r="C7" s="203">
        <v>500</v>
      </c>
      <c r="D7" s="195" t="s">
        <v>211</v>
      </c>
      <c r="E7" s="203" t="s">
        <v>1</v>
      </c>
      <c r="F7" s="202">
        <v>13031.110619999999</v>
      </c>
      <c r="G7" s="202">
        <f>F7*VLOOKUP(E7,OMAG!$A$22:$B$25,2,FALSE)</f>
        <v>2888.0828207415434</v>
      </c>
      <c r="H7"/>
      <c r="I7"/>
      <c r="J7"/>
      <c r="K7"/>
      <c r="L7"/>
    </row>
    <row r="8" spans="1:12" ht="15" x14ac:dyDescent="0.25">
      <c r="B8" s="195" t="s">
        <v>16</v>
      </c>
      <c r="C8" s="203">
        <v>501</v>
      </c>
      <c r="D8" s="195" t="s">
        <v>212</v>
      </c>
      <c r="E8" s="203" t="s">
        <v>7</v>
      </c>
      <c r="F8" s="202">
        <v>-201.8591100000001</v>
      </c>
      <c r="G8" s="202">
        <f>F8*VLOOKUP(E8,OMAG!$A$22:$B$25,2,FALSE)</f>
        <v>-45.647111318193602</v>
      </c>
      <c r="H8"/>
      <c r="I8"/>
      <c r="J8"/>
      <c r="K8"/>
      <c r="L8"/>
    </row>
    <row r="9" spans="1:12" ht="15" x14ac:dyDescent="0.25">
      <c r="B9" s="195" t="s">
        <v>16</v>
      </c>
      <c r="C9" s="203">
        <v>502</v>
      </c>
      <c r="D9" s="195" t="s">
        <v>213</v>
      </c>
      <c r="E9" s="203" t="s">
        <v>1</v>
      </c>
      <c r="F9" s="202">
        <v>18456.9751</v>
      </c>
      <c r="G9" s="202">
        <f>F9*VLOOKUP(E9,OMAG!$A$22:$B$25,2,FALSE)</f>
        <v>4090.6162385999633</v>
      </c>
      <c r="H9"/>
      <c r="I9"/>
      <c r="J9"/>
      <c r="K9"/>
      <c r="L9"/>
    </row>
    <row r="10" spans="1:12" ht="15" x14ac:dyDescent="0.25">
      <c r="B10" s="195" t="s">
        <v>16</v>
      </c>
      <c r="C10" s="203">
        <v>505</v>
      </c>
      <c r="D10" s="195" t="s">
        <v>214</v>
      </c>
      <c r="E10" s="203" t="s">
        <v>1</v>
      </c>
      <c r="F10" s="202">
        <v>8.4849999999999994</v>
      </c>
      <c r="G10" s="202">
        <f>F10*VLOOKUP(E10,OMAG!$A$22:$B$25,2,FALSE)</f>
        <v>1.8805291005957248</v>
      </c>
      <c r="H10"/>
      <c r="I10"/>
      <c r="J10"/>
      <c r="K10"/>
      <c r="L10"/>
    </row>
    <row r="11" spans="1:12" ht="15" x14ac:dyDescent="0.25">
      <c r="B11" s="195" t="s">
        <v>16</v>
      </c>
      <c r="C11" s="203">
        <v>506</v>
      </c>
      <c r="D11" s="195" t="s">
        <v>215</v>
      </c>
      <c r="E11" s="203" t="s">
        <v>1</v>
      </c>
      <c r="F11" s="202">
        <v>-6449.3912500000006</v>
      </c>
      <c r="G11" s="202">
        <f>F11*VLOOKUP(E11,OMAG!$A$22:$B$25,2,FALSE)</f>
        <v>-1429.3774810550901</v>
      </c>
      <c r="H11"/>
      <c r="I11"/>
      <c r="J11"/>
      <c r="K11"/>
      <c r="L11"/>
    </row>
    <row r="12" spans="1:12" ht="15" x14ac:dyDescent="0.25">
      <c r="B12" s="195" t="s">
        <v>16</v>
      </c>
      <c r="C12" s="203">
        <v>507</v>
      </c>
      <c r="D12" s="195" t="s">
        <v>216</v>
      </c>
      <c r="E12" s="203" t="s">
        <v>1</v>
      </c>
      <c r="F12" s="202">
        <v>296.90046999999998</v>
      </c>
      <c r="G12" s="202">
        <f>F12*VLOOKUP(E12,OMAG!$A$22:$B$25,2,FALSE)</f>
        <v>65.802000449681557</v>
      </c>
      <c r="H12"/>
      <c r="I12"/>
      <c r="J12"/>
      <c r="K12"/>
      <c r="L12"/>
    </row>
    <row r="13" spans="1:12" ht="15" x14ac:dyDescent="0.25">
      <c r="B13" s="195" t="s">
        <v>16</v>
      </c>
      <c r="C13" s="203">
        <v>510</v>
      </c>
      <c r="D13" s="195" t="s">
        <v>217</v>
      </c>
      <c r="E13" s="203" t="s">
        <v>1</v>
      </c>
      <c r="F13" s="202">
        <v>535.87626999999998</v>
      </c>
      <c r="G13" s="202">
        <f>F13*VLOOKUP(E13,OMAG!$A$22:$B$25,2,FALSE)</f>
        <v>118.76616618193185</v>
      </c>
      <c r="H13"/>
      <c r="I13"/>
      <c r="J13"/>
      <c r="K13"/>
      <c r="L13"/>
    </row>
    <row r="14" spans="1:12" ht="15" x14ac:dyDescent="0.25">
      <c r="B14" s="195" t="s">
        <v>16</v>
      </c>
      <c r="C14" s="203">
        <v>511</v>
      </c>
      <c r="D14" s="195" t="s">
        <v>218</v>
      </c>
      <c r="E14" s="203" t="s">
        <v>1</v>
      </c>
      <c r="F14" s="202">
        <v>6555.0760100000007</v>
      </c>
      <c r="G14" s="202">
        <f>F14*VLOOKUP(E14,OMAG!$A$22:$B$25,2,FALSE)</f>
        <v>1452.8003763608619</v>
      </c>
      <c r="H14"/>
      <c r="I14"/>
      <c r="J14"/>
      <c r="K14"/>
      <c r="L14"/>
    </row>
    <row r="15" spans="1:12" ht="15" x14ac:dyDescent="0.25">
      <c r="B15" s="195" t="s">
        <v>16</v>
      </c>
      <c r="C15" s="203">
        <v>512</v>
      </c>
      <c r="D15" s="195" t="s">
        <v>219</v>
      </c>
      <c r="E15" s="203" t="s">
        <v>1</v>
      </c>
      <c r="F15" s="202">
        <v>4082.3836099999999</v>
      </c>
      <c r="G15" s="202">
        <f>F15*VLOOKUP(E15,OMAG!$A$22:$B$25,2,FALSE)</f>
        <v>904.77798213317953</v>
      </c>
      <c r="H15"/>
      <c r="I15"/>
      <c r="J15"/>
      <c r="K15"/>
      <c r="L15"/>
    </row>
    <row r="16" spans="1:12" ht="15" x14ac:dyDescent="0.25">
      <c r="B16" s="195" t="s">
        <v>16</v>
      </c>
      <c r="C16" s="203">
        <v>513</v>
      </c>
      <c r="D16" s="195" t="s">
        <v>220</v>
      </c>
      <c r="E16" s="203" t="s">
        <v>1</v>
      </c>
      <c r="F16" s="202">
        <v>2486.6111799999999</v>
      </c>
      <c r="G16" s="202">
        <f>F16*VLOOKUP(E16,OMAG!$A$22:$B$25,2,FALSE)</f>
        <v>551.10721106148185</v>
      </c>
      <c r="H16"/>
      <c r="I16"/>
      <c r="J16"/>
      <c r="K16"/>
      <c r="L16"/>
    </row>
    <row r="17" spans="2:12" ht="15" x14ac:dyDescent="0.25">
      <c r="B17" s="195" t="s">
        <v>16</v>
      </c>
      <c r="C17" s="203">
        <v>514</v>
      </c>
      <c r="D17" s="195" t="s">
        <v>221</v>
      </c>
      <c r="E17" s="203" t="s">
        <v>1</v>
      </c>
      <c r="F17" s="202">
        <v>2437.5289200000002</v>
      </c>
      <c r="G17" s="202">
        <f>F17*VLOOKUP(E17,OMAG!$A$22:$B$25,2,FALSE)</f>
        <v>540.22911816189378</v>
      </c>
      <c r="H17"/>
      <c r="I17"/>
      <c r="J17"/>
      <c r="K17"/>
      <c r="L17"/>
    </row>
    <row r="18" spans="2:12" ht="15" x14ac:dyDescent="0.25">
      <c r="B18" s="195" t="s">
        <v>16</v>
      </c>
      <c r="C18" s="203">
        <v>557</v>
      </c>
      <c r="D18" s="195" t="s">
        <v>222</v>
      </c>
      <c r="E18" s="203" t="s">
        <v>1</v>
      </c>
      <c r="F18" s="202">
        <v>1548.5686000000001</v>
      </c>
      <c r="G18" s="202">
        <f>F18*VLOOKUP(E18,OMAG!$A$22:$B$25,2,FALSE)</f>
        <v>343.20899429213682</v>
      </c>
      <c r="H18"/>
      <c r="I18"/>
      <c r="J18"/>
      <c r="K18"/>
      <c r="L18"/>
    </row>
    <row r="19" spans="2:12" ht="15" x14ac:dyDescent="0.25">
      <c r="B19" s="195" t="s">
        <v>16</v>
      </c>
      <c r="C19" s="203">
        <v>923</v>
      </c>
      <c r="D19" s="195" t="s">
        <v>223</v>
      </c>
      <c r="E19" s="203" t="s">
        <v>25</v>
      </c>
      <c r="F19" s="202">
        <v>15.7561</v>
      </c>
      <c r="G19" s="202">
        <f>F19*VLOOKUP(E19,OMAG!$A$22:$B$25,2,FALSE)</f>
        <v>1.1162536707312101</v>
      </c>
      <c r="H19"/>
      <c r="I19"/>
      <c r="J19"/>
      <c r="K19"/>
      <c r="L19"/>
    </row>
    <row r="20" spans="2:12" ht="15" x14ac:dyDescent="0.25">
      <c r="B20" s="195" t="s">
        <v>16</v>
      </c>
      <c r="C20" s="203">
        <v>929</v>
      </c>
      <c r="D20" s="195" t="s">
        <v>224</v>
      </c>
      <c r="E20" s="203" t="s">
        <v>25</v>
      </c>
      <c r="F20" s="202">
        <v>-634.91303000000005</v>
      </c>
      <c r="G20" s="202">
        <f>F20*VLOOKUP(E20,OMAG!$A$22:$B$25,2,FALSE)</f>
        <v>-44.98092804263586</v>
      </c>
      <c r="H20"/>
      <c r="I20"/>
      <c r="J20"/>
      <c r="K20"/>
      <c r="L20"/>
    </row>
    <row r="21" spans="2:12" s="167" customFormat="1" ht="15" x14ac:dyDescent="0.25">
      <c r="B21" s="216" t="s">
        <v>31</v>
      </c>
      <c r="C21" s="205"/>
      <c r="D21" s="216"/>
      <c r="E21" s="205"/>
      <c r="F21" s="218">
        <f>SUBTOTAL(9,F7:F20)</f>
        <v>42169.108489999991</v>
      </c>
      <c r="G21" s="218">
        <f>SUBTOTAL(9,G7:G20)</f>
        <v>9438.38217033808</v>
      </c>
      <c r="H21"/>
      <c r="I21"/>
      <c r="J21"/>
      <c r="K21"/>
      <c r="L21"/>
    </row>
    <row r="22" spans="2:12" s="253" customFormat="1" ht="15" x14ac:dyDescent="0.25">
      <c r="B22" s="320" t="s">
        <v>15</v>
      </c>
      <c r="C22" s="321">
        <v>501</v>
      </c>
      <c r="D22" s="320" t="s">
        <v>212</v>
      </c>
      <c r="E22" s="321" t="s">
        <v>7</v>
      </c>
      <c r="F22" s="323">
        <v>-99.541380000000004</v>
      </c>
      <c r="G22" s="342">
        <f>F22*VLOOKUP(E22,OMAG!$A$22:$B$25,2,FALSE)</f>
        <v>-22.509642758390285</v>
      </c>
      <c r="H22" s="322"/>
      <c r="I22" s="322"/>
      <c r="J22" s="322"/>
      <c r="K22" s="322"/>
      <c r="L22" s="322"/>
    </row>
    <row r="23" spans="2:12" ht="15" x14ac:dyDescent="0.25">
      <c r="B23" s="195" t="s">
        <v>15</v>
      </c>
      <c r="C23" s="203">
        <v>502</v>
      </c>
      <c r="D23" s="195" t="s">
        <v>213</v>
      </c>
      <c r="E23" s="203" t="s">
        <v>1</v>
      </c>
      <c r="F23" s="202">
        <v>2309.1575400000002</v>
      </c>
      <c r="G23" s="202">
        <f>F23*VLOOKUP(E23,OMAG!$A$22:$B$25,2,FALSE)</f>
        <v>511.7781911408411</v>
      </c>
      <c r="H23"/>
      <c r="I23"/>
      <c r="J23"/>
      <c r="K23"/>
      <c r="L23"/>
    </row>
    <row r="24" spans="2:12" ht="15" x14ac:dyDescent="0.25">
      <c r="B24" s="195" t="s">
        <v>15</v>
      </c>
      <c r="C24" s="203">
        <v>506</v>
      </c>
      <c r="D24" s="195" t="s">
        <v>215</v>
      </c>
      <c r="E24" s="203" t="s">
        <v>1</v>
      </c>
      <c r="F24" s="202">
        <v>-2049.83653</v>
      </c>
      <c r="G24" s="202">
        <f>F24*VLOOKUP(E24,OMAG!$A$22:$B$25,2,FALSE)</f>
        <v>-454.30491999165133</v>
      </c>
      <c r="H24"/>
      <c r="I24"/>
      <c r="J24"/>
      <c r="K24"/>
      <c r="L24"/>
    </row>
    <row r="25" spans="2:12" ht="15" x14ac:dyDescent="0.25">
      <c r="B25" s="195" t="s">
        <v>15</v>
      </c>
      <c r="C25" s="203">
        <v>511</v>
      </c>
      <c r="D25" s="195" t="s">
        <v>218</v>
      </c>
      <c r="E25" s="203" t="s">
        <v>1</v>
      </c>
      <c r="F25" s="202">
        <v>242.04211999999998</v>
      </c>
      <c r="G25" s="202">
        <f>F25*VLOOKUP(E25,OMAG!$A$22:$B$25,2,FALSE)</f>
        <v>53.643753710062754</v>
      </c>
      <c r="H25"/>
      <c r="I25"/>
      <c r="J25"/>
      <c r="K25"/>
      <c r="L25"/>
    </row>
    <row r="26" spans="2:12" ht="15" x14ac:dyDescent="0.25">
      <c r="B26" s="195" t="s">
        <v>15</v>
      </c>
      <c r="C26" s="203">
        <v>512</v>
      </c>
      <c r="D26" s="195" t="s">
        <v>219</v>
      </c>
      <c r="E26" s="203" t="s">
        <v>1</v>
      </c>
      <c r="F26" s="202">
        <v>2704.1128199999998</v>
      </c>
      <c r="G26" s="202">
        <f>F26*VLOOKUP(E26,OMAG!$A$22:$B$25,2,FALSE)</f>
        <v>599.31206238113953</v>
      </c>
      <c r="H26"/>
      <c r="I26"/>
      <c r="J26"/>
      <c r="K26"/>
      <c r="L26"/>
    </row>
    <row r="27" spans="2:12" ht="15" x14ac:dyDescent="0.25">
      <c r="B27" s="195" t="s">
        <v>15</v>
      </c>
      <c r="C27" s="203">
        <v>513</v>
      </c>
      <c r="D27" s="195" t="s">
        <v>220</v>
      </c>
      <c r="E27" s="203" t="s">
        <v>1</v>
      </c>
      <c r="F27" s="202">
        <v>806.52922999999998</v>
      </c>
      <c r="G27" s="202">
        <f>F27*VLOOKUP(E27,OMAG!$A$22:$B$25,2,FALSE)</f>
        <v>178.75093547390247</v>
      </c>
      <c r="H27"/>
      <c r="I27"/>
      <c r="J27"/>
      <c r="K27"/>
      <c r="L27"/>
    </row>
    <row r="28" spans="2:12" ht="15" x14ac:dyDescent="0.25">
      <c r="B28" s="195" t="s">
        <v>15</v>
      </c>
      <c r="C28" s="203">
        <v>514</v>
      </c>
      <c r="D28" s="195" t="s">
        <v>221</v>
      </c>
      <c r="E28" s="203" t="s">
        <v>1</v>
      </c>
      <c r="F28" s="202">
        <v>8.7890499999999996</v>
      </c>
      <c r="G28" s="202">
        <f>F28*VLOOKUP(E28,OMAG!$A$22:$B$25,2,FALSE)</f>
        <v>1.9479156501580266</v>
      </c>
      <c r="H28"/>
      <c r="I28"/>
      <c r="J28"/>
      <c r="K28"/>
      <c r="L28"/>
    </row>
    <row r="29" spans="2:12" ht="15" x14ac:dyDescent="0.25">
      <c r="B29" s="195" t="s">
        <v>15</v>
      </c>
      <c r="C29" s="203">
        <v>929</v>
      </c>
      <c r="D29" s="195" t="s">
        <v>224</v>
      </c>
      <c r="E29" s="203" t="s">
        <v>25</v>
      </c>
      <c r="F29" s="202">
        <v>-125.44943000000001</v>
      </c>
      <c r="G29" s="202">
        <f>F29*VLOOKUP(E29,OMAG!$A$22:$B$25,2,FALSE)</f>
        <v>-8.8875665125657992</v>
      </c>
      <c r="H29"/>
      <c r="I29"/>
      <c r="J29"/>
      <c r="K29"/>
      <c r="L29"/>
    </row>
    <row r="30" spans="2:12" s="167" customFormat="1" ht="15" x14ac:dyDescent="0.25">
      <c r="B30" s="216" t="s">
        <v>30</v>
      </c>
      <c r="C30" s="205"/>
      <c r="D30" s="216"/>
      <c r="E30" s="205"/>
      <c r="F30" s="343">
        <f>SUBTOTAL(9,F22:F29)</f>
        <v>3795.8034199999997</v>
      </c>
      <c r="G30" s="343">
        <f>SUBTOTAL(9,G22:G29)</f>
        <v>859.73072909349651</v>
      </c>
      <c r="H30"/>
      <c r="I30"/>
      <c r="J30"/>
      <c r="K30"/>
      <c r="L30"/>
    </row>
    <row r="31" spans="2:12" ht="15" x14ac:dyDescent="0.25">
      <c r="B31" s="195" t="s">
        <v>14</v>
      </c>
      <c r="C31" s="203">
        <v>501</v>
      </c>
      <c r="D31" s="195" t="s">
        <v>212</v>
      </c>
      <c r="E31" s="203" t="s">
        <v>7</v>
      </c>
      <c r="F31" s="324">
        <v>-62.712919999999997</v>
      </c>
      <c r="G31" s="344">
        <f>F31*VLOOKUP(E31,OMAG!$A$22:$B$25,2,FALSE)</f>
        <v>-14.181493420480097</v>
      </c>
      <c r="H31"/>
      <c r="I31"/>
      <c r="J31"/>
      <c r="K31"/>
      <c r="L31"/>
    </row>
    <row r="32" spans="2:12" ht="15" x14ac:dyDescent="0.25">
      <c r="B32" s="195" t="s">
        <v>14</v>
      </c>
      <c r="C32" s="203">
        <v>502</v>
      </c>
      <c r="D32" s="195" t="s">
        <v>213</v>
      </c>
      <c r="E32" s="203" t="s">
        <v>1</v>
      </c>
      <c r="F32" s="202">
        <v>177.28889000000001</v>
      </c>
      <c r="G32" s="202">
        <f>F32*VLOOKUP(E32,OMAG!$A$22:$B$25,2,FALSE)</f>
        <v>39.292506406283373</v>
      </c>
      <c r="H32"/>
      <c r="I32"/>
      <c r="J32"/>
      <c r="K32"/>
      <c r="L32"/>
    </row>
    <row r="33" spans="2:12" ht="15" x14ac:dyDescent="0.25">
      <c r="B33" s="195" t="s">
        <v>14</v>
      </c>
      <c r="C33" s="203">
        <v>506</v>
      </c>
      <c r="D33" s="195" t="s">
        <v>215</v>
      </c>
      <c r="E33" s="203" t="s">
        <v>1</v>
      </c>
      <c r="F33" s="202">
        <v>-7613.0975100000005</v>
      </c>
      <c r="G33" s="202">
        <f>F33*VLOOKUP(E33,OMAG!$A$22:$B$25,2,FALSE)</f>
        <v>-1687.2895006750564</v>
      </c>
      <c r="H33"/>
      <c r="I33"/>
      <c r="J33"/>
      <c r="K33"/>
      <c r="L33"/>
    </row>
    <row r="34" spans="2:12" ht="15" x14ac:dyDescent="0.25">
      <c r="B34" s="195" t="s">
        <v>14</v>
      </c>
      <c r="C34" s="203">
        <v>511</v>
      </c>
      <c r="D34" s="195" t="s">
        <v>218</v>
      </c>
      <c r="E34" s="203" t="s">
        <v>1</v>
      </c>
      <c r="F34" s="202">
        <v>456.41542000000004</v>
      </c>
      <c r="G34" s="202">
        <f>F34*VLOOKUP(E34,OMAG!$A$22:$B$25,2,FALSE)</f>
        <v>101.1552715699022</v>
      </c>
      <c r="H34"/>
      <c r="I34"/>
      <c r="J34"/>
      <c r="K34"/>
      <c r="L34"/>
    </row>
    <row r="35" spans="2:12" ht="15" x14ac:dyDescent="0.25">
      <c r="B35" s="195" t="s">
        <v>14</v>
      </c>
      <c r="C35" s="203">
        <v>512</v>
      </c>
      <c r="D35" s="195" t="s">
        <v>219</v>
      </c>
      <c r="E35" s="203" t="s">
        <v>1</v>
      </c>
      <c r="F35" s="202">
        <v>11501.73703</v>
      </c>
      <c r="G35" s="202">
        <f>F35*VLOOKUP(E35,OMAG!$A$22:$B$25,2,FALSE)</f>
        <v>2549.1280132368233</v>
      </c>
      <c r="H35"/>
      <c r="I35"/>
      <c r="J35"/>
      <c r="K35"/>
      <c r="L35"/>
    </row>
    <row r="36" spans="2:12" ht="15" x14ac:dyDescent="0.25">
      <c r="B36" s="195" t="s">
        <v>14</v>
      </c>
      <c r="C36" s="203">
        <v>513</v>
      </c>
      <c r="D36" s="195" t="s">
        <v>220</v>
      </c>
      <c r="E36" s="203" t="s">
        <v>1</v>
      </c>
      <c r="F36" s="202">
        <v>7373.6535400000002</v>
      </c>
      <c r="G36" s="202">
        <f>F36*VLOOKUP(E36,OMAG!$A$22:$B$25,2,FALSE)</f>
        <v>1634.2215745056785</v>
      </c>
      <c r="H36"/>
      <c r="I36"/>
      <c r="J36"/>
      <c r="K36"/>
      <c r="L36"/>
    </row>
    <row r="37" spans="2:12" ht="15" x14ac:dyDescent="0.25">
      <c r="B37" s="195" t="s">
        <v>14</v>
      </c>
      <c r="C37" s="203">
        <v>514</v>
      </c>
      <c r="D37" s="195" t="s">
        <v>221</v>
      </c>
      <c r="E37" s="203" t="s">
        <v>1</v>
      </c>
      <c r="F37" s="202">
        <v>4.2119999999999997</v>
      </c>
      <c r="G37" s="202">
        <f>F37*VLOOKUP(E37,OMAG!$A$22:$B$25,2,FALSE)</f>
        <v>0.93350484050786009</v>
      </c>
      <c r="H37"/>
      <c r="I37"/>
      <c r="J37"/>
      <c r="K37"/>
      <c r="L37"/>
    </row>
    <row r="38" spans="2:12" ht="15" x14ac:dyDescent="0.25">
      <c r="B38" s="195" t="s">
        <v>14</v>
      </c>
      <c r="C38" s="203">
        <v>929</v>
      </c>
      <c r="D38" s="195" t="s">
        <v>224</v>
      </c>
      <c r="E38" s="203" t="s">
        <v>25</v>
      </c>
      <c r="F38" s="202">
        <v>-447.72629999999998</v>
      </c>
      <c r="G38" s="202">
        <f>F38*VLOOKUP(E38,OMAG!$A$22:$B$25,2,FALSE)</f>
        <v>-31.719532489505838</v>
      </c>
      <c r="H38"/>
      <c r="I38"/>
      <c r="J38"/>
      <c r="K38"/>
      <c r="L38"/>
    </row>
    <row r="39" spans="2:12" s="167" customFormat="1" ht="15" x14ac:dyDescent="0.25">
      <c r="B39" s="216" t="s">
        <v>29</v>
      </c>
      <c r="C39" s="205"/>
      <c r="D39" s="216"/>
      <c r="E39" s="205"/>
      <c r="F39" s="343">
        <f>SUBTOTAL(9,F31:F38)</f>
        <v>11389.770149999998</v>
      </c>
      <c r="G39" s="343">
        <f>SUBTOTAL(9,G31:G38)</f>
        <v>2591.5403439741526</v>
      </c>
      <c r="H39"/>
      <c r="I39"/>
      <c r="J39"/>
      <c r="K39"/>
      <c r="L39"/>
    </row>
    <row r="40" spans="2:12" ht="15" x14ac:dyDescent="0.25">
      <c r="B40" s="195" t="s">
        <v>13</v>
      </c>
      <c r="C40" s="203">
        <v>501</v>
      </c>
      <c r="D40" s="195" t="s">
        <v>212</v>
      </c>
      <c r="E40" s="203" t="s">
        <v>7</v>
      </c>
      <c r="F40" s="324">
        <v>-109.12621</v>
      </c>
      <c r="G40" s="344">
        <f>F40*VLOOKUP(E40,OMAG!$A$22:$B$25,2,FALSE)</f>
        <v>-24.677094115804678</v>
      </c>
      <c r="H40"/>
      <c r="I40"/>
      <c r="J40"/>
      <c r="K40"/>
      <c r="L40"/>
    </row>
    <row r="41" spans="2:12" ht="15" x14ac:dyDescent="0.25">
      <c r="B41" s="195" t="s">
        <v>13</v>
      </c>
      <c r="C41" s="203">
        <v>502</v>
      </c>
      <c r="D41" s="195" t="s">
        <v>213</v>
      </c>
      <c r="E41" s="203" t="s">
        <v>1</v>
      </c>
      <c r="F41" s="202">
        <v>426.81601999999998</v>
      </c>
      <c r="G41" s="202">
        <f>F41*VLOOKUP(E41,OMAG!$A$22:$B$25,2,FALSE)</f>
        <v>94.59516160405974</v>
      </c>
      <c r="H41"/>
      <c r="I41"/>
      <c r="J41"/>
      <c r="K41"/>
      <c r="L41"/>
    </row>
    <row r="42" spans="2:12" ht="15" x14ac:dyDescent="0.25">
      <c r="B42" s="195" t="s">
        <v>13</v>
      </c>
      <c r="C42" s="203">
        <v>506</v>
      </c>
      <c r="D42" s="195" t="s">
        <v>215</v>
      </c>
      <c r="E42" s="203" t="s">
        <v>1</v>
      </c>
      <c r="F42" s="202">
        <v>-1966.8967699999998</v>
      </c>
      <c r="G42" s="202">
        <f>F42*VLOOKUP(E42,OMAG!$A$22:$B$25,2,FALSE)</f>
        <v>-435.92299515058761</v>
      </c>
      <c r="H42"/>
      <c r="I42"/>
      <c r="J42"/>
      <c r="K42"/>
      <c r="L42"/>
    </row>
    <row r="43" spans="2:12" ht="15" x14ac:dyDescent="0.25">
      <c r="B43" s="195" t="s">
        <v>13</v>
      </c>
      <c r="C43" s="203">
        <v>511</v>
      </c>
      <c r="D43" s="195" t="s">
        <v>218</v>
      </c>
      <c r="E43" s="203" t="s">
        <v>1</v>
      </c>
      <c r="F43" s="202">
        <v>151.98605000000001</v>
      </c>
      <c r="G43" s="202">
        <f>F43*VLOOKUP(E43,OMAG!$A$22:$B$25,2,FALSE)</f>
        <v>33.684642299304286</v>
      </c>
      <c r="H43"/>
      <c r="I43"/>
      <c r="J43"/>
      <c r="K43"/>
      <c r="L43"/>
    </row>
    <row r="44" spans="2:12" ht="15" x14ac:dyDescent="0.25">
      <c r="B44" s="195" t="s">
        <v>13</v>
      </c>
      <c r="C44" s="203">
        <v>512</v>
      </c>
      <c r="D44" s="195" t="s">
        <v>219</v>
      </c>
      <c r="E44" s="203" t="s">
        <v>1</v>
      </c>
      <c r="F44" s="202">
        <v>2089.3391299999998</v>
      </c>
      <c r="G44" s="202">
        <f>F44*VLOOKUP(E44,OMAG!$A$22:$B$25,2,FALSE)</f>
        <v>463.05987448183311</v>
      </c>
      <c r="H44"/>
      <c r="I44"/>
      <c r="J44"/>
      <c r="K44"/>
      <c r="L44"/>
    </row>
    <row r="45" spans="2:12" ht="15" x14ac:dyDescent="0.25">
      <c r="B45" s="195" t="s">
        <v>13</v>
      </c>
      <c r="C45" s="203">
        <v>513</v>
      </c>
      <c r="D45" s="195" t="s">
        <v>220</v>
      </c>
      <c r="E45" s="203" t="s">
        <v>1</v>
      </c>
      <c r="F45" s="202">
        <v>609.41028000000017</v>
      </c>
      <c r="G45" s="202">
        <f>F45*VLOOKUP(E45,OMAG!$A$22:$B$25,2,FALSE)</f>
        <v>135.06349625718198</v>
      </c>
      <c r="H45"/>
      <c r="I45"/>
      <c r="J45"/>
      <c r="K45"/>
      <c r="L45"/>
    </row>
    <row r="46" spans="2:12" ht="15" x14ac:dyDescent="0.25">
      <c r="B46" s="195" t="s">
        <v>13</v>
      </c>
      <c r="C46" s="203">
        <v>514</v>
      </c>
      <c r="D46" s="195" t="s">
        <v>221</v>
      </c>
      <c r="E46" s="203" t="s">
        <v>1</v>
      </c>
      <c r="F46" s="202">
        <v>5.5707899999999997</v>
      </c>
      <c r="G46" s="202">
        <f>F46*VLOOKUP(E46,OMAG!$A$22:$B$25,2,FALSE)</f>
        <v>1.2346532360999007</v>
      </c>
      <c r="H46"/>
      <c r="I46"/>
      <c r="J46"/>
      <c r="K46"/>
      <c r="L46"/>
    </row>
    <row r="47" spans="2:12" ht="15" x14ac:dyDescent="0.25">
      <c r="B47" s="195" t="s">
        <v>13</v>
      </c>
      <c r="C47" s="203">
        <v>929</v>
      </c>
      <c r="D47" s="195" t="s">
        <v>224</v>
      </c>
      <c r="E47" s="203" t="s">
        <v>25</v>
      </c>
      <c r="F47" s="202">
        <v>-121.37759</v>
      </c>
      <c r="G47" s="202">
        <f>F47*VLOOKUP(E47,OMAG!$A$22:$B$25,2,FALSE)</f>
        <v>-8.5990937085958965</v>
      </c>
      <c r="H47"/>
      <c r="I47"/>
      <c r="J47"/>
      <c r="K47"/>
      <c r="L47"/>
    </row>
    <row r="48" spans="2:12" s="167" customFormat="1" ht="15" x14ac:dyDescent="0.25">
      <c r="B48" s="216" t="s">
        <v>28</v>
      </c>
      <c r="C48" s="205"/>
      <c r="D48" s="216"/>
      <c r="E48" s="205"/>
      <c r="F48" s="343">
        <f>SUBTOTAL(9,F40:F47)</f>
        <v>1085.7216999999998</v>
      </c>
      <c r="G48" s="343">
        <f>SUBTOTAL(9,G40:G47)</f>
        <v>258.43864490349085</v>
      </c>
      <c r="H48"/>
      <c r="I48"/>
      <c r="J48"/>
      <c r="K48"/>
      <c r="L48"/>
    </row>
    <row r="49" spans="2:12" ht="15" x14ac:dyDescent="0.25">
      <c r="B49" s="195" t="s">
        <v>12</v>
      </c>
      <c r="C49" s="203">
        <v>501</v>
      </c>
      <c r="D49" s="195" t="s">
        <v>212</v>
      </c>
      <c r="E49" s="203" t="s">
        <v>7</v>
      </c>
      <c r="F49" s="324">
        <v>-150.78014999999999</v>
      </c>
      <c r="G49" s="344">
        <f>F49*VLOOKUP(E49,OMAG!$A$22:$B$25,2,FALSE)</f>
        <v>-34.096446237298508</v>
      </c>
      <c r="H49"/>
      <c r="I49"/>
      <c r="J49"/>
      <c r="K49"/>
      <c r="L49"/>
    </row>
    <row r="50" spans="2:12" ht="15" x14ac:dyDescent="0.25">
      <c r="B50" s="195" t="s">
        <v>12</v>
      </c>
      <c r="C50" s="203">
        <v>502</v>
      </c>
      <c r="D50" s="195" t="s">
        <v>213</v>
      </c>
      <c r="E50" s="203" t="s">
        <v>1</v>
      </c>
      <c r="F50" s="202">
        <v>340.36108000000002</v>
      </c>
      <c r="G50" s="202">
        <f>F50*VLOOKUP(E50,OMAG!$A$22:$B$25,2,FALSE)</f>
        <v>75.434168020057697</v>
      </c>
      <c r="H50"/>
      <c r="I50"/>
      <c r="J50"/>
      <c r="K50"/>
      <c r="L50"/>
    </row>
    <row r="51" spans="2:12" ht="15" x14ac:dyDescent="0.25">
      <c r="B51" s="195" t="s">
        <v>12</v>
      </c>
      <c r="C51" s="203">
        <v>505</v>
      </c>
      <c r="D51" s="195" t="s">
        <v>214</v>
      </c>
      <c r="E51" s="203" t="s">
        <v>1</v>
      </c>
      <c r="F51" s="202">
        <v>2.7640000000000001E-2</v>
      </c>
      <c r="G51" s="202">
        <f>F51*VLOOKUP(E51,OMAG!$A$22:$B$25,2,FALSE)</f>
        <v>6.1258484785463568E-3</v>
      </c>
      <c r="H51"/>
      <c r="I51"/>
      <c r="J51"/>
      <c r="K51"/>
      <c r="L51"/>
    </row>
    <row r="52" spans="2:12" ht="15" x14ac:dyDescent="0.25">
      <c r="B52" s="195" t="s">
        <v>12</v>
      </c>
      <c r="C52" s="203">
        <v>506</v>
      </c>
      <c r="D52" s="195" t="s">
        <v>215</v>
      </c>
      <c r="E52" s="203" t="s">
        <v>1</v>
      </c>
      <c r="F52" s="202">
        <v>-2389.7392500000001</v>
      </c>
      <c r="G52" s="202">
        <f>F52*VLOOKUP(E52,OMAG!$A$22:$B$25,2,FALSE)</f>
        <v>-529.63750176320593</v>
      </c>
      <c r="H52"/>
      <c r="I52"/>
      <c r="J52"/>
      <c r="K52"/>
      <c r="L52"/>
    </row>
    <row r="53" spans="2:12" ht="15" x14ac:dyDescent="0.25">
      <c r="B53" s="195" t="s">
        <v>12</v>
      </c>
      <c r="C53" s="203">
        <v>511</v>
      </c>
      <c r="D53" s="195" t="s">
        <v>218</v>
      </c>
      <c r="E53" s="203" t="s">
        <v>1</v>
      </c>
      <c r="F53" s="202">
        <v>437.82042000000001</v>
      </c>
      <c r="G53" s="202">
        <f>F53*VLOOKUP(E53,OMAG!$A$22:$B$25,2,FALSE)</f>
        <v>97.034064896292577</v>
      </c>
      <c r="H53"/>
      <c r="I53"/>
      <c r="J53"/>
      <c r="K53"/>
      <c r="L53"/>
    </row>
    <row r="54" spans="2:12" ht="15" x14ac:dyDescent="0.25">
      <c r="B54" s="195" t="s">
        <v>12</v>
      </c>
      <c r="C54" s="203">
        <v>512</v>
      </c>
      <c r="D54" s="195" t="s">
        <v>219</v>
      </c>
      <c r="E54" s="203" t="s">
        <v>1</v>
      </c>
      <c r="F54" s="202">
        <v>2934.4233300000001</v>
      </c>
      <c r="G54" s="202">
        <f>F54*VLOOKUP(E54,OMAG!$A$22:$B$25,2,FALSE)</f>
        <v>650.35574137089122</v>
      </c>
      <c r="H54"/>
      <c r="I54"/>
      <c r="J54"/>
      <c r="K54"/>
      <c r="L54"/>
    </row>
    <row r="55" spans="2:12" ht="15" x14ac:dyDescent="0.25">
      <c r="B55" s="195" t="s">
        <v>12</v>
      </c>
      <c r="C55" s="203">
        <v>513</v>
      </c>
      <c r="D55" s="195" t="s">
        <v>220</v>
      </c>
      <c r="E55" s="203" t="s">
        <v>1</v>
      </c>
      <c r="F55" s="202">
        <v>712.19854000000009</v>
      </c>
      <c r="G55" s="202">
        <f>F55*VLOOKUP(E55,OMAG!$A$22:$B$25,2,FALSE)</f>
        <v>157.84444076273289</v>
      </c>
      <c r="H55"/>
      <c r="I55"/>
      <c r="J55"/>
      <c r="K55"/>
      <c r="L55"/>
    </row>
    <row r="56" spans="2:12" ht="15" x14ac:dyDescent="0.25">
      <c r="B56" s="195" t="s">
        <v>12</v>
      </c>
      <c r="C56" s="203">
        <v>514</v>
      </c>
      <c r="D56" s="195" t="s">
        <v>221</v>
      </c>
      <c r="E56" s="203" t="s">
        <v>1</v>
      </c>
      <c r="F56" s="202">
        <v>6.1893399999999996</v>
      </c>
      <c r="G56" s="202">
        <f>F56*VLOOKUP(E56,OMAG!$A$22:$B$25,2,FALSE)</f>
        <v>1.3717423669394393</v>
      </c>
      <c r="H56"/>
      <c r="I56"/>
      <c r="J56"/>
      <c r="K56"/>
      <c r="L56"/>
    </row>
    <row r="57" spans="2:12" ht="15" x14ac:dyDescent="0.25">
      <c r="B57" s="195" t="s">
        <v>12</v>
      </c>
      <c r="C57" s="203">
        <v>929</v>
      </c>
      <c r="D57" s="195" t="s">
        <v>224</v>
      </c>
      <c r="E57" s="203" t="s">
        <v>25</v>
      </c>
      <c r="F57" s="202">
        <v>-149.13120000000001</v>
      </c>
      <c r="G57" s="202">
        <f>F57*VLOOKUP(E57,OMAG!$A$22:$B$25,2,FALSE)</f>
        <v>-10.565320696146269</v>
      </c>
      <c r="H57"/>
      <c r="I57"/>
      <c r="J57"/>
      <c r="K57"/>
      <c r="L57"/>
    </row>
    <row r="58" spans="2:12" s="167" customFormat="1" ht="15" x14ac:dyDescent="0.25">
      <c r="B58" s="216" t="s">
        <v>27</v>
      </c>
      <c r="C58" s="205"/>
      <c r="D58" s="216"/>
      <c r="E58" s="205"/>
      <c r="F58" s="343">
        <f>SUBTOTAL(9,F49:F57)</f>
        <v>1741.3697499999998</v>
      </c>
      <c r="G58" s="343">
        <f>SUBTOTAL(9,G49:G57)</f>
        <v>407.74701456874163</v>
      </c>
      <c r="H58"/>
      <c r="I58"/>
      <c r="J58"/>
      <c r="K58"/>
      <c r="L58"/>
    </row>
    <row r="59" spans="2:12" ht="15" x14ac:dyDescent="0.25">
      <c r="B59" s="216" t="s">
        <v>11</v>
      </c>
      <c r="C59" s="203"/>
      <c r="D59" s="195"/>
      <c r="E59" s="203"/>
      <c r="F59" s="343">
        <f>SUBTOTAL(9,F7:F58)</f>
        <v>60181.773509999977</v>
      </c>
      <c r="G59" s="343">
        <f>SUBTOTAL(9,G7:G58)</f>
        <v>13555.838902877964</v>
      </c>
      <c r="H59"/>
      <c r="I59"/>
      <c r="J59"/>
      <c r="K59"/>
      <c r="L59"/>
    </row>
    <row r="60" spans="2:12" ht="15" x14ac:dyDescent="0.25">
      <c r="H60"/>
      <c r="I60"/>
      <c r="J60"/>
      <c r="K60"/>
      <c r="L60"/>
    </row>
    <row r="61" spans="2:12" ht="16.5" x14ac:dyDescent="0.35">
      <c r="G61" s="308" t="s">
        <v>329</v>
      </c>
      <c r="H61"/>
      <c r="I61"/>
      <c r="J61"/>
      <c r="K61"/>
      <c r="L61"/>
    </row>
    <row r="62" spans="2:12" ht="15" x14ac:dyDescent="0.25">
      <c r="F62" s="307" t="s">
        <v>325</v>
      </c>
      <c r="G62" s="337">
        <f>G59</f>
        <v>13555.838902877964</v>
      </c>
      <c r="H62"/>
      <c r="I62"/>
      <c r="J62"/>
      <c r="K62"/>
      <c r="L62"/>
    </row>
    <row r="63" spans="2:12" ht="15" x14ac:dyDescent="0.25">
      <c r="F63" s="307" t="s">
        <v>326</v>
      </c>
      <c r="G63" s="119">
        <f>SUM('Labor Esc.'!C18:C19)/1000</f>
        <v>61.519527788742224</v>
      </c>
      <c r="H63"/>
      <c r="I63"/>
      <c r="J63"/>
      <c r="K63"/>
      <c r="L63"/>
    </row>
    <row r="64" spans="2:12" ht="15" x14ac:dyDescent="0.25">
      <c r="F64" s="307" t="s">
        <v>327</v>
      </c>
      <c r="G64" s="162">
        <f>SUM('Labor Esc.'!D18:E19)/1000</f>
        <v>394.64214576623846</v>
      </c>
      <c r="H64"/>
      <c r="I64"/>
      <c r="J64"/>
      <c r="K64"/>
      <c r="L64"/>
    </row>
    <row r="65" spans="6:12" ht="15" x14ac:dyDescent="0.25">
      <c r="F65" s="345" t="s">
        <v>328</v>
      </c>
      <c r="G65" s="346">
        <f>SUM(G62:G64)</f>
        <v>14012.000576432943</v>
      </c>
      <c r="H65"/>
      <c r="I65"/>
      <c r="J65"/>
      <c r="K65"/>
      <c r="L65"/>
    </row>
    <row r="66" spans="6:12" ht="15" x14ac:dyDescent="0.25">
      <c r="H66"/>
      <c r="I66"/>
      <c r="J66"/>
      <c r="K66"/>
      <c r="L66"/>
    </row>
    <row r="67" spans="6:12" ht="15" x14ac:dyDescent="0.25">
      <c r="H67"/>
      <c r="I67"/>
      <c r="J67"/>
      <c r="K67"/>
      <c r="L67"/>
    </row>
    <row r="68" spans="6:12" ht="15" x14ac:dyDescent="0.25">
      <c r="H68"/>
      <c r="I68"/>
      <c r="J68"/>
      <c r="K68"/>
      <c r="L68"/>
    </row>
    <row r="69" spans="6:12" ht="15" x14ac:dyDescent="0.25">
      <c r="H69"/>
      <c r="I69"/>
      <c r="J69"/>
      <c r="K69"/>
      <c r="L69"/>
    </row>
    <row r="70" spans="6:12" ht="15" x14ac:dyDescent="0.25">
      <c r="H70"/>
      <c r="I70"/>
      <c r="J70"/>
      <c r="K70"/>
      <c r="L70"/>
    </row>
    <row r="71" spans="6:12" ht="15" x14ac:dyDescent="0.25">
      <c r="H71"/>
      <c r="I71"/>
      <c r="J71"/>
      <c r="K71"/>
      <c r="L71"/>
    </row>
    <row r="72" spans="6:12" ht="15" x14ac:dyDescent="0.25">
      <c r="H72"/>
      <c r="I72"/>
      <c r="J72"/>
      <c r="K72"/>
      <c r="L72"/>
    </row>
    <row r="73" spans="6:12" ht="15" x14ac:dyDescent="0.25">
      <c r="H73"/>
      <c r="I73"/>
      <c r="J73"/>
      <c r="K73"/>
      <c r="L73"/>
    </row>
    <row r="74" spans="6:12" ht="15" x14ac:dyDescent="0.25">
      <c r="H74"/>
      <c r="I74"/>
      <c r="J74"/>
      <c r="K74"/>
      <c r="L74"/>
    </row>
    <row r="75" spans="6:12" ht="15" x14ac:dyDescent="0.25">
      <c r="H75"/>
      <c r="I75"/>
      <c r="J75"/>
      <c r="K75"/>
      <c r="L75"/>
    </row>
    <row r="76" spans="6:12" ht="15" x14ac:dyDescent="0.25">
      <c r="H76"/>
      <c r="I76"/>
      <c r="J76"/>
      <c r="K76"/>
      <c r="L76"/>
    </row>
    <row r="77" spans="6:12" ht="15" x14ac:dyDescent="0.25">
      <c r="H77"/>
      <c r="I77"/>
      <c r="J77"/>
      <c r="K77"/>
      <c r="L77"/>
    </row>
    <row r="78" spans="6:12" ht="15" x14ac:dyDescent="0.25">
      <c r="H78"/>
      <c r="I78"/>
      <c r="J78"/>
      <c r="K78"/>
      <c r="L78"/>
    </row>
    <row r="79" spans="6:12" ht="15" x14ac:dyDescent="0.25">
      <c r="H79"/>
      <c r="I79"/>
      <c r="J79"/>
      <c r="K79"/>
      <c r="L79"/>
    </row>
    <row r="80" spans="6:12" ht="15" x14ac:dyDescent="0.25">
      <c r="H80"/>
      <c r="I80"/>
      <c r="J80"/>
      <c r="K80"/>
      <c r="L80"/>
    </row>
    <row r="81" spans="8:12" ht="15" x14ac:dyDescent="0.25">
      <c r="H81"/>
      <c r="I81"/>
      <c r="J81"/>
      <c r="K81"/>
      <c r="L81"/>
    </row>
    <row r="82" spans="8:12" ht="15" x14ac:dyDescent="0.25">
      <c r="H82"/>
      <c r="I82"/>
      <c r="J82"/>
      <c r="K82"/>
      <c r="L82"/>
    </row>
    <row r="83" spans="8:12" ht="15" x14ac:dyDescent="0.25">
      <c r="H83"/>
      <c r="I83"/>
      <c r="J83"/>
      <c r="K83"/>
      <c r="L83"/>
    </row>
    <row r="84" spans="8:12" ht="15" x14ac:dyDescent="0.25">
      <c r="H84"/>
      <c r="I84"/>
      <c r="J84"/>
      <c r="K84"/>
      <c r="L84"/>
    </row>
    <row r="85" spans="8:12" ht="15" x14ac:dyDescent="0.25">
      <c r="H85"/>
      <c r="I85"/>
      <c r="J85"/>
      <c r="K85"/>
      <c r="L85"/>
    </row>
    <row r="86" spans="8:12" ht="15" x14ac:dyDescent="0.25">
      <c r="H86"/>
      <c r="I86"/>
      <c r="J86"/>
      <c r="K86"/>
      <c r="L86"/>
    </row>
    <row r="87" spans="8:12" ht="15" x14ac:dyDescent="0.25">
      <c r="H87"/>
      <c r="I87"/>
      <c r="J87"/>
      <c r="K87"/>
      <c r="L87"/>
    </row>
    <row r="88" spans="8:12" ht="15" x14ac:dyDescent="0.25">
      <c r="H88"/>
      <c r="I88"/>
      <c r="J88"/>
      <c r="K88"/>
      <c r="L88"/>
    </row>
    <row r="89" spans="8:12" ht="15" x14ac:dyDescent="0.25">
      <c r="H89"/>
      <c r="I89"/>
      <c r="J89"/>
      <c r="K89"/>
      <c r="L89"/>
    </row>
    <row r="90" spans="8:12" ht="15" x14ac:dyDescent="0.25">
      <c r="H90"/>
      <c r="I90"/>
      <c r="J90"/>
      <c r="K90"/>
      <c r="L90"/>
    </row>
    <row r="91" spans="8:12" ht="15" x14ac:dyDescent="0.25">
      <c r="H91"/>
      <c r="I91"/>
      <c r="J91"/>
      <c r="K91"/>
      <c r="L91"/>
    </row>
    <row r="92" spans="8:12" ht="15" x14ac:dyDescent="0.25">
      <c r="H92"/>
      <c r="I92"/>
      <c r="J92"/>
      <c r="K92"/>
      <c r="L92"/>
    </row>
    <row r="93" spans="8:12" ht="15" x14ac:dyDescent="0.25">
      <c r="H93"/>
      <c r="I93"/>
      <c r="J93"/>
      <c r="K93"/>
      <c r="L93"/>
    </row>
    <row r="94" spans="8:12" ht="15" x14ac:dyDescent="0.25">
      <c r="H94"/>
      <c r="I94"/>
      <c r="J94"/>
      <c r="K94"/>
      <c r="L94"/>
    </row>
    <row r="95" spans="8:12" ht="15" x14ac:dyDescent="0.25">
      <c r="H95"/>
      <c r="I95"/>
      <c r="J95"/>
      <c r="K95"/>
      <c r="L95"/>
    </row>
    <row r="96" spans="8:12" ht="15" x14ac:dyDescent="0.25">
      <c r="H96"/>
      <c r="I96"/>
      <c r="J96"/>
      <c r="K96"/>
      <c r="L96"/>
    </row>
    <row r="97" spans="8:12" ht="15" x14ac:dyDescent="0.25">
      <c r="H97"/>
      <c r="I97"/>
      <c r="J97"/>
      <c r="K97"/>
      <c r="L97"/>
    </row>
    <row r="98" spans="8:12" ht="15" x14ac:dyDescent="0.25">
      <c r="H98"/>
      <c r="I98"/>
      <c r="J98"/>
      <c r="K98"/>
      <c r="L98"/>
    </row>
    <row r="99" spans="8:12" ht="15" x14ac:dyDescent="0.25">
      <c r="H99"/>
      <c r="I99"/>
      <c r="J99"/>
      <c r="K99"/>
      <c r="L99"/>
    </row>
    <row r="100" spans="8:12" ht="15" x14ac:dyDescent="0.25">
      <c r="H100"/>
      <c r="I100"/>
      <c r="J100"/>
      <c r="K100"/>
      <c r="L100"/>
    </row>
    <row r="101" spans="8:12" ht="15" x14ac:dyDescent="0.25">
      <c r="H101"/>
      <c r="I101"/>
      <c r="J101"/>
      <c r="K101"/>
      <c r="L101"/>
    </row>
    <row r="102" spans="8:12" ht="15" x14ac:dyDescent="0.25">
      <c r="H102"/>
      <c r="I102"/>
      <c r="J102"/>
      <c r="K102"/>
      <c r="L102"/>
    </row>
    <row r="103" spans="8:12" ht="15" x14ac:dyDescent="0.25">
      <c r="H103"/>
      <c r="I103"/>
      <c r="J103"/>
      <c r="K103"/>
      <c r="L103" s="1"/>
    </row>
    <row r="104" spans="8:12" ht="15" x14ac:dyDescent="0.25">
      <c r="H104"/>
      <c r="I104"/>
      <c r="J104"/>
      <c r="K104"/>
      <c r="L104" s="1"/>
    </row>
    <row r="105" spans="8:12" ht="15" x14ac:dyDescent="0.25">
      <c r="H105"/>
      <c r="I105"/>
      <c r="J105"/>
      <c r="K105"/>
      <c r="L105" s="1"/>
    </row>
    <row r="106" spans="8:12" ht="15" x14ac:dyDescent="0.25">
      <c r="H106"/>
      <c r="I106"/>
      <c r="J106"/>
      <c r="K106"/>
      <c r="L106" s="1"/>
    </row>
    <row r="107" spans="8:12" ht="15" x14ac:dyDescent="0.25">
      <c r="H107"/>
      <c r="I107"/>
      <c r="J107"/>
      <c r="K107"/>
      <c r="L107" s="1"/>
    </row>
    <row r="108" spans="8:12" ht="15" x14ac:dyDescent="0.25">
      <c r="H108"/>
      <c r="I108"/>
      <c r="J108"/>
      <c r="K108"/>
      <c r="L108" s="1"/>
    </row>
    <row r="109" spans="8:12" ht="15" x14ac:dyDescent="0.25">
      <c r="H109"/>
      <c r="I109"/>
      <c r="J109"/>
      <c r="K109"/>
      <c r="L109" s="1"/>
    </row>
    <row r="110" spans="8:12" ht="15" x14ac:dyDescent="0.25">
      <c r="H110"/>
      <c r="I110"/>
      <c r="J110"/>
      <c r="K110"/>
      <c r="L110" s="1"/>
    </row>
    <row r="111" spans="8:12" ht="15" x14ac:dyDescent="0.25">
      <c r="H111"/>
      <c r="I111"/>
      <c r="J111"/>
      <c r="K111"/>
      <c r="L111" s="1"/>
    </row>
    <row r="112" spans="8:12" ht="15" x14ac:dyDescent="0.25">
      <c r="H112"/>
      <c r="I112"/>
      <c r="J112"/>
      <c r="K112"/>
      <c r="L112" s="1"/>
    </row>
    <row r="113" spans="8:12" ht="15" x14ac:dyDescent="0.25">
      <c r="H113"/>
      <c r="I113"/>
      <c r="J113"/>
      <c r="K113"/>
      <c r="L113" s="1"/>
    </row>
    <row r="114" spans="8:12" ht="15" x14ac:dyDescent="0.25">
      <c r="H114"/>
      <c r="I114"/>
      <c r="J114"/>
      <c r="K114"/>
      <c r="L114" s="1"/>
    </row>
    <row r="115" spans="8:12" ht="15" x14ac:dyDescent="0.25">
      <c r="H115"/>
      <c r="I115"/>
      <c r="J115"/>
      <c r="K115"/>
      <c r="L115" s="1"/>
    </row>
    <row r="116" spans="8:12" ht="15" x14ac:dyDescent="0.25">
      <c r="H116"/>
      <c r="I116"/>
      <c r="J116"/>
      <c r="K116"/>
      <c r="L116" s="1"/>
    </row>
    <row r="117" spans="8:12" ht="15" x14ac:dyDescent="0.25">
      <c r="H117"/>
      <c r="I117"/>
      <c r="J117"/>
      <c r="K117"/>
      <c r="L117" s="1"/>
    </row>
    <row r="118" spans="8:12" ht="15" x14ac:dyDescent="0.25">
      <c r="H118"/>
      <c r="I118"/>
      <c r="J118"/>
      <c r="K118"/>
      <c r="L118" s="1"/>
    </row>
    <row r="119" spans="8:12" ht="15" x14ac:dyDescent="0.25">
      <c r="H119"/>
      <c r="I119"/>
      <c r="J119"/>
      <c r="K119"/>
      <c r="L119" s="1"/>
    </row>
    <row r="120" spans="8:12" ht="15" x14ac:dyDescent="0.25">
      <c r="H120"/>
      <c r="I120"/>
      <c r="J120"/>
      <c r="K120"/>
      <c r="L120" s="1"/>
    </row>
    <row r="121" spans="8:12" ht="15" x14ac:dyDescent="0.25">
      <c r="H121"/>
      <c r="I121"/>
      <c r="J121"/>
      <c r="K121"/>
      <c r="L121" s="1"/>
    </row>
    <row r="122" spans="8:12" ht="15" x14ac:dyDescent="0.25">
      <c r="H122"/>
      <c r="I122"/>
      <c r="J122"/>
      <c r="K122"/>
      <c r="L122" s="1"/>
    </row>
    <row r="123" spans="8:12" ht="15" x14ac:dyDescent="0.25">
      <c r="H123"/>
      <c r="I123"/>
      <c r="J123"/>
      <c r="K123"/>
      <c r="L123" s="1"/>
    </row>
    <row r="124" spans="8:12" ht="15" x14ac:dyDescent="0.25">
      <c r="H124"/>
      <c r="I124"/>
      <c r="J124"/>
      <c r="K124"/>
      <c r="L124" s="1"/>
    </row>
    <row r="125" spans="8:12" ht="15" x14ac:dyDescent="0.25">
      <c r="H125"/>
      <c r="I125"/>
      <c r="J125"/>
      <c r="K125"/>
      <c r="L125" s="1"/>
    </row>
    <row r="126" spans="8:12" ht="15" x14ac:dyDescent="0.25">
      <c r="H126"/>
      <c r="I126"/>
      <c r="J126"/>
      <c r="K126"/>
      <c r="L126" s="1"/>
    </row>
    <row r="127" spans="8:12" ht="15" x14ac:dyDescent="0.25">
      <c r="H127"/>
      <c r="I127"/>
      <c r="J127"/>
      <c r="K127"/>
      <c r="L127" s="1"/>
    </row>
    <row r="128" spans="8:12" ht="15" x14ac:dyDescent="0.25">
      <c r="H128"/>
      <c r="I128"/>
      <c r="J128"/>
      <c r="K128"/>
      <c r="L128" s="1"/>
    </row>
    <row r="129" spans="8:12" ht="15" x14ac:dyDescent="0.25">
      <c r="H129"/>
      <c r="I129"/>
      <c r="J129"/>
      <c r="K129"/>
      <c r="L129" s="1"/>
    </row>
    <row r="130" spans="8:12" ht="15" x14ac:dyDescent="0.25">
      <c r="H130"/>
      <c r="I130"/>
      <c r="J130"/>
      <c r="K130"/>
      <c r="L130" s="1"/>
    </row>
  </sheetData>
  <pageMargins left="0.7" right="0.7" top="0.75" bottom="0.75" header="0.3" footer="0.3"/>
  <pageSetup scale="98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D0646-8FB5-4A26-A075-CD5076B1C408}">
  <dimension ref="A1:I45"/>
  <sheetViews>
    <sheetView workbookViewId="0">
      <selection activeCell="C6" sqref="C6"/>
    </sheetView>
  </sheetViews>
  <sheetFormatPr defaultColWidth="9.140625" defaultRowHeight="12" customHeight="1" x14ac:dyDescent="0.2"/>
  <cols>
    <col min="1" max="1" width="2.5703125" style="106" customWidth="1"/>
    <col min="2" max="2" width="7.140625" style="106" customWidth="1"/>
    <col min="3" max="3" width="59.28515625" style="106" customWidth="1"/>
    <col min="4" max="4" width="9.7109375" style="106" customWidth="1"/>
    <col min="5" max="5" width="13" style="106" customWidth="1"/>
    <col min="6" max="6" width="8.28515625" style="106" customWidth="1"/>
    <col min="7" max="7" width="9.140625" style="106"/>
    <col min="8" max="8" width="11.42578125" style="106" bestFit="1" customWidth="1"/>
    <col min="9" max="9" width="10.5703125" style="106" bestFit="1" customWidth="1"/>
    <col min="10" max="16384" width="9.140625" style="106"/>
  </cols>
  <sheetData>
    <row r="1" spans="2:9" ht="12" customHeight="1" x14ac:dyDescent="0.2">
      <c r="B1" s="105" t="s">
        <v>19</v>
      </c>
      <c r="E1" s="107"/>
      <c r="F1" s="107"/>
    </row>
    <row r="2" spans="2:9" ht="12" customHeight="1" x14ac:dyDescent="0.2">
      <c r="B2" s="105" t="s">
        <v>108</v>
      </c>
    </row>
    <row r="3" spans="2:9" ht="12" customHeight="1" x14ac:dyDescent="0.2">
      <c r="B3" s="105" t="s">
        <v>298</v>
      </c>
    </row>
    <row r="4" spans="2:9" ht="12" customHeight="1" x14ac:dyDescent="0.2">
      <c r="B4" s="105" t="s">
        <v>288</v>
      </c>
      <c r="H4" s="108"/>
    </row>
    <row r="5" spans="2:9" ht="12" customHeight="1" x14ac:dyDescent="0.2">
      <c r="H5" s="108"/>
    </row>
    <row r="6" spans="2:9" ht="12" customHeight="1" x14ac:dyDescent="0.2">
      <c r="B6" s="109"/>
      <c r="C6" s="109"/>
      <c r="D6" s="110" t="s">
        <v>26</v>
      </c>
      <c r="E6" s="110" t="s">
        <v>158</v>
      </c>
      <c r="F6" s="110"/>
      <c r="H6" s="108"/>
    </row>
    <row r="7" spans="2:9" ht="12" customHeight="1" x14ac:dyDescent="0.2">
      <c r="B7" s="109"/>
      <c r="C7" s="109"/>
      <c r="D7" s="111" t="s">
        <v>159</v>
      </c>
      <c r="E7" s="111" t="s">
        <v>160</v>
      </c>
      <c r="F7" s="111"/>
      <c r="H7" s="112"/>
      <c r="I7" s="112"/>
    </row>
    <row r="8" spans="2:9" ht="12" customHeight="1" x14ac:dyDescent="0.2">
      <c r="B8" s="113" t="s">
        <v>161</v>
      </c>
      <c r="C8" s="109"/>
      <c r="D8" s="110"/>
      <c r="E8" s="114"/>
      <c r="F8" s="110"/>
      <c r="H8" s="112"/>
      <c r="I8" s="112"/>
    </row>
    <row r="9" spans="2:9" ht="12" customHeight="1" x14ac:dyDescent="0.2">
      <c r="B9" s="106" t="s">
        <v>289</v>
      </c>
      <c r="D9" s="115">
        <v>282</v>
      </c>
      <c r="E9" s="116">
        <v>6982709</v>
      </c>
      <c r="H9" s="117"/>
      <c r="I9" s="117"/>
    </row>
    <row r="10" spans="2:9" ht="12" customHeight="1" x14ac:dyDescent="0.2">
      <c r="B10" s="106" t="s">
        <v>290</v>
      </c>
      <c r="D10" s="115">
        <v>282</v>
      </c>
      <c r="E10" s="116">
        <v>6382211</v>
      </c>
      <c r="H10" s="117"/>
      <c r="I10" s="117"/>
    </row>
    <row r="11" spans="2:9" ht="12" customHeight="1" x14ac:dyDescent="0.2">
      <c r="B11" s="106" t="s">
        <v>291</v>
      </c>
      <c r="D11" s="115">
        <v>282</v>
      </c>
      <c r="E11" s="116">
        <v>-15580457.532904446</v>
      </c>
      <c r="H11" s="117"/>
      <c r="I11" s="117"/>
    </row>
    <row r="12" spans="2:9" ht="12" customHeight="1" x14ac:dyDescent="0.2">
      <c r="B12" s="106" t="s">
        <v>292</v>
      </c>
      <c r="D12" s="115">
        <v>282</v>
      </c>
      <c r="E12" s="116">
        <v>84634.226128779104</v>
      </c>
      <c r="H12" s="117"/>
      <c r="I12" s="117"/>
    </row>
    <row r="13" spans="2:9" ht="12" customHeight="1" x14ac:dyDescent="0.2">
      <c r="B13" s="106" t="s">
        <v>293</v>
      </c>
      <c r="D13" s="115">
        <v>282</v>
      </c>
      <c r="E13" s="126">
        <v>7588.3837213078405</v>
      </c>
      <c r="H13" s="117"/>
      <c r="I13" s="117"/>
    </row>
    <row r="14" spans="2:9" ht="12" customHeight="1" x14ac:dyDescent="0.2">
      <c r="D14" s="115"/>
      <c r="E14" s="116">
        <f>SUM(E9:E13)</f>
        <v>-2123314.9230543594</v>
      </c>
      <c r="H14" s="117"/>
      <c r="I14" s="117"/>
    </row>
    <row r="15" spans="2:9" ht="12" customHeight="1" x14ac:dyDescent="0.2">
      <c r="D15" s="115"/>
      <c r="E15" s="116"/>
      <c r="H15" s="117"/>
      <c r="I15" s="117"/>
    </row>
    <row r="16" spans="2:9" ht="12" customHeight="1" x14ac:dyDescent="0.2">
      <c r="B16" s="120" t="s">
        <v>294</v>
      </c>
      <c r="D16" s="118">
        <v>282</v>
      </c>
      <c r="E16" s="116">
        <v>2994655</v>
      </c>
      <c r="H16" s="117"/>
    </row>
    <row r="17" spans="2:8" ht="12" customHeight="1" x14ac:dyDescent="0.2">
      <c r="B17" s="120" t="s">
        <v>295</v>
      </c>
      <c r="D17" s="118">
        <v>282</v>
      </c>
      <c r="E17" s="116">
        <v>-1307850.4765236543</v>
      </c>
      <c r="H17" s="117"/>
    </row>
    <row r="18" spans="2:8" ht="12" customHeight="1" x14ac:dyDescent="0.2">
      <c r="B18" s="120" t="s">
        <v>296</v>
      </c>
      <c r="D18" s="118">
        <v>282</v>
      </c>
      <c r="E18" s="116">
        <v>34158.697422429708</v>
      </c>
      <c r="H18" s="117"/>
    </row>
    <row r="19" spans="2:8" ht="12" customHeight="1" x14ac:dyDescent="0.2">
      <c r="B19" s="120"/>
      <c r="D19" s="118"/>
      <c r="E19" s="168">
        <f>SUM(E16:E18)</f>
        <v>1720963.2208987754</v>
      </c>
      <c r="H19" s="117"/>
    </row>
    <row r="20" spans="2:8" ht="12" customHeight="1" x14ac:dyDescent="0.2">
      <c r="B20" s="120"/>
      <c r="D20" s="118"/>
      <c r="E20" s="116"/>
      <c r="H20" s="117"/>
    </row>
    <row r="21" spans="2:8" ht="12" customHeight="1" x14ac:dyDescent="0.2">
      <c r="B21" s="106" t="s">
        <v>297</v>
      </c>
      <c r="D21" s="115">
        <v>190</v>
      </c>
      <c r="E21" s="116">
        <v>467320</v>
      </c>
      <c r="F21" s="110"/>
    </row>
    <row r="22" spans="2:8" ht="12" customHeight="1" x14ac:dyDescent="0.2">
      <c r="B22" s="106" t="s">
        <v>299</v>
      </c>
      <c r="D22" s="115">
        <v>282</v>
      </c>
      <c r="E22" s="116">
        <v>1294929</v>
      </c>
      <c r="F22" s="110"/>
    </row>
    <row r="24" spans="2:8" ht="12" customHeight="1" x14ac:dyDescent="0.2">
      <c r="B24" s="106" t="s">
        <v>176</v>
      </c>
      <c r="D24" s="115" t="s">
        <v>175</v>
      </c>
      <c r="E24" s="170">
        <v>-6210</v>
      </c>
    </row>
    <row r="25" spans="2:8" ht="12" customHeight="1" x14ac:dyDescent="0.2">
      <c r="D25" s="115"/>
    </row>
    <row r="26" spans="2:8" ht="12" customHeight="1" x14ac:dyDescent="0.2">
      <c r="B26" s="106" t="s">
        <v>300</v>
      </c>
      <c r="D26" s="115">
        <v>41110</v>
      </c>
      <c r="E26" s="119">
        <v>-1148.7297999999646</v>
      </c>
    </row>
    <row r="27" spans="2:8" ht="12" customHeight="1" x14ac:dyDescent="0.2">
      <c r="B27" s="106" t="s">
        <v>301</v>
      </c>
      <c r="D27" s="115">
        <v>41110</v>
      </c>
      <c r="E27" s="119">
        <v>206.66039999981876</v>
      </c>
    </row>
    <row r="28" spans="2:8" ht="12" customHeight="1" x14ac:dyDescent="0.2">
      <c r="B28" s="106" t="s">
        <v>302</v>
      </c>
      <c r="D28" s="115">
        <v>41110</v>
      </c>
      <c r="E28" s="119">
        <v>28154.503931051739</v>
      </c>
    </row>
    <row r="29" spans="2:8" ht="12" customHeight="1" x14ac:dyDescent="0.2">
      <c r="D29" s="115"/>
    </row>
    <row r="30" spans="2:8" ht="12" customHeight="1" x14ac:dyDescent="0.2">
      <c r="B30" s="106" t="s">
        <v>177</v>
      </c>
      <c r="D30" s="115">
        <v>40910</v>
      </c>
      <c r="E30" s="170">
        <v>6197</v>
      </c>
    </row>
    <row r="33" spans="1:6" ht="12.75" customHeight="1" x14ac:dyDescent="0.2"/>
    <row r="34" spans="1:6" ht="12" customHeight="1" thickBot="1" x14ac:dyDescent="0.25">
      <c r="B34" s="122" t="s">
        <v>162</v>
      </c>
    </row>
    <row r="35" spans="1:6" ht="12" customHeight="1" x14ac:dyDescent="0.2">
      <c r="A35" s="123"/>
      <c r="B35" s="314" t="s">
        <v>303</v>
      </c>
      <c r="C35" s="314"/>
      <c r="D35" s="314"/>
      <c r="E35" s="314"/>
      <c r="F35" s="315"/>
    </row>
    <row r="36" spans="1:6" ht="12" customHeight="1" x14ac:dyDescent="0.2">
      <c r="A36" s="124"/>
      <c r="B36" s="316"/>
      <c r="C36" s="316"/>
      <c r="D36" s="316"/>
      <c r="E36" s="316"/>
      <c r="F36" s="317"/>
    </row>
    <row r="37" spans="1:6" ht="12" customHeight="1" x14ac:dyDescent="0.2">
      <c r="A37" s="124"/>
      <c r="B37" s="316"/>
      <c r="C37" s="316"/>
      <c r="D37" s="316"/>
      <c r="E37" s="316"/>
      <c r="F37" s="317"/>
    </row>
    <row r="38" spans="1:6" ht="12" customHeight="1" x14ac:dyDescent="0.2">
      <c r="A38" s="124"/>
      <c r="B38" s="316"/>
      <c r="C38" s="316"/>
      <c r="D38" s="316"/>
      <c r="E38" s="316"/>
      <c r="F38" s="317"/>
    </row>
    <row r="39" spans="1:6" ht="12" customHeight="1" x14ac:dyDescent="0.2">
      <c r="A39" s="124"/>
      <c r="B39" s="316"/>
      <c r="C39" s="316"/>
      <c r="D39" s="316"/>
      <c r="E39" s="316"/>
      <c r="F39" s="317"/>
    </row>
    <row r="40" spans="1:6" ht="12" customHeight="1" x14ac:dyDescent="0.2">
      <c r="A40" s="124"/>
      <c r="B40" s="316"/>
      <c r="C40" s="316"/>
      <c r="D40" s="316"/>
      <c r="E40" s="316"/>
      <c r="F40" s="317"/>
    </row>
    <row r="41" spans="1:6" ht="12" customHeight="1" x14ac:dyDescent="0.2">
      <c r="A41" s="124"/>
      <c r="B41" s="316"/>
      <c r="C41" s="316"/>
      <c r="D41" s="316"/>
      <c r="E41" s="316"/>
      <c r="F41" s="317"/>
    </row>
    <row r="42" spans="1:6" ht="12" customHeight="1" x14ac:dyDescent="0.2">
      <c r="A42" s="124"/>
      <c r="B42" s="316"/>
      <c r="C42" s="316"/>
      <c r="D42" s="316"/>
      <c r="E42" s="316"/>
      <c r="F42" s="317"/>
    </row>
    <row r="43" spans="1:6" ht="12" customHeight="1" x14ac:dyDescent="0.2">
      <c r="A43" s="124"/>
      <c r="B43" s="316"/>
      <c r="C43" s="316"/>
      <c r="D43" s="316"/>
      <c r="E43" s="316"/>
      <c r="F43" s="317"/>
    </row>
    <row r="44" spans="1:6" ht="12" customHeight="1" x14ac:dyDescent="0.2">
      <c r="A44" s="124"/>
      <c r="B44" s="316"/>
      <c r="C44" s="316"/>
      <c r="D44" s="316"/>
      <c r="E44" s="316"/>
      <c r="F44" s="317"/>
    </row>
    <row r="45" spans="1:6" ht="12" customHeight="1" thickBot="1" x14ac:dyDescent="0.25">
      <c r="A45" s="125"/>
      <c r="B45" s="318"/>
      <c r="C45" s="318"/>
      <c r="D45" s="318"/>
      <c r="E45" s="318"/>
      <c r="F45" s="319"/>
    </row>
  </sheetData>
  <mergeCells count="1">
    <mergeCell ref="B35:F45"/>
  </mergeCells>
  <phoneticPr fontId="19" type="noConversion"/>
  <conditionalFormatting sqref="B8">
    <cfRule type="cellIs" dxfId="2" priority="8" stopIfTrue="1" operator="equal">
      <formula>"Adjustment to Income/Expense/Rate Base:"</formula>
    </cfRule>
  </conditionalFormatting>
  <conditionalFormatting sqref="B16:B17">
    <cfRule type="cellIs" dxfId="1" priority="2" stopIfTrue="1" operator="equal">
      <formula>"Adjustment to Income/Expense/Rate Base:"</formula>
    </cfRule>
  </conditionalFormatting>
  <conditionalFormatting sqref="B18:B20">
    <cfRule type="cellIs" dxfId="0" priority="1" stopIfTrue="1" operator="equal">
      <formula>"Adjustment to Income/Expense/Rate Base:"</formula>
    </cfRule>
  </conditionalFormatting>
  <dataValidations count="1">
    <dataValidation type="list" errorStyle="warning" allowBlank="1" showInputMessage="1" showErrorMessage="1" errorTitle="FERC ACCOUNT" error="This FERC Account is not included in the drop-down list. Is this the account you want to use?" sqref="D9:D15" xr:uid="{1C224F15-68D7-4BD1-9D2B-CC499CDC513A}">
      <formula1>$D$78:$D$412</formula1>
    </dataValidation>
  </dataValidation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B39E1-BB95-4BBC-9D44-39C150D59923}">
  <dimension ref="A1:H23"/>
  <sheetViews>
    <sheetView workbookViewId="0">
      <selection activeCell="C10" sqref="C10"/>
    </sheetView>
  </sheetViews>
  <sheetFormatPr defaultColWidth="9.140625" defaultRowHeight="12" x14ac:dyDescent="0.2"/>
  <cols>
    <col min="1" max="1" width="60.42578125" style="129" bestFit="1" customWidth="1"/>
    <col min="2" max="2" width="9.140625" style="129"/>
    <col min="3" max="3" width="18.28515625" style="159" bestFit="1" customWidth="1"/>
    <col min="4" max="4" width="17" style="129" customWidth="1"/>
    <col min="5" max="5" width="10.140625" style="129" bestFit="1" customWidth="1"/>
    <col min="6" max="6" width="9.140625" style="129"/>
    <col min="7" max="7" width="15.140625" style="129" bestFit="1" customWidth="1"/>
    <col min="8" max="8" width="11.28515625" style="129" bestFit="1" customWidth="1"/>
    <col min="9" max="16384" width="9.140625" style="129"/>
  </cols>
  <sheetData>
    <row r="1" spans="1:8" ht="12.75" x14ac:dyDescent="0.2">
      <c r="A1" s="105" t="s">
        <v>19</v>
      </c>
      <c r="C1" s="130"/>
    </row>
    <row r="2" spans="1:8" ht="12.75" x14ac:dyDescent="0.2">
      <c r="A2" s="105" t="s">
        <v>108</v>
      </c>
      <c r="C2" s="131"/>
    </row>
    <row r="3" spans="1:8" ht="12.75" x14ac:dyDescent="0.2">
      <c r="A3" s="105" t="s">
        <v>298</v>
      </c>
      <c r="C3" s="131"/>
    </row>
    <row r="4" spans="1:8" ht="12.75" x14ac:dyDescent="0.2">
      <c r="A4" s="167" t="s">
        <v>140</v>
      </c>
      <c r="C4" s="131"/>
    </row>
    <row r="5" spans="1:8" x14ac:dyDescent="0.2">
      <c r="A5" s="128"/>
      <c r="C5" s="131"/>
    </row>
    <row r="6" spans="1:8" x14ac:dyDescent="0.2">
      <c r="C6" s="131"/>
    </row>
    <row r="7" spans="1:8" x14ac:dyDescent="0.2">
      <c r="A7" s="132" t="s">
        <v>24</v>
      </c>
      <c r="B7" s="132" t="s">
        <v>164</v>
      </c>
      <c r="C7" s="133" t="s">
        <v>165</v>
      </c>
      <c r="D7" s="134" t="s">
        <v>166</v>
      </c>
    </row>
    <row r="8" spans="1:8" x14ac:dyDescent="0.2">
      <c r="A8" s="135"/>
      <c r="B8" s="136"/>
      <c r="C8" s="137"/>
      <c r="D8" s="138"/>
      <c r="G8" s="139"/>
      <c r="H8" s="139"/>
    </row>
    <row r="9" spans="1:8" x14ac:dyDescent="0.2">
      <c r="A9" s="140" t="s">
        <v>167</v>
      </c>
      <c r="B9" s="141"/>
      <c r="C9" s="142"/>
      <c r="D9" s="138"/>
    </row>
    <row r="10" spans="1:8" x14ac:dyDescent="0.2">
      <c r="A10" s="143" t="s">
        <v>168</v>
      </c>
      <c r="B10" s="144"/>
      <c r="C10" s="145">
        <f>+Tax!E26+Tax!E27+Tax!E28</f>
        <v>27212.434531051593</v>
      </c>
      <c r="D10" s="138"/>
    </row>
    <row r="11" spans="1:8" ht="24" x14ac:dyDescent="0.2">
      <c r="A11" s="146" t="s">
        <v>169</v>
      </c>
      <c r="B11" s="141"/>
      <c r="C11" s="142"/>
      <c r="D11" s="147">
        <f>Tax!E14+Tax!E19+Tax!E21+Tax!E22</f>
        <v>1359897.297844416</v>
      </c>
    </row>
    <row r="12" spans="1:8" x14ac:dyDescent="0.2">
      <c r="A12" s="148" t="s">
        <v>170</v>
      </c>
      <c r="B12" s="149">
        <v>3.5866000000000002E-2</v>
      </c>
      <c r="C12" s="142"/>
      <c r="D12" s="150"/>
      <c r="E12" s="151"/>
      <c r="F12" s="152"/>
      <c r="G12" s="152"/>
      <c r="H12" s="131"/>
    </row>
    <row r="13" spans="1:8" x14ac:dyDescent="0.2">
      <c r="A13" s="140"/>
      <c r="B13" s="142"/>
      <c r="C13" s="142"/>
      <c r="D13" s="138"/>
    </row>
    <row r="14" spans="1:8" x14ac:dyDescent="0.2">
      <c r="A14" s="143" t="s">
        <v>171</v>
      </c>
      <c r="B14" s="153">
        <v>0.245866</v>
      </c>
      <c r="C14" s="142"/>
      <c r="D14" s="138"/>
    </row>
    <row r="15" spans="1:8" x14ac:dyDescent="0.2">
      <c r="A15" s="135"/>
      <c r="B15" s="141"/>
      <c r="C15" s="142"/>
      <c r="D15" s="138"/>
    </row>
    <row r="16" spans="1:8" x14ac:dyDescent="0.2">
      <c r="A16" s="154" t="s">
        <v>172</v>
      </c>
      <c r="B16" s="144"/>
      <c r="C16" s="155">
        <f>ROUND(B12/B14,8)</f>
        <v>0.14587621000000001</v>
      </c>
      <c r="D16" s="156">
        <f>+C16</f>
        <v>0.14587621000000001</v>
      </c>
    </row>
    <row r="17" spans="1:4" x14ac:dyDescent="0.2">
      <c r="A17" s="135"/>
      <c r="B17" s="141"/>
      <c r="C17" s="142"/>
      <c r="D17" s="138"/>
    </row>
    <row r="18" spans="1:4" x14ac:dyDescent="0.2">
      <c r="A18" s="143" t="s">
        <v>173</v>
      </c>
      <c r="B18" s="144"/>
      <c r="C18" s="145">
        <f>ROUND(C16*C10,0)</f>
        <v>3970</v>
      </c>
      <c r="D18" s="145">
        <f>ROUND(D16*D11,0)</f>
        <v>198377</v>
      </c>
    </row>
    <row r="19" spans="1:4" x14ac:dyDescent="0.2">
      <c r="A19" s="135"/>
      <c r="B19" s="141"/>
      <c r="C19" s="142"/>
      <c r="D19" s="142"/>
    </row>
    <row r="20" spans="1:4" x14ac:dyDescent="0.2">
      <c r="A20" s="143" t="s">
        <v>174</v>
      </c>
      <c r="B20" s="144"/>
      <c r="C20" s="157">
        <f>-C18</f>
        <v>-3970</v>
      </c>
      <c r="D20" s="157">
        <f>-D18</f>
        <v>-198377</v>
      </c>
    </row>
    <row r="21" spans="1:4" x14ac:dyDescent="0.2">
      <c r="C21" s="158"/>
      <c r="D21" s="158"/>
    </row>
    <row r="22" spans="1:4" ht="12.75" x14ac:dyDescent="0.2">
      <c r="A22" s="105"/>
    </row>
    <row r="23" spans="1:4" ht="12.75" x14ac:dyDescent="0.2">
      <c r="A23" s="105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24" ma:contentTypeDescription="" ma:contentTypeScope="" ma:versionID="4ced5c8c8a052643cd2d5f793224e0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2023-07-07T07:00:00+00:00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5BE3C32-C812-4EC1-990F-6C56FD741E30}"/>
</file>

<file path=customXml/itemProps2.xml><?xml version="1.0" encoding="utf-8"?>
<ds:datastoreItem xmlns:ds="http://schemas.openxmlformats.org/officeDocument/2006/customXml" ds:itemID="{C8C0A0B5-EB9E-458D-934D-25103C9E062E}"/>
</file>

<file path=customXml/itemProps3.xml><?xml version="1.0" encoding="utf-8"?>
<ds:datastoreItem xmlns:ds="http://schemas.openxmlformats.org/officeDocument/2006/customXml" ds:itemID="{9A052F4E-49D3-47C8-973B-2361ABC030FC}"/>
</file>

<file path=customXml/itemProps4.xml><?xml version="1.0" encoding="utf-8"?>
<ds:datastoreItem xmlns:ds="http://schemas.openxmlformats.org/officeDocument/2006/customXml" ds:itemID="{CA1A019B-98A2-441B-B073-E852BC07D3A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21</vt:i4>
      </vt:variant>
    </vt:vector>
  </HeadingPairs>
  <TitlesOfParts>
    <vt:vector size="34" baseType="lpstr">
      <vt:lpstr>Summary</vt:lpstr>
      <vt:lpstr>Rev Req</vt:lpstr>
      <vt:lpstr>Interest Calc</vt:lpstr>
      <vt:lpstr>Variables</vt:lpstr>
      <vt:lpstr>EPIS</vt:lpstr>
      <vt:lpstr>Depr Res</vt:lpstr>
      <vt:lpstr>Depr Exp</vt:lpstr>
      <vt:lpstr>Mine RB</vt:lpstr>
      <vt:lpstr>OMAG</vt:lpstr>
      <vt:lpstr>Labor Esc.</vt:lpstr>
      <vt:lpstr>JB OMAG</vt:lpstr>
      <vt:lpstr>Tax</vt:lpstr>
      <vt:lpstr>Def Removal</vt:lpstr>
      <vt:lpstr>Cost_Debt</vt:lpstr>
      <vt:lpstr>Cost_equity</vt:lpstr>
      <vt:lpstr>Cost_pref</vt:lpstr>
      <vt:lpstr>gross_up_factor</vt:lpstr>
      <vt:lpstr>Overall_ROR</vt:lpstr>
      <vt:lpstr>Percent_common</vt:lpstr>
      <vt:lpstr>Percent_debt</vt:lpstr>
      <vt:lpstr>Percent_pref</vt:lpstr>
      <vt:lpstr>'Depr Exp'!Print_Area</vt:lpstr>
      <vt:lpstr>'Depr Res'!Print_Area</vt:lpstr>
      <vt:lpstr>'JB OMAG'!Print_Area</vt:lpstr>
      <vt:lpstr>'Rev Req'!Print_Area</vt:lpstr>
      <vt:lpstr>Summary!Print_Area</vt:lpstr>
      <vt:lpstr>'JB OMAG'!Print_Titles</vt:lpstr>
      <vt:lpstr>'Rev Req'!Print_Titles</vt:lpstr>
      <vt:lpstr>uncollectible_perc</vt:lpstr>
      <vt:lpstr>WA_rev_tax_perc</vt:lpstr>
      <vt:lpstr>Weighted_cost_debt</vt:lpstr>
      <vt:lpstr>Weighted_cost_equity</vt:lpstr>
      <vt:lpstr>Weighted_cost_pref</vt:lpstr>
      <vt:lpstr>WUTC_reg_fee_perc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2023-03-11T19:24:56Z</dcterms:created>
  <dcterms:modified xsi:type="dcterms:W3CDTF">2023-06-20T22:47:29Z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0x0101006E56B4D1795A2E4DB2F0B01679ED314A008D109B381DF0A9479BB07F4F14374B16</vt:lpwstr>
  </property>
  <property fmtid="{D5CDD505-2E9C-101B-9397-08002B2CF9AE}" pid="3" name="_docset_NoMedatataSyncRequired">
    <vt:lpwstr>False</vt:lpwstr>
  </property>
</Properties>
</file>